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4.xml" ContentType="application/vnd.openxmlformats-officedocument.drawing+xml"/>
  <Override PartName="/xl/charts/chart7.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codeName="TämäTyökirja" defaultThemeVersion="124226"/>
  <mc:AlternateContent xmlns:mc="http://schemas.openxmlformats.org/markup-compatibility/2006">
    <mc:Choice Requires="x15">
      <x15ac:absPath xmlns:x15ac="http://schemas.microsoft.com/office/spreadsheetml/2010/11/ac" url="https://kuntaliittofi-my.sharepoint.com/personal/mikko_mehtonen_kuntaliitto_fi/Documents/LUKUKAUDET/Kevät 2023/Sote-uudistus/Lopputarkitus Jakoavain/"/>
    </mc:Choice>
  </mc:AlternateContent>
  <xr:revisionPtr revIDLastSave="0" documentId="8_{BFB48098-A6F8-4C55-951F-0C2D6DF7351E}" xr6:coauthVersionLast="47" xr6:coauthVersionMax="47" xr10:uidLastSave="{00000000-0000-0000-0000-000000000000}"/>
  <bookViews>
    <workbookView xWindow="-120" yWindow="-120" windowWidth="29040" windowHeight="15720" tabRatio="654" activeTab="2" xr2:uid="{00000000-000D-0000-FFFF-FFFF00000000}"/>
  </bookViews>
  <sheets>
    <sheet name="Info" sheetId="31" r:id="rId1"/>
    <sheet name="Kuviot" sheetId="11" r:id="rId2"/>
    <sheet name="Tuloslaskelma" sheetId="3" r:id="rId3"/>
    <sheet name="Muutosrajoitin (lopullinen)" sheetId="30" r:id="rId4"/>
    <sheet name="Siirtymätasaus (lopullinen)" sheetId="32" r:id="rId5"/>
    <sheet name="Rahoituslaskelma" sheetId="6" state="hidden" r:id="rId6"/>
    <sheet name="Tase" sheetId="5" state="hidden" r:id="rId7"/>
    <sheet name="Taustatiedot" sheetId="29" r:id="rId8"/>
    <sheet name="Painelaskelmat" sheetId="28" state="hidden" r:id="rId9"/>
    <sheet name="Väestötiedot" sheetId="24" state="hidden" r:id="rId10"/>
    <sheet name="Tilitykset" sheetId="26" state="hidden" r:id="rId11"/>
    <sheet name="Tausta1" sheetId="13" state="hidden" r:id="rId12"/>
  </sheets>
  <definedNames>
    <definedName name="_xlnm._FilterDatabase" localSheetId="2" hidden="1">Tuloslaskelma!$A$2:$H$31</definedName>
    <definedName name="alue5">Taustatiedot!$B$18:$CO$330</definedName>
    <definedName name="kunnat">Taustatiedot!$B$18:$B$312</definedName>
    <definedName name="linkki">Tuloslaskelma!$A$8</definedName>
    <definedName name="painelaskelmat">Tuloslaskelma!$A$113:$A$114</definedName>
    <definedName name="paineprosentit">Painelaskelmat!$A$4:$L$299</definedName>
    <definedName name="pela_kerroin">Taustatiedot!$BP$9</definedName>
    <definedName name="sote_kerroin">Taustatiedot!$BP$8</definedName>
    <definedName name="_xlnm.Print_Area" localSheetId="2">Tuloslaskelma!$A$1:$B$81</definedName>
    <definedName name="vero2">Tuloslaskelma!$A$116:$A$117</definedName>
    <definedName name="vero4">Tilitykset!$B$4:$Z$350</definedName>
    <definedName name="väestö">Väestötiedot!$A$5:$B$300</definedName>
    <definedName name="väestö2">Taustatiedot!$B$18:$D$312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N18" i="29" l="1"/>
  <c r="CO18" i="29"/>
  <c r="BP18" i="29"/>
  <c r="BQ18" i="29"/>
  <c r="BR18" i="29"/>
  <c r="BO18" i="29"/>
  <c r="BN18" i="29"/>
  <c r="C34" i="3"/>
  <c r="CA20" i="29"/>
  <c r="CC20" i="29"/>
  <c r="CB20" i="29"/>
  <c r="CD20" i="29"/>
  <c r="CI20" i="29"/>
  <c r="CE20" i="29"/>
  <c r="B39" i="3"/>
  <c r="B40" i="3" l="1"/>
  <c r="H29" i="3"/>
  <c r="G29" i="3"/>
  <c r="F29" i="3"/>
  <c r="E29" i="3"/>
  <c r="D29" i="3"/>
  <c r="A98" i="3"/>
  <c r="BP9" i="29" l="1"/>
  <c r="BP8" i="29"/>
  <c r="B47" i="3" l="1"/>
  <c r="CA21" i="29"/>
  <c r="CA22" i="29"/>
  <c r="CA23" i="29"/>
  <c r="CA24" i="29"/>
  <c r="CA25" i="29"/>
  <c r="CA26" i="29"/>
  <c r="CA27" i="29"/>
  <c r="CA28" i="29"/>
  <c r="CA29" i="29"/>
  <c r="CA30" i="29"/>
  <c r="CA31" i="29"/>
  <c r="CA32" i="29"/>
  <c r="CA33" i="29"/>
  <c r="CA34" i="29"/>
  <c r="CA35" i="29"/>
  <c r="CA36" i="29"/>
  <c r="CA37" i="29"/>
  <c r="CA38" i="29"/>
  <c r="CA39" i="29"/>
  <c r="CA40" i="29"/>
  <c r="CA41" i="29"/>
  <c r="CA42" i="29"/>
  <c r="CA43" i="29"/>
  <c r="CA44" i="29"/>
  <c r="CA45" i="29"/>
  <c r="CA46" i="29"/>
  <c r="CA47" i="29"/>
  <c r="CA48" i="29"/>
  <c r="CA49" i="29"/>
  <c r="CA50" i="29"/>
  <c r="CA51" i="29"/>
  <c r="CA52" i="29"/>
  <c r="CA53" i="29"/>
  <c r="CA54" i="29"/>
  <c r="CA55" i="29"/>
  <c r="CA56" i="29"/>
  <c r="CA57" i="29"/>
  <c r="CA58" i="29"/>
  <c r="CA59" i="29"/>
  <c r="CA60" i="29"/>
  <c r="CA61" i="29"/>
  <c r="CA62" i="29"/>
  <c r="CA63" i="29"/>
  <c r="CA64" i="29"/>
  <c r="CA65" i="29"/>
  <c r="CA66" i="29"/>
  <c r="CA67" i="29"/>
  <c r="CA68" i="29"/>
  <c r="CA69" i="29"/>
  <c r="CA70" i="29"/>
  <c r="CA71" i="29"/>
  <c r="CA72" i="29"/>
  <c r="CA73" i="29"/>
  <c r="CA74" i="29"/>
  <c r="CA75" i="29"/>
  <c r="CA76" i="29"/>
  <c r="CA77" i="29"/>
  <c r="CA78" i="29"/>
  <c r="CA79" i="29"/>
  <c r="CA80" i="29"/>
  <c r="CA81" i="29"/>
  <c r="CA82" i="29"/>
  <c r="CA83" i="29"/>
  <c r="CA84" i="29"/>
  <c r="CA85" i="29"/>
  <c r="CA86" i="29"/>
  <c r="CA87" i="29"/>
  <c r="CA88" i="29"/>
  <c r="CA89" i="29"/>
  <c r="CA90" i="29"/>
  <c r="CA91" i="29"/>
  <c r="CA92" i="29"/>
  <c r="CA93" i="29"/>
  <c r="CA94" i="29"/>
  <c r="CA95" i="29"/>
  <c r="CA96" i="29"/>
  <c r="CA97" i="29"/>
  <c r="CA98" i="29"/>
  <c r="CA99" i="29"/>
  <c r="CA100" i="29"/>
  <c r="CA101" i="29"/>
  <c r="CA102" i="29"/>
  <c r="CA103" i="29"/>
  <c r="CA104" i="29"/>
  <c r="CA105" i="29"/>
  <c r="CA106" i="29"/>
  <c r="CA107" i="29"/>
  <c r="CA108" i="29"/>
  <c r="CA109" i="29"/>
  <c r="CA110" i="29"/>
  <c r="CA111" i="29"/>
  <c r="CA112" i="29"/>
  <c r="CA113" i="29"/>
  <c r="CA114" i="29"/>
  <c r="CA115" i="29"/>
  <c r="CA116" i="29"/>
  <c r="CA117" i="29"/>
  <c r="CA118" i="29"/>
  <c r="CA119" i="29"/>
  <c r="CA120" i="29"/>
  <c r="CA121" i="29"/>
  <c r="CA122" i="29"/>
  <c r="CA123" i="29"/>
  <c r="CA124" i="29"/>
  <c r="CA125" i="29"/>
  <c r="CA126" i="29"/>
  <c r="CA127" i="29"/>
  <c r="CA128" i="29"/>
  <c r="CA129" i="29"/>
  <c r="CA130" i="29"/>
  <c r="CA131" i="29"/>
  <c r="CA132" i="29"/>
  <c r="CA133" i="29"/>
  <c r="CA134" i="29"/>
  <c r="CA135" i="29"/>
  <c r="CA136" i="29"/>
  <c r="CA137" i="29"/>
  <c r="CA138" i="29"/>
  <c r="CA139" i="29"/>
  <c r="CA140" i="29"/>
  <c r="CA141" i="29"/>
  <c r="CA142" i="29"/>
  <c r="CA143" i="29"/>
  <c r="CA144" i="29"/>
  <c r="CA145" i="29"/>
  <c r="CA146" i="29"/>
  <c r="CA147" i="29"/>
  <c r="CA148" i="29"/>
  <c r="CA149" i="29"/>
  <c r="CA150" i="29"/>
  <c r="CA151" i="29"/>
  <c r="CA152" i="29"/>
  <c r="CA153" i="29"/>
  <c r="CA154" i="29"/>
  <c r="CA155" i="29"/>
  <c r="CA156" i="29"/>
  <c r="CA157" i="29"/>
  <c r="CA158" i="29"/>
  <c r="CA159" i="29"/>
  <c r="CA160" i="29"/>
  <c r="CA161" i="29"/>
  <c r="CA162" i="29"/>
  <c r="CA163" i="29"/>
  <c r="CA164" i="29"/>
  <c r="CA165" i="29"/>
  <c r="CA166" i="29"/>
  <c r="CA167" i="29"/>
  <c r="CA168" i="29"/>
  <c r="CA169" i="29"/>
  <c r="CA170" i="29"/>
  <c r="CA171" i="29"/>
  <c r="CA172" i="29"/>
  <c r="CA173" i="29"/>
  <c r="CA174" i="29"/>
  <c r="CA175" i="29"/>
  <c r="CA176" i="29"/>
  <c r="CA177" i="29"/>
  <c r="CA178" i="29"/>
  <c r="CA179" i="29"/>
  <c r="CA180" i="29"/>
  <c r="CA181" i="29"/>
  <c r="CA182" i="29"/>
  <c r="CA183" i="29"/>
  <c r="CA184" i="29"/>
  <c r="CA185" i="29"/>
  <c r="CA186" i="29"/>
  <c r="CA187" i="29"/>
  <c r="CA188" i="29"/>
  <c r="CA189" i="29"/>
  <c r="CA190" i="29"/>
  <c r="CA191" i="29"/>
  <c r="CA192" i="29"/>
  <c r="CA193" i="29"/>
  <c r="CA194" i="29"/>
  <c r="CA195" i="29"/>
  <c r="CA196" i="29"/>
  <c r="CA197" i="29"/>
  <c r="CA198" i="29"/>
  <c r="CA199" i="29"/>
  <c r="CA200" i="29"/>
  <c r="CA201" i="29"/>
  <c r="CA202" i="29"/>
  <c r="CA203" i="29"/>
  <c r="CA204" i="29"/>
  <c r="CA205" i="29"/>
  <c r="CA206" i="29"/>
  <c r="CA207" i="29"/>
  <c r="CA208" i="29"/>
  <c r="CA209" i="29"/>
  <c r="CA210" i="29"/>
  <c r="CA211" i="29"/>
  <c r="CA212" i="29"/>
  <c r="CA213" i="29"/>
  <c r="CA214" i="29"/>
  <c r="CA215" i="29"/>
  <c r="CA216" i="29"/>
  <c r="CA217" i="29"/>
  <c r="CA218" i="29"/>
  <c r="CA219" i="29"/>
  <c r="CA220" i="29"/>
  <c r="CA221" i="29"/>
  <c r="CA222" i="29"/>
  <c r="CA223" i="29"/>
  <c r="CA224" i="29"/>
  <c r="CA225" i="29"/>
  <c r="CA226" i="29"/>
  <c r="CA227" i="29"/>
  <c r="CA228" i="29"/>
  <c r="CA229" i="29"/>
  <c r="CA230" i="29"/>
  <c r="CA231" i="29"/>
  <c r="CA232" i="29"/>
  <c r="CA233" i="29"/>
  <c r="CA234" i="29"/>
  <c r="CA235" i="29"/>
  <c r="CA236" i="29"/>
  <c r="CA237" i="29"/>
  <c r="CA238" i="29"/>
  <c r="CA239" i="29"/>
  <c r="CA240" i="29"/>
  <c r="CA241" i="29"/>
  <c r="CA242" i="29"/>
  <c r="CA243" i="29"/>
  <c r="CA244" i="29"/>
  <c r="CA245" i="29"/>
  <c r="CA246" i="29"/>
  <c r="CA247" i="29"/>
  <c r="CA248" i="29"/>
  <c r="CA249" i="29"/>
  <c r="CA250" i="29"/>
  <c r="CA251" i="29"/>
  <c r="CA252" i="29"/>
  <c r="CA253" i="29"/>
  <c r="CA254" i="29"/>
  <c r="CA255" i="29"/>
  <c r="CA256" i="29"/>
  <c r="CA257" i="29"/>
  <c r="CA258" i="29"/>
  <c r="CA259" i="29"/>
  <c r="CA260" i="29"/>
  <c r="CA261" i="29"/>
  <c r="CA262" i="29"/>
  <c r="CA263" i="29"/>
  <c r="CA264" i="29"/>
  <c r="CA265" i="29"/>
  <c r="CA266" i="29"/>
  <c r="CA267" i="29"/>
  <c r="CA268" i="29"/>
  <c r="CA269" i="29"/>
  <c r="CA270" i="29"/>
  <c r="CA271" i="29"/>
  <c r="CA272" i="29"/>
  <c r="CA273" i="29"/>
  <c r="CA274" i="29"/>
  <c r="CA275" i="29"/>
  <c r="CA276" i="29"/>
  <c r="CA277" i="29"/>
  <c r="CA278" i="29"/>
  <c r="CA279" i="29"/>
  <c r="CA280" i="29"/>
  <c r="CA281" i="29"/>
  <c r="CA282" i="29"/>
  <c r="CA283" i="29"/>
  <c r="CA284" i="29"/>
  <c r="CA285" i="29"/>
  <c r="CA286" i="29"/>
  <c r="CA287" i="29"/>
  <c r="CA288" i="29"/>
  <c r="CA289" i="29"/>
  <c r="CA290" i="29"/>
  <c r="CA291" i="29"/>
  <c r="CA292" i="29"/>
  <c r="CA293" i="29"/>
  <c r="CA294" i="29"/>
  <c r="CA295" i="29"/>
  <c r="CA296" i="29"/>
  <c r="CA297" i="29"/>
  <c r="CA298" i="29"/>
  <c r="CA299" i="29"/>
  <c r="CA300" i="29"/>
  <c r="CA301" i="29"/>
  <c r="CA302" i="29"/>
  <c r="CA303" i="29"/>
  <c r="CA304" i="29"/>
  <c r="CA305" i="29"/>
  <c r="CA306" i="29"/>
  <c r="CA307" i="29"/>
  <c r="CA308" i="29"/>
  <c r="CA309" i="29"/>
  <c r="CA310" i="29"/>
  <c r="CA311" i="29"/>
  <c r="CA312" i="29"/>
  <c r="CB21" i="29"/>
  <c r="CB22" i="29"/>
  <c r="CB23" i="29"/>
  <c r="CB24" i="29"/>
  <c r="CB25" i="29"/>
  <c r="CB26" i="29"/>
  <c r="CB27" i="29"/>
  <c r="CB28" i="29"/>
  <c r="CB29" i="29"/>
  <c r="CB30" i="29"/>
  <c r="CB31" i="29"/>
  <c r="CB32" i="29"/>
  <c r="CB33" i="29"/>
  <c r="CB34" i="29"/>
  <c r="CB35" i="29"/>
  <c r="CB36" i="29"/>
  <c r="CB37" i="29"/>
  <c r="CB38" i="29"/>
  <c r="CB39" i="29"/>
  <c r="CB40" i="29"/>
  <c r="CB41" i="29"/>
  <c r="CB42" i="29"/>
  <c r="CB43" i="29"/>
  <c r="CB44" i="29"/>
  <c r="CB45" i="29"/>
  <c r="CB46" i="29"/>
  <c r="CB47" i="29"/>
  <c r="CB48" i="29"/>
  <c r="CB49" i="29"/>
  <c r="CB50" i="29"/>
  <c r="CB51" i="29"/>
  <c r="CB52" i="29"/>
  <c r="CB53" i="29"/>
  <c r="CB54" i="29"/>
  <c r="CB55" i="29"/>
  <c r="CB56" i="29"/>
  <c r="CB57" i="29"/>
  <c r="CB58" i="29"/>
  <c r="CB59" i="29"/>
  <c r="CB60" i="29"/>
  <c r="CB61" i="29"/>
  <c r="CB62" i="29"/>
  <c r="CB63" i="29"/>
  <c r="CB64" i="29"/>
  <c r="CB65" i="29"/>
  <c r="CB66" i="29"/>
  <c r="CB67" i="29"/>
  <c r="CB68" i="29"/>
  <c r="CB69" i="29"/>
  <c r="CB70" i="29"/>
  <c r="CB71" i="29"/>
  <c r="CB72" i="29"/>
  <c r="CB73" i="29"/>
  <c r="CB74" i="29"/>
  <c r="CB75" i="29"/>
  <c r="CB76" i="29"/>
  <c r="CB77" i="29"/>
  <c r="CB78" i="29"/>
  <c r="CB79" i="29"/>
  <c r="CB80" i="29"/>
  <c r="CB81" i="29"/>
  <c r="CB82" i="29"/>
  <c r="CB83" i="29"/>
  <c r="CB84" i="29"/>
  <c r="CB85" i="29"/>
  <c r="CB86" i="29"/>
  <c r="CB87" i="29"/>
  <c r="CB88" i="29"/>
  <c r="CB89" i="29"/>
  <c r="CB90" i="29"/>
  <c r="CB91" i="29"/>
  <c r="CB92" i="29"/>
  <c r="CB93" i="29"/>
  <c r="CB94" i="29"/>
  <c r="CB95" i="29"/>
  <c r="CB96" i="29"/>
  <c r="CB97" i="29"/>
  <c r="CB98" i="29"/>
  <c r="CB99" i="29"/>
  <c r="CB100" i="29"/>
  <c r="CB101" i="29"/>
  <c r="CB102" i="29"/>
  <c r="CB103" i="29"/>
  <c r="CB104" i="29"/>
  <c r="CB105" i="29"/>
  <c r="CB106" i="29"/>
  <c r="CB107" i="29"/>
  <c r="CB108" i="29"/>
  <c r="CB109" i="29"/>
  <c r="CB110" i="29"/>
  <c r="CB111" i="29"/>
  <c r="CB112" i="29"/>
  <c r="CB113" i="29"/>
  <c r="CB114" i="29"/>
  <c r="CB115" i="29"/>
  <c r="CB116" i="29"/>
  <c r="CB117" i="29"/>
  <c r="CB118" i="29"/>
  <c r="CB119" i="29"/>
  <c r="CB120" i="29"/>
  <c r="CB121" i="29"/>
  <c r="CB122" i="29"/>
  <c r="CB123" i="29"/>
  <c r="CB124" i="29"/>
  <c r="CB125" i="29"/>
  <c r="CB126" i="29"/>
  <c r="CB127" i="29"/>
  <c r="CB128" i="29"/>
  <c r="CB129" i="29"/>
  <c r="CB130" i="29"/>
  <c r="CB131" i="29"/>
  <c r="CB132" i="29"/>
  <c r="CB133" i="29"/>
  <c r="CB134" i="29"/>
  <c r="CB135" i="29"/>
  <c r="CB136" i="29"/>
  <c r="CB137" i="29"/>
  <c r="CB138" i="29"/>
  <c r="CB139" i="29"/>
  <c r="CB140" i="29"/>
  <c r="CB141" i="29"/>
  <c r="CB142" i="29"/>
  <c r="CB143" i="29"/>
  <c r="CB144" i="29"/>
  <c r="CB145" i="29"/>
  <c r="CB146" i="29"/>
  <c r="CB147" i="29"/>
  <c r="CB148" i="29"/>
  <c r="CB149" i="29"/>
  <c r="CB150" i="29"/>
  <c r="CB151" i="29"/>
  <c r="CB152" i="29"/>
  <c r="CB153" i="29"/>
  <c r="CB154" i="29"/>
  <c r="CB155" i="29"/>
  <c r="CB156" i="29"/>
  <c r="CB157" i="29"/>
  <c r="CB158" i="29"/>
  <c r="CB159" i="29"/>
  <c r="CB160" i="29"/>
  <c r="CB161" i="29"/>
  <c r="CB162" i="29"/>
  <c r="CB163" i="29"/>
  <c r="CB164" i="29"/>
  <c r="CB165" i="29"/>
  <c r="CB166" i="29"/>
  <c r="CB167" i="29"/>
  <c r="CB168" i="29"/>
  <c r="CB169" i="29"/>
  <c r="CB170" i="29"/>
  <c r="CB171" i="29"/>
  <c r="CB172" i="29"/>
  <c r="CB173" i="29"/>
  <c r="CB174" i="29"/>
  <c r="CB175" i="29"/>
  <c r="CB176" i="29"/>
  <c r="CB177" i="29"/>
  <c r="CB178" i="29"/>
  <c r="CB179" i="29"/>
  <c r="CB180" i="29"/>
  <c r="CB181" i="29"/>
  <c r="CB182" i="29"/>
  <c r="CB183" i="29"/>
  <c r="CB184" i="29"/>
  <c r="CB185" i="29"/>
  <c r="CB186" i="29"/>
  <c r="CB187" i="29"/>
  <c r="CB188" i="29"/>
  <c r="CB189" i="29"/>
  <c r="CB190" i="29"/>
  <c r="CB191" i="29"/>
  <c r="CB192" i="29"/>
  <c r="CB193" i="29"/>
  <c r="CB194" i="29"/>
  <c r="CB195" i="29"/>
  <c r="CB196" i="29"/>
  <c r="CB197" i="29"/>
  <c r="CB198" i="29"/>
  <c r="CB199" i="29"/>
  <c r="CB200" i="29"/>
  <c r="CB201" i="29"/>
  <c r="CB202" i="29"/>
  <c r="CB203" i="29"/>
  <c r="CB204" i="29"/>
  <c r="CB205" i="29"/>
  <c r="CB206" i="29"/>
  <c r="CB207" i="29"/>
  <c r="CB208" i="29"/>
  <c r="CB209" i="29"/>
  <c r="CB210" i="29"/>
  <c r="CB211" i="29"/>
  <c r="CB212" i="29"/>
  <c r="CB213" i="29"/>
  <c r="CB214" i="29"/>
  <c r="CB215" i="29"/>
  <c r="CB216" i="29"/>
  <c r="CB217" i="29"/>
  <c r="CB218" i="29"/>
  <c r="CB219" i="29"/>
  <c r="CB220" i="29"/>
  <c r="CB221" i="29"/>
  <c r="CB222" i="29"/>
  <c r="CB223" i="29"/>
  <c r="CB224" i="29"/>
  <c r="CB225" i="29"/>
  <c r="CB226" i="29"/>
  <c r="CB227" i="29"/>
  <c r="CB228" i="29"/>
  <c r="CB229" i="29"/>
  <c r="CB230" i="29"/>
  <c r="CB231" i="29"/>
  <c r="CB232" i="29"/>
  <c r="CB233" i="29"/>
  <c r="CB234" i="29"/>
  <c r="CB235" i="29"/>
  <c r="CB236" i="29"/>
  <c r="CB237" i="29"/>
  <c r="CB238" i="29"/>
  <c r="CB239" i="29"/>
  <c r="CB240" i="29"/>
  <c r="CB241" i="29"/>
  <c r="CB242" i="29"/>
  <c r="CB243" i="29"/>
  <c r="CB244" i="29"/>
  <c r="CB245" i="29"/>
  <c r="CB246" i="29"/>
  <c r="CB247" i="29"/>
  <c r="CB248" i="29"/>
  <c r="CB249" i="29"/>
  <c r="CB250" i="29"/>
  <c r="CB251" i="29"/>
  <c r="CB252" i="29"/>
  <c r="CB253" i="29"/>
  <c r="CB254" i="29"/>
  <c r="CB255" i="29"/>
  <c r="CB256" i="29"/>
  <c r="CB257" i="29"/>
  <c r="CB258" i="29"/>
  <c r="CB259" i="29"/>
  <c r="CB260" i="29"/>
  <c r="CB261" i="29"/>
  <c r="CB262" i="29"/>
  <c r="CB263" i="29"/>
  <c r="CB264" i="29"/>
  <c r="CB265" i="29"/>
  <c r="CB266" i="29"/>
  <c r="CB267" i="29"/>
  <c r="CB268" i="29"/>
  <c r="CB269" i="29"/>
  <c r="CB270" i="29"/>
  <c r="CB271" i="29"/>
  <c r="CB272" i="29"/>
  <c r="CB273" i="29"/>
  <c r="CB274" i="29"/>
  <c r="CB275" i="29"/>
  <c r="CB276" i="29"/>
  <c r="CB277" i="29"/>
  <c r="CB278" i="29"/>
  <c r="CB279" i="29"/>
  <c r="CB280" i="29"/>
  <c r="CB281" i="29"/>
  <c r="CB282" i="29"/>
  <c r="CB283" i="29"/>
  <c r="CB284" i="29"/>
  <c r="CB285" i="29"/>
  <c r="CB286" i="29"/>
  <c r="CB287" i="29"/>
  <c r="CB288" i="29"/>
  <c r="CB289" i="29"/>
  <c r="CB290" i="29"/>
  <c r="CB291" i="29"/>
  <c r="CB292" i="29"/>
  <c r="CB293" i="29"/>
  <c r="CB294" i="29"/>
  <c r="CB295" i="29"/>
  <c r="CB296" i="29"/>
  <c r="CB297" i="29"/>
  <c r="CB298" i="29"/>
  <c r="CB299" i="29"/>
  <c r="CB300" i="29"/>
  <c r="CB301" i="29"/>
  <c r="CB302" i="29"/>
  <c r="CB303" i="29"/>
  <c r="CB304" i="29"/>
  <c r="CB305" i="29"/>
  <c r="CB306" i="29"/>
  <c r="CB307" i="29"/>
  <c r="CB308" i="29"/>
  <c r="CB309" i="29"/>
  <c r="CB310" i="29"/>
  <c r="CB311" i="29"/>
  <c r="CB312" i="29"/>
  <c r="BH18" i="29"/>
  <c r="D2" i="32" s="1"/>
  <c r="B34" i="3"/>
  <c r="B48" i="3"/>
  <c r="H90" i="3"/>
  <c r="G90" i="3"/>
  <c r="F90" i="3"/>
  <c r="E90" i="3"/>
  <c r="D90" i="3"/>
  <c r="BU21" i="29"/>
  <c r="BU22" i="29"/>
  <c r="BU23" i="29"/>
  <c r="BU24" i="29"/>
  <c r="BU25" i="29"/>
  <c r="BU26" i="29"/>
  <c r="BU27" i="29"/>
  <c r="BU28" i="29"/>
  <c r="BU29" i="29"/>
  <c r="BU30" i="29"/>
  <c r="BU31" i="29"/>
  <c r="BU32" i="29"/>
  <c r="BU33" i="29"/>
  <c r="BU34" i="29"/>
  <c r="BU35" i="29"/>
  <c r="BU36" i="29"/>
  <c r="BU37" i="29"/>
  <c r="BU38" i="29"/>
  <c r="BU39" i="29"/>
  <c r="BU40" i="29"/>
  <c r="BU41" i="29"/>
  <c r="BU42" i="29"/>
  <c r="BU43" i="29"/>
  <c r="BU44" i="29"/>
  <c r="BU45" i="29"/>
  <c r="BU46" i="29"/>
  <c r="BU47" i="29"/>
  <c r="BU48" i="29"/>
  <c r="BU49" i="29"/>
  <c r="BU50" i="29"/>
  <c r="BU51" i="29"/>
  <c r="BU52" i="29"/>
  <c r="BU53" i="29"/>
  <c r="BU54" i="29"/>
  <c r="BU55" i="29"/>
  <c r="BU56" i="29"/>
  <c r="BU57" i="29"/>
  <c r="BU58" i="29"/>
  <c r="BU59" i="29"/>
  <c r="BU60" i="29"/>
  <c r="BU61" i="29"/>
  <c r="BU62" i="29"/>
  <c r="BU63" i="29"/>
  <c r="BU64" i="29"/>
  <c r="BU65" i="29"/>
  <c r="BU66" i="29"/>
  <c r="BU67" i="29"/>
  <c r="BU68" i="29"/>
  <c r="BU69" i="29"/>
  <c r="BU70" i="29"/>
  <c r="BU71" i="29"/>
  <c r="BU72" i="29"/>
  <c r="BU73" i="29"/>
  <c r="BU74" i="29"/>
  <c r="BU75" i="29"/>
  <c r="BU76" i="29"/>
  <c r="BU77" i="29"/>
  <c r="BU78" i="29"/>
  <c r="BU79" i="29"/>
  <c r="BU80" i="29"/>
  <c r="BU81" i="29"/>
  <c r="BU82" i="29"/>
  <c r="BU83" i="29"/>
  <c r="BU84" i="29"/>
  <c r="BU85" i="29"/>
  <c r="BU86" i="29"/>
  <c r="BU87" i="29"/>
  <c r="BU88" i="29"/>
  <c r="BU89" i="29"/>
  <c r="BU90" i="29"/>
  <c r="BU91" i="29"/>
  <c r="BU92" i="29"/>
  <c r="BU93" i="29"/>
  <c r="BU94" i="29"/>
  <c r="BU95" i="29"/>
  <c r="BU96" i="29"/>
  <c r="BU97" i="29"/>
  <c r="BU98" i="29"/>
  <c r="BU99" i="29"/>
  <c r="BU100" i="29"/>
  <c r="BU101" i="29"/>
  <c r="BU102" i="29"/>
  <c r="BU103" i="29"/>
  <c r="BU104" i="29"/>
  <c r="BU105" i="29"/>
  <c r="BU106" i="29"/>
  <c r="BU107" i="29"/>
  <c r="BU108" i="29"/>
  <c r="BU109" i="29"/>
  <c r="BU110" i="29"/>
  <c r="BU111" i="29"/>
  <c r="BU112" i="29"/>
  <c r="BU113" i="29"/>
  <c r="BU114" i="29"/>
  <c r="BU115" i="29"/>
  <c r="BU116" i="29"/>
  <c r="BU117" i="29"/>
  <c r="BU118" i="29"/>
  <c r="BU119" i="29"/>
  <c r="BU120" i="29"/>
  <c r="BU121" i="29"/>
  <c r="BU122" i="29"/>
  <c r="BU123" i="29"/>
  <c r="BU124" i="29"/>
  <c r="BU125" i="29"/>
  <c r="BU126" i="29"/>
  <c r="BU127" i="29"/>
  <c r="BU128" i="29"/>
  <c r="BU129" i="29"/>
  <c r="BU130" i="29"/>
  <c r="BU131" i="29"/>
  <c r="BU132" i="29"/>
  <c r="BU133" i="29"/>
  <c r="BU134" i="29"/>
  <c r="BU135" i="29"/>
  <c r="BU136" i="29"/>
  <c r="BU137" i="29"/>
  <c r="BU138" i="29"/>
  <c r="BU139" i="29"/>
  <c r="BU140" i="29"/>
  <c r="BU141" i="29"/>
  <c r="BU142" i="29"/>
  <c r="BU143" i="29"/>
  <c r="BU144" i="29"/>
  <c r="BU145" i="29"/>
  <c r="BU146" i="29"/>
  <c r="BU147" i="29"/>
  <c r="BU148" i="29"/>
  <c r="BU149" i="29"/>
  <c r="BU150" i="29"/>
  <c r="BU151" i="29"/>
  <c r="BU152" i="29"/>
  <c r="BU153" i="29"/>
  <c r="BU154" i="29"/>
  <c r="BU155" i="29"/>
  <c r="BU156" i="29"/>
  <c r="BU157" i="29"/>
  <c r="BU158" i="29"/>
  <c r="BU159" i="29"/>
  <c r="BU160" i="29"/>
  <c r="BU161" i="29"/>
  <c r="BU162" i="29"/>
  <c r="BU163" i="29"/>
  <c r="BU164" i="29"/>
  <c r="BU165" i="29"/>
  <c r="BU166" i="29"/>
  <c r="BU167" i="29"/>
  <c r="BU168" i="29"/>
  <c r="BU169" i="29"/>
  <c r="BU170" i="29"/>
  <c r="BU171" i="29"/>
  <c r="BU172" i="29"/>
  <c r="BU173" i="29"/>
  <c r="BU174" i="29"/>
  <c r="BU175" i="29"/>
  <c r="BU176" i="29"/>
  <c r="BU177" i="29"/>
  <c r="BU178" i="29"/>
  <c r="BU179" i="29"/>
  <c r="BU180" i="29"/>
  <c r="BU181" i="29"/>
  <c r="BU182" i="29"/>
  <c r="BU183" i="29"/>
  <c r="BU184" i="29"/>
  <c r="BU185" i="29"/>
  <c r="BU186" i="29"/>
  <c r="BU187" i="29"/>
  <c r="BU188" i="29"/>
  <c r="BU189" i="29"/>
  <c r="BU190" i="29"/>
  <c r="BU191" i="29"/>
  <c r="BU192" i="29"/>
  <c r="BU193" i="29"/>
  <c r="BU194" i="29"/>
  <c r="BU195" i="29"/>
  <c r="BU196" i="29"/>
  <c r="BU197" i="29"/>
  <c r="BU198" i="29"/>
  <c r="BU199" i="29"/>
  <c r="BU200" i="29"/>
  <c r="BU201" i="29"/>
  <c r="BU202" i="29"/>
  <c r="BU203" i="29"/>
  <c r="BU204" i="29"/>
  <c r="BU205" i="29"/>
  <c r="BU206" i="29"/>
  <c r="BU207" i="29"/>
  <c r="BU208" i="29"/>
  <c r="BU209" i="29"/>
  <c r="BU210" i="29"/>
  <c r="BU211" i="29"/>
  <c r="BU212" i="29"/>
  <c r="BU213" i="29"/>
  <c r="BU214" i="29"/>
  <c r="BU215" i="29"/>
  <c r="BU216" i="29"/>
  <c r="BU217" i="29"/>
  <c r="BU218" i="29"/>
  <c r="BU219" i="29"/>
  <c r="BU220" i="29"/>
  <c r="BU221" i="29"/>
  <c r="BU222" i="29"/>
  <c r="BU223" i="29"/>
  <c r="BU224" i="29"/>
  <c r="BU225" i="29"/>
  <c r="BU226" i="29"/>
  <c r="BU227" i="29"/>
  <c r="BU228" i="29"/>
  <c r="BU229" i="29"/>
  <c r="BU230" i="29"/>
  <c r="BU231" i="29"/>
  <c r="BU232" i="29"/>
  <c r="BU233" i="29"/>
  <c r="BU234" i="29"/>
  <c r="BU235" i="29"/>
  <c r="BU236" i="29"/>
  <c r="BU237" i="29"/>
  <c r="BU238" i="29"/>
  <c r="BU239" i="29"/>
  <c r="BU240" i="29"/>
  <c r="BU241" i="29"/>
  <c r="BU242" i="29"/>
  <c r="BU243" i="29"/>
  <c r="BU244" i="29"/>
  <c r="BU245" i="29"/>
  <c r="BU246" i="29"/>
  <c r="BU247" i="29"/>
  <c r="BU248" i="29"/>
  <c r="BU249" i="29"/>
  <c r="BU250" i="29"/>
  <c r="BU251" i="29"/>
  <c r="BU252" i="29"/>
  <c r="BU253" i="29"/>
  <c r="BU254" i="29"/>
  <c r="BU255" i="29"/>
  <c r="BU256" i="29"/>
  <c r="BU257" i="29"/>
  <c r="BU258" i="29"/>
  <c r="BU259" i="29"/>
  <c r="BU260" i="29"/>
  <c r="BU261" i="29"/>
  <c r="BU262" i="29"/>
  <c r="BU263" i="29"/>
  <c r="BU264" i="29"/>
  <c r="BU265" i="29"/>
  <c r="BU266" i="29"/>
  <c r="BU267" i="29"/>
  <c r="BU268" i="29"/>
  <c r="BU269" i="29"/>
  <c r="BU270" i="29"/>
  <c r="BU271" i="29"/>
  <c r="BU272" i="29"/>
  <c r="BU273" i="29"/>
  <c r="BU274" i="29"/>
  <c r="BU275" i="29"/>
  <c r="BU276" i="29"/>
  <c r="BU277" i="29"/>
  <c r="BU278" i="29"/>
  <c r="BU279" i="29"/>
  <c r="BU280" i="29"/>
  <c r="BU281" i="29"/>
  <c r="BU282" i="29"/>
  <c r="BU283" i="29"/>
  <c r="BU284" i="29"/>
  <c r="BU285" i="29"/>
  <c r="BU286" i="29"/>
  <c r="BU287" i="29"/>
  <c r="BU288" i="29"/>
  <c r="BU289" i="29"/>
  <c r="BU290" i="29"/>
  <c r="BU291" i="29"/>
  <c r="BU292" i="29"/>
  <c r="BU293" i="29"/>
  <c r="BU294" i="29"/>
  <c r="BU295" i="29"/>
  <c r="BU296" i="29"/>
  <c r="BU297" i="29"/>
  <c r="BU298" i="29"/>
  <c r="BU299" i="29"/>
  <c r="BU300" i="29"/>
  <c r="BU301" i="29"/>
  <c r="BU302" i="29"/>
  <c r="BU303" i="29"/>
  <c r="BU304" i="29"/>
  <c r="BU305" i="29"/>
  <c r="BU306" i="29"/>
  <c r="BU307" i="29"/>
  <c r="BU308" i="29"/>
  <c r="BU309" i="29"/>
  <c r="BU310" i="29"/>
  <c r="BU311" i="29"/>
  <c r="BU312" i="29"/>
  <c r="BU20" i="29"/>
  <c r="B90" i="3"/>
  <c r="B52" i="3"/>
  <c r="BT21" i="29"/>
  <c r="BT22" i="29"/>
  <c r="BT23" i="29"/>
  <c r="BT24" i="29"/>
  <c r="BT25" i="29"/>
  <c r="BT26" i="29"/>
  <c r="BT27" i="29"/>
  <c r="BT28" i="29"/>
  <c r="BT29" i="29"/>
  <c r="BT30" i="29"/>
  <c r="BT31" i="29"/>
  <c r="BT32" i="29"/>
  <c r="BT33" i="29"/>
  <c r="BT34" i="29"/>
  <c r="BT35" i="29"/>
  <c r="BT36" i="29"/>
  <c r="BT37" i="29"/>
  <c r="BT38" i="29"/>
  <c r="BT39" i="29"/>
  <c r="BT40" i="29"/>
  <c r="BT41" i="29"/>
  <c r="BT42" i="29"/>
  <c r="BT43" i="29"/>
  <c r="BT44" i="29"/>
  <c r="BT45" i="29"/>
  <c r="BT46" i="29"/>
  <c r="BT47" i="29"/>
  <c r="BT48" i="29"/>
  <c r="BT49" i="29"/>
  <c r="BT50" i="29"/>
  <c r="BT51" i="29"/>
  <c r="BT52" i="29"/>
  <c r="BT53" i="29"/>
  <c r="BT54" i="29"/>
  <c r="BT55" i="29"/>
  <c r="BT56" i="29"/>
  <c r="BT57" i="29"/>
  <c r="BT58" i="29"/>
  <c r="BT59" i="29"/>
  <c r="BT60" i="29"/>
  <c r="BT61" i="29"/>
  <c r="BT62" i="29"/>
  <c r="BT63" i="29"/>
  <c r="BT64" i="29"/>
  <c r="BT65" i="29"/>
  <c r="BT66" i="29"/>
  <c r="BT67" i="29"/>
  <c r="BT68" i="29"/>
  <c r="BT69" i="29"/>
  <c r="BT70" i="29"/>
  <c r="BT71" i="29"/>
  <c r="BT72" i="29"/>
  <c r="BT73" i="29"/>
  <c r="BT74" i="29"/>
  <c r="BT75" i="29"/>
  <c r="BT76" i="29"/>
  <c r="BT77" i="29"/>
  <c r="BT78" i="29"/>
  <c r="BT79" i="29"/>
  <c r="BT80" i="29"/>
  <c r="BT81" i="29"/>
  <c r="BT82" i="29"/>
  <c r="BT83" i="29"/>
  <c r="BT84" i="29"/>
  <c r="BT85" i="29"/>
  <c r="BT86" i="29"/>
  <c r="BT87" i="29"/>
  <c r="BT88" i="29"/>
  <c r="BT89" i="29"/>
  <c r="BT90" i="29"/>
  <c r="BT91" i="29"/>
  <c r="BT92" i="29"/>
  <c r="BT93" i="29"/>
  <c r="BT94" i="29"/>
  <c r="BT95" i="29"/>
  <c r="BT96" i="29"/>
  <c r="BT97" i="29"/>
  <c r="BT98" i="29"/>
  <c r="BT99" i="29"/>
  <c r="BT100" i="29"/>
  <c r="BT101" i="29"/>
  <c r="BT102" i="29"/>
  <c r="BT103" i="29"/>
  <c r="BT104" i="29"/>
  <c r="BT105" i="29"/>
  <c r="BT106" i="29"/>
  <c r="BT107" i="29"/>
  <c r="BT108" i="29"/>
  <c r="BT109" i="29"/>
  <c r="BT110" i="29"/>
  <c r="BT111" i="29"/>
  <c r="BT112" i="29"/>
  <c r="BT113" i="29"/>
  <c r="BT114" i="29"/>
  <c r="BT115" i="29"/>
  <c r="BT116" i="29"/>
  <c r="BT117" i="29"/>
  <c r="BT118" i="29"/>
  <c r="BT119" i="29"/>
  <c r="BT120" i="29"/>
  <c r="BT121" i="29"/>
  <c r="BT122" i="29"/>
  <c r="BT123" i="29"/>
  <c r="BT124" i="29"/>
  <c r="BT125" i="29"/>
  <c r="BT126" i="29"/>
  <c r="BT127" i="29"/>
  <c r="BT128" i="29"/>
  <c r="BT129" i="29"/>
  <c r="BT130" i="29"/>
  <c r="BT131" i="29"/>
  <c r="BT132" i="29"/>
  <c r="BT133" i="29"/>
  <c r="BT134" i="29"/>
  <c r="BT135" i="29"/>
  <c r="BT136" i="29"/>
  <c r="BT137" i="29"/>
  <c r="BT138" i="29"/>
  <c r="BT139" i="29"/>
  <c r="BT140" i="29"/>
  <c r="BT141" i="29"/>
  <c r="BT142" i="29"/>
  <c r="BT143" i="29"/>
  <c r="BT144" i="29"/>
  <c r="BT145" i="29"/>
  <c r="BT146" i="29"/>
  <c r="BT147" i="29"/>
  <c r="BT148" i="29"/>
  <c r="BT149" i="29"/>
  <c r="BT150" i="29"/>
  <c r="BT151" i="29"/>
  <c r="BT152" i="29"/>
  <c r="BT153" i="29"/>
  <c r="BT154" i="29"/>
  <c r="BT155" i="29"/>
  <c r="BT156" i="29"/>
  <c r="BT157" i="29"/>
  <c r="BT158" i="29"/>
  <c r="BT159" i="29"/>
  <c r="BT160" i="29"/>
  <c r="BT161" i="29"/>
  <c r="BT162" i="29"/>
  <c r="BT163" i="29"/>
  <c r="BT164" i="29"/>
  <c r="BT165" i="29"/>
  <c r="BT166" i="29"/>
  <c r="BT167" i="29"/>
  <c r="BT168" i="29"/>
  <c r="BT169" i="29"/>
  <c r="BT170" i="29"/>
  <c r="BT171" i="29"/>
  <c r="BT172" i="29"/>
  <c r="BT173" i="29"/>
  <c r="BT174" i="29"/>
  <c r="BT175" i="29"/>
  <c r="BT176" i="29"/>
  <c r="BT177" i="29"/>
  <c r="BT178" i="29"/>
  <c r="BT179" i="29"/>
  <c r="BT180" i="29"/>
  <c r="BT181" i="29"/>
  <c r="BT182" i="29"/>
  <c r="BT183" i="29"/>
  <c r="BT184" i="29"/>
  <c r="BT185" i="29"/>
  <c r="BT186" i="29"/>
  <c r="BT187" i="29"/>
  <c r="BT188" i="29"/>
  <c r="BT189" i="29"/>
  <c r="BT190" i="29"/>
  <c r="BT191" i="29"/>
  <c r="BT192" i="29"/>
  <c r="BT193" i="29"/>
  <c r="BT194" i="29"/>
  <c r="BT195" i="29"/>
  <c r="BT196" i="29"/>
  <c r="BT197" i="29"/>
  <c r="BT198" i="29"/>
  <c r="BT199" i="29"/>
  <c r="BT200" i="29"/>
  <c r="BT201" i="29"/>
  <c r="BT202" i="29"/>
  <c r="BT203" i="29"/>
  <c r="BT204" i="29"/>
  <c r="BT205" i="29"/>
  <c r="BT206" i="29"/>
  <c r="BT207" i="29"/>
  <c r="BT208" i="29"/>
  <c r="BT209" i="29"/>
  <c r="BT210" i="29"/>
  <c r="BT211" i="29"/>
  <c r="BT212" i="29"/>
  <c r="BT213" i="29"/>
  <c r="BT214" i="29"/>
  <c r="BT215" i="29"/>
  <c r="BT216" i="29"/>
  <c r="BT217" i="29"/>
  <c r="BT218" i="29"/>
  <c r="BT219" i="29"/>
  <c r="BT220" i="29"/>
  <c r="BT221" i="29"/>
  <c r="BT222" i="29"/>
  <c r="BT223" i="29"/>
  <c r="BT224" i="29"/>
  <c r="BT225" i="29"/>
  <c r="BT226" i="29"/>
  <c r="BT227" i="29"/>
  <c r="BT228" i="29"/>
  <c r="BT229" i="29"/>
  <c r="BT230" i="29"/>
  <c r="BT231" i="29"/>
  <c r="BT232" i="29"/>
  <c r="BT233" i="29"/>
  <c r="BT234" i="29"/>
  <c r="BT235" i="29"/>
  <c r="BT236" i="29"/>
  <c r="BT237" i="29"/>
  <c r="BT238" i="29"/>
  <c r="BT239" i="29"/>
  <c r="BT240" i="29"/>
  <c r="BT241" i="29"/>
  <c r="BT242" i="29"/>
  <c r="BT243" i="29"/>
  <c r="BT244" i="29"/>
  <c r="BT245" i="29"/>
  <c r="BT246" i="29"/>
  <c r="BT247" i="29"/>
  <c r="BT248" i="29"/>
  <c r="BT249" i="29"/>
  <c r="BT250" i="29"/>
  <c r="BT251" i="29"/>
  <c r="BT252" i="29"/>
  <c r="BT253" i="29"/>
  <c r="BT254" i="29"/>
  <c r="BT255" i="29"/>
  <c r="BT256" i="29"/>
  <c r="BT257" i="29"/>
  <c r="BT258" i="29"/>
  <c r="BT259" i="29"/>
  <c r="BT260" i="29"/>
  <c r="BT261" i="29"/>
  <c r="BT262" i="29"/>
  <c r="BT263" i="29"/>
  <c r="BT264" i="29"/>
  <c r="BT265" i="29"/>
  <c r="BT266" i="29"/>
  <c r="BT267" i="29"/>
  <c r="BT268" i="29"/>
  <c r="BT269" i="29"/>
  <c r="BT270" i="29"/>
  <c r="BT271" i="29"/>
  <c r="BT272" i="29"/>
  <c r="BT273" i="29"/>
  <c r="BT274" i="29"/>
  <c r="BT275" i="29"/>
  <c r="BT276" i="29"/>
  <c r="BT277" i="29"/>
  <c r="BT278" i="29"/>
  <c r="BT279" i="29"/>
  <c r="BT280" i="29"/>
  <c r="BT281" i="29"/>
  <c r="BT282" i="29"/>
  <c r="BT283" i="29"/>
  <c r="BT284" i="29"/>
  <c r="BT285" i="29"/>
  <c r="BT286" i="29"/>
  <c r="BT287" i="29"/>
  <c r="BT288" i="29"/>
  <c r="BT289" i="29"/>
  <c r="BT290" i="29"/>
  <c r="BT291" i="29"/>
  <c r="BT292" i="29"/>
  <c r="BT293" i="29"/>
  <c r="BT294" i="29"/>
  <c r="BT295" i="29"/>
  <c r="BT296" i="29"/>
  <c r="BT297" i="29"/>
  <c r="BT298" i="29"/>
  <c r="BT299" i="29"/>
  <c r="BT300" i="29"/>
  <c r="BT301" i="29"/>
  <c r="BT302" i="29"/>
  <c r="BT303" i="29"/>
  <c r="BT304" i="29"/>
  <c r="BT305" i="29"/>
  <c r="BT306" i="29"/>
  <c r="BT307" i="29"/>
  <c r="BT308" i="29"/>
  <c r="BT309" i="29"/>
  <c r="BT310" i="29"/>
  <c r="BT311" i="29"/>
  <c r="BT312" i="29"/>
  <c r="BT20" i="29"/>
  <c r="BS21" i="29"/>
  <c r="BS22" i="29"/>
  <c r="BS23" i="29"/>
  <c r="BS24" i="29"/>
  <c r="BS25" i="29"/>
  <c r="BS26" i="29"/>
  <c r="BS27" i="29"/>
  <c r="BS28" i="29"/>
  <c r="BS29" i="29"/>
  <c r="BS30" i="29"/>
  <c r="BS31" i="29"/>
  <c r="BS32" i="29"/>
  <c r="BS33" i="29"/>
  <c r="BS34" i="29"/>
  <c r="BS35" i="29"/>
  <c r="BS36" i="29"/>
  <c r="BS37" i="29"/>
  <c r="BS38" i="29"/>
  <c r="BS39" i="29"/>
  <c r="BS40" i="29"/>
  <c r="BS41" i="29"/>
  <c r="BS42" i="29"/>
  <c r="BS43" i="29"/>
  <c r="BS44" i="29"/>
  <c r="BS45" i="29"/>
  <c r="BS46" i="29"/>
  <c r="BS47" i="29"/>
  <c r="BS48" i="29"/>
  <c r="BS49" i="29"/>
  <c r="BS50" i="29"/>
  <c r="BS51" i="29"/>
  <c r="BS52" i="29"/>
  <c r="BS53" i="29"/>
  <c r="BS54" i="29"/>
  <c r="BS55" i="29"/>
  <c r="BS56" i="29"/>
  <c r="BS57" i="29"/>
  <c r="BS58" i="29"/>
  <c r="BS59" i="29"/>
  <c r="BS60" i="29"/>
  <c r="BS61" i="29"/>
  <c r="BS62" i="29"/>
  <c r="BS63" i="29"/>
  <c r="BS64" i="29"/>
  <c r="BS65" i="29"/>
  <c r="BS66" i="29"/>
  <c r="BS67" i="29"/>
  <c r="BS68" i="29"/>
  <c r="BS69" i="29"/>
  <c r="BS70" i="29"/>
  <c r="BS71" i="29"/>
  <c r="BS72" i="29"/>
  <c r="BS73" i="29"/>
  <c r="BS74" i="29"/>
  <c r="BS75" i="29"/>
  <c r="BS76" i="29"/>
  <c r="BS77" i="29"/>
  <c r="BS78" i="29"/>
  <c r="BS79" i="29"/>
  <c r="BS80" i="29"/>
  <c r="BS81" i="29"/>
  <c r="BS82" i="29"/>
  <c r="BS83" i="29"/>
  <c r="BS84" i="29"/>
  <c r="BS85" i="29"/>
  <c r="BS86" i="29"/>
  <c r="BS87" i="29"/>
  <c r="BS88" i="29"/>
  <c r="BS89" i="29"/>
  <c r="BS90" i="29"/>
  <c r="BS91" i="29"/>
  <c r="BS92" i="29"/>
  <c r="BS93" i="29"/>
  <c r="BS94" i="29"/>
  <c r="BS95" i="29"/>
  <c r="BS96" i="29"/>
  <c r="BS97" i="29"/>
  <c r="BS98" i="29"/>
  <c r="BS99" i="29"/>
  <c r="BS100" i="29"/>
  <c r="BS101" i="29"/>
  <c r="BS102" i="29"/>
  <c r="BS103" i="29"/>
  <c r="BS104" i="29"/>
  <c r="BS105" i="29"/>
  <c r="BS106" i="29"/>
  <c r="BS107" i="29"/>
  <c r="BS108" i="29"/>
  <c r="BS109" i="29"/>
  <c r="BS110" i="29"/>
  <c r="BS111" i="29"/>
  <c r="BS112" i="29"/>
  <c r="BS113" i="29"/>
  <c r="BS114" i="29"/>
  <c r="BS115" i="29"/>
  <c r="BS116" i="29"/>
  <c r="BS117" i="29"/>
  <c r="BS118" i="29"/>
  <c r="BS119" i="29"/>
  <c r="BS120" i="29"/>
  <c r="BS121" i="29"/>
  <c r="BS122" i="29"/>
  <c r="BS123" i="29"/>
  <c r="BS124" i="29"/>
  <c r="BS125" i="29"/>
  <c r="BS126" i="29"/>
  <c r="BS127" i="29"/>
  <c r="BS128" i="29"/>
  <c r="BS129" i="29"/>
  <c r="BS130" i="29"/>
  <c r="BS131" i="29"/>
  <c r="BS132" i="29"/>
  <c r="BS133" i="29"/>
  <c r="BS134" i="29"/>
  <c r="BS135" i="29"/>
  <c r="BS136" i="29"/>
  <c r="BS137" i="29"/>
  <c r="BS138" i="29"/>
  <c r="BS139" i="29"/>
  <c r="BS140" i="29"/>
  <c r="BS141" i="29"/>
  <c r="BS142" i="29"/>
  <c r="BS143" i="29"/>
  <c r="BS144" i="29"/>
  <c r="BS145" i="29"/>
  <c r="BS146" i="29"/>
  <c r="BS147" i="29"/>
  <c r="BS148" i="29"/>
  <c r="BS149" i="29"/>
  <c r="BS150" i="29"/>
  <c r="BS151" i="29"/>
  <c r="BS152" i="29"/>
  <c r="BS153" i="29"/>
  <c r="BS154" i="29"/>
  <c r="BS155" i="29"/>
  <c r="BS156" i="29"/>
  <c r="BS157" i="29"/>
  <c r="BS158" i="29"/>
  <c r="BS159" i="29"/>
  <c r="BS160" i="29"/>
  <c r="BS161" i="29"/>
  <c r="BS162" i="29"/>
  <c r="BS163" i="29"/>
  <c r="BS164" i="29"/>
  <c r="BS165" i="29"/>
  <c r="BS166" i="29"/>
  <c r="BS167" i="29"/>
  <c r="BS168" i="29"/>
  <c r="BS169" i="29"/>
  <c r="BS170" i="29"/>
  <c r="BS171" i="29"/>
  <c r="BS172" i="29"/>
  <c r="BS173" i="29"/>
  <c r="BS174" i="29"/>
  <c r="BS175" i="29"/>
  <c r="BS176" i="29"/>
  <c r="BS177" i="29"/>
  <c r="BS178" i="29"/>
  <c r="BS179" i="29"/>
  <c r="BS180" i="29"/>
  <c r="BS181" i="29"/>
  <c r="BS182" i="29"/>
  <c r="BS183" i="29"/>
  <c r="BS184" i="29"/>
  <c r="BS185" i="29"/>
  <c r="BS186" i="29"/>
  <c r="BS187" i="29"/>
  <c r="BS188" i="29"/>
  <c r="BS189" i="29"/>
  <c r="BS190" i="29"/>
  <c r="BS191" i="29"/>
  <c r="BS192" i="29"/>
  <c r="BS193" i="29"/>
  <c r="BS194" i="29"/>
  <c r="BS195" i="29"/>
  <c r="BS196" i="29"/>
  <c r="BS197" i="29"/>
  <c r="BS198" i="29"/>
  <c r="BS199" i="29"/>
  <c r="BS200" i="29"/>
  <c r="BS201" i="29"/>
  <c r="BS202" i="29"/>
  <c r="BS203" i="29"/>
  <c r="BS204" i="29"/>
  <c r="BS205" i="29"/>
  <c r="BS206" i="29"/>
  <c r="BS207" i="29"/>
  <c r="BS208" i="29"/>
  <c r="BS209" i="29"/>
  <c r="BS210" i="29"/>
  <c r="BS211" i="29"/>
  <c r="BS212" i="29"/>
  <c r="BS213" i="29"/>
  <c r="BS214" i="29"/>
  <c r="BS215" i="29"/>
  <c r="BS216" i="29"/>
  <c r="BS217" i="29"/>
  <c r="BS218" i="29"/>
  <c r="BS219" i="29"/>
  <c r="BS220" i="29"/>
  <c r="BS221" i="29"/>
  <c r="BS222" i="29"/>
  <c r="BS223" i="29"/>
  <c r="BS224" i="29"/>
  <c r="BS225" i="29"/>
  <c r="BS226" i="29"/>
  <c r="BS227" i="29"/>
  <c r="BS228" i="29"/>
  <c r="BS229" i="29"/>
  <c r="BS230" i="29"/>
  <c r="BS231" i="29"/>
  <c r="BS232" i="29"/>
  <c r="BS233" i="29"/>
  <c r="BS234" i="29"/>
  <c r="BS235" i="29"/>
  <c r="BS236" i="29"/>
  <c r="BS237" i="29"/>
  <c r="BS238" i="29"/>
  <c r="BS239" i="29"/>
  <c r="BS240" i="29"/>
  <c r="BS241" i="29"/>
  <c r="BS242" i="29"/>
  <c r="BS243" i="29"/>
  <c r="BS244" i="29"/>
  <c r="BS245" i="29"/>
  <c r="BS246" i="29"/>
  <c r="BS247" i="29"/>
  <c r="BS248" i="29"/>
  <c r="BS249" i="29"/>
  <c r="BS250" i="29"/>
  <c r="BS251" i="29"/>
  <c r="BS252" i="29"/>
  <c r="BS253" i="29"/>
  <c r="BS254" i="29"/>
  <c r="BS255" i="29"/>
  <c r="BS256" i="29"/>
  <c r="BS257" i="29"/>
  <c r="BS258" i="29"/>
  <c r="BS259" i="29"/>
  <c r="BS260" i="29"/>
  <c r="BS261" i="29"/>
  <c r="BS262" i="29"/>
  <c r="BS263" i="29"/>
  <c r="BS264" i="29"/>
  <c r="BS265" i="29"/>
  <c r="BS266" i="29"/>
  <c r="BS267" i="29"/>
  <c r="BS268" i="29"/>
  <c r="BS269" i="29"/>
  <c r="BS270" i="29"/>
  <c r="BS271" i="29"/>
  <c r="BS272" i="29"/>
  <c r="BS273" i="29"/>
  <c r="BS274" i="29"/>
  <c r="BS275" i="29"/>
  <c r="BS276" i="29"/>
  <c r="BS277" i="29"/>
  <c r="BS278" i="29"/>
  <c r="BS279" i="29"/>
  <c r="BS280" i="29"/>
  <c r="BS281" i="29"/>
  <c r="BS282" i="29"/>
  <c r="BS283" i="29"/>
  <c r="BS284" i="29"/>
  <c r="BS285" i="29"/>
  <c r="BS286" i="29"/>
  <c r="BS287" i="29"/>
  <c r="BS288" i="29"/>
  <c r="BS289" i="29"/>
  <c r="BS290" i="29"/>
  <c r="BS291" i="29"/>
  <c r="BS292" i="29"/>
  <c r="BS293" i="29"/>
  <c r="BS294" i="29"/>
  <c r="BS295" i="29"/>
  <c r="BS296" i="29"/>
  <c r="BS297" i="29"/>
  <c r="BS298" i="29"/>
  <c r="BS299" i="29"/>
  <c r="BS300" i="29"/>
  <c r="BS301" i="29"/>
  <c r="BS302" i="29"/>
  <c r="BS303" i="29"/>
  <c r="BS304" i="29"/>
  <c r="BS305" i="29"/>
  <c r="BS306" i="29"/>
  <c r="BS307" i="29"/>
  <c r="BS308" i="29"/>
  <c r="BS309" i="29"/>
  <c r="BS310" i="29"/>
  <c r="BS311" i="29"/>
  <c r="BS312" i="29"/>
  <c r="BS20" i="29"/>
  <c r="D52" i="3"/>
  <c r="C35" i="3"/>
  <c r="D56" i="3"/>
  <c r="C2" i="32" l="1"/>
  <c r="C47" i="3"/>
  <c r="E47" i="3" s="1"/>
  <c r="C52" i="3"/>
  <c r="D55" i="3"/>
  <c r="E49" i="3"/>
  <c r="B49" i="3"/>
  <c r="B35" i="3"/>
  <c r="C29" i="3" s="1"/>
  <c r="C48" i="3" l="1"/>
  <c r="E48" i="3" s="1"/>
  <c r="C4" i="32"/>
  <c r="D4" i="32"/>
  <c r="H60" i="3"/>
  <c r="BI11" i="11" s="1"/>
  <c r="G60" i="3"/>
  <c r="BF11" i="11" s="1"/>
  <c r="D60" i="3"/>
  <c r="AW11" i="11" s="1"/>
  <c r="B60" i="3"/>
  <c r="D49" i="3"/>
  <c r="D48" i="3"/>
  <c r="D47" i="3"/>
  <c r="AW7" i="11" s="1"/>
  <c r="B29" i="3"/>
  <c r="E18" i="29"/>
  <c r="AM20" i="29"/>
  <c r="E57" i="3"/>
  <c r="AW18" i="29"/>
  <c r="O20" i="29"/>
  <c r="P20" i="29"/>
  <c r="AM3" i="11"/>
  <c r="AE3" i="11"/>
  <c r="W3" i="11"/>
  <c r="Q3" i="11"/>
  <c r="I3" i="11"/>
  <c r="AR261" i="29"/>
  <c r="AQ261" i="29"/>
  <c r="AP261" i="29"/>
  <c r="AO261" i="29"/>
  <c r="AN261" i="29"/>
  <c r="AM261" i="29"/>
  <c r="AL261" i="29"/>
  <c r="AK261" i="29"/>
  <c r="AJ261" i="29"/>
  <c r="X261" i="29"/>
  <c r="Y261" i="29"/>
  <c r="O261" i="29"/>
  <c r="AR260" i="29"/>
  <c r="AQ260" i="29"/>
  <c r="AP260" i="29"/>
  <c r="AO260" i="29"/>
  <c r="AN260" i="29"/>
  <c r="AM260" i="29"/>
  <c r="AL260" i="29"/>
  <c r="AK260" i="29"/>
  <c r="AJ260" i="29"/>
  <c r="X260" i="29"/>
  <c r="Y260" i="29" s="1"/>
  <c r="O260" i="29"/>
  <c r="AA260" i="29" s="1"/>
  <c r="AB260" i="29" s="1"/>
  <c r="AR259" i="29"/>
  <c r="AQ259" i="29"/>
  <c r="AP259" i="29"/>
  <c r="AO259" i="29"/>
  <c r="AN259" i="29"/>
  <c r="AM259" i="29"/>
  <c r="AL259" i="29"/>
  <c r="AK259" i="29"/>
  <c r="AJ259" i="29"/>
  <c r="X259" i="29"/>
  <c r="O259" i="29"/>
  <c r="P259" i="29" s="1"/>
  <c r="AR258" i="29"/>
  <c r="AQ258" i="29"/>
  <c r="AP258" i="29"/>
  <c r="AO258" i="29"/>
  <c r="AN258" i="29"/>
  <c r="AM258" i="29"/>
  <c r="AL258" i="29"/>
  <c r="AK258" i="29"/>
  <c r="AJ258" i="29"/>
  <c r="X258" i="29"/>
  <c r="Y258" i="29" s="1"/>
  <c r="O258" i="29"/>
  <c r="P258" i="29"/>
  <c r="AR257" i="29"/>
  <c r="AQ257" i="29"/>
  <c r="AP257" i="29"/>
  <c r="AO257" i="29"/>
  <c r="AN257" i="29"/>
  <c r="AM257" i="29"/>
  <c r="AL257" i="29"/>
  <c r="AK257" i="29"/>
  <c r="AJ257" i="29"/>
  <c r="X257" i="29"/>
  <c r="Y257" i="29"/>
  <c r="O257" i="29"/>
  <c r="P257" i="29"/>
  <c r="AR256" i="29"/>
  <c r="AQ256" i="29"/>
  <c r="AP256" i="29"/>
  <c r="AO256" i="29"/>
  <c r="AN256" i="29"/>
  <c r="AM256" i="29"/>
  <c r="AL256" i="29"/>
  <c r="AK256" i="29"/>
  <c r="AJ256" i="29"/>
  <c r="X256" i="29"/>
  <c r="Y256" i="29" s="1"/>
  <c r="O256" i="29"/>
  <c r="P256" i="29"/>
  <c r="AR255" i="29"/>
  <c r="AQ255" i="29"/>
  <c r="AP255" i="29"/>
  <c r="AO255" i="29"/>
  <c r="AN255" i="29"/>
  <c r="AM255" i="29"/>
  <c r="AL255" i="29"/>
  <c r="AK255" i="29"/>
  <c r="AJ255" i="29"/>
  <c r="X255" i="29"/>
  <c r="Y255" i="29" s="1"/>
  <c r="O255" i="29"/>
  <c r="AA255" i="29" s="1"/>
  <c r="AB255" i="29" s="1"/>
  <c r="P255" i="29"/>
  <c r="AR253" i="29"/>
  <c r="AQ253" i="29"/>
  <c r="AP253" i="29"/>
  <c r="AO253" i="29"/>
  <c r="AN253" i="29"/>
  <c r="AM253" i="29"/>
  <c r="AL253" i="29"/>
  <c r="AK253" i="29"/>
  <c r="AJ253" i="29"/>
  <c r="X253" i="29"/>
  <c r="Y253" i="29"/>
  <c r="O253" i="29"/>
  <c r="AR252" i="29"/>
  <c r="AQ252" i="29"/>
  <c r="AP252" i="29"/>
  <c r="AO252" i="29"/>
  <c r="AN252" i="29"/>
  <c r="AM252" i="29"/>
  <c r="AL252" i="29"/>
  <c r="AK252" i="29"/>
  <c r="AJ252" i="29"/>
  <c r="X252" i="29"/>
  <c r="Y252" i="29" s="1"/>
  <c r="O252" i="29"/>
  <c r="AR251" i="29"/>
  <c r="AQ251" i="29"/>
  <c r="AP251" i="29"/>
  <c r="AO251" i="29"/>
  <c r="AN251" i="29"/>
  <c r="AM251" i="29"/>
  <c r="AL251" i="29"/>
  <c r="AK251" i="29"/>
  <c r="AJ251" i="29"/>
  <c r="X251" i="29"/>
  <c r="Y251" i="29"/>
  <c r="O251" i="29"/>
  <c r="P251" i="29" s="1"/>
  <c r="AR225" i="29"/>
  <c r="AQ225" i="29"/>
  <c r="AP225" i="29"/>
  <c r="AO225" i="29"/>
  <c r="AN225" i="29"/>
  <c r="AM225" i="29"/>
  <c r="AL225" i="29"/>
  <c r="AK225" i="29"/>
  <c r="AJ225" i="29"/>
  <c r="X225" i="29"/>
  <c r="Y225" i="29"/>
  <c r="O225" i="29"/>
  <c r="AA225" i="29" s="1"/>
  <c r="AB225" i="29" s="1"/>
  <c r="AR126" i="29"/>
  <c r="AQ126" i="29"/>
  <c r="AP126" i="29"/>
  <c r="AO126" i="29"/>
  <c r="AN126" i="29"/>
  <c r="AM126" i="29"/>
  <c r="AL126" i="29"/>
  <c r="AK126" i="29"/>
  <c r="AJ126" i="29"/>
  <c r="X126" i="29"/>
  <c r="Y126" i="29" s="1"/>
  <c r="O126" i="29"/>
  <c r="P126" i="29" s="1"/>
  <c r="AR26" i="29"/>
  <c r="AQ26" i="29"/>
  <c r="AP26" i="29"/>
  <c r="AO26" i="29"/>
  <c r="AN26" i="29"/>
  <c r="AM26" i="29"/>
  <c r="AL26" i="29"/>
  <c r="AK26" i="29"/>
  <c r="AJ26" i="29"/>
  <c r="X26" i="29"/>
  <c r="Y26" i="29" s="1"/>
  <c r="O26" i="29"/>
  <c r="B21" i="3"/>
  <c r="B20" i="3" s="1"/>
  <c r="B300" i="24"/>
  <c r="AR22" i="29"/>
  <c r="AR23" i="29"/>
  <c r="AR24" i="29"/>
  <c r="AR25" i="29"/>
  <c r="AR20" i="29"/>
  <c r="AR27" i="29"/>
  <c r="AR28" i="29"/>
  <c r="AR29" i="29"/>
  <c r="AR30" i="29"/>
  <c r="AR31" i="29"/>
  <c r="AR32" i="29"/>
  <c r="AR33" i="29"/>
  <c r="AR34" i="29"/>
  <c r="AR35" i="29"/>
  <c r="AR36" i="29"/>
  <c r="AR37" i="29"/>
  <c r="AR38" i="29"/>
  <c r="AR39" i="29"/>
  <c r="AR40" i="29"/>
  <c r="AR41" i="29"/>
  <c r="AR42" i="29"/>
  <c r="AR43" i="29"/>
  <c r="AR44" i="29"/>
  <c r="AR46" i="29"/>
  <c r="AR47" i="29"/>
  <c r="AR295" i="29"/>
  <c r="AR48" i="29"/>
  <c r="AR49" i="29"/>
  <c r="AR50" i="29"/>
  <c r="AR51" i="29"/>
  <c r="AR52" i="29"/>
  <c r="AR53" i="29"/>
  <c r="AR54" i="29"/>
  <c r="AR55" i="29"/>
  <c r="AR56" i="29"/>
  <c r="AR45" i="29"/>
  <c r="AR57" i="29"/>
  <c r="AR58" i="29"/>
  <c r="AR59" i="29"/>
  <c r="AR60" i="29"/>
  <c r="AR61" i="29"/>
  <c r="AR62" i="29"/>
  <c r="AR64" i="29"/>
  <c r="AR65" i="29"/>
  <c r="AR66" i="29"/>
  <c r="AR67" i="29"/>
  <c r="AR63" i="29"/>
  <c r="AR68" i="29"/>
  <c r="AR69" i="29"/>
  <c r="AR70" i="29"/>
  <c r="AR71" i="29"/>
  <c r="AR72" i="29"/>
  <c r="AR73" i="29"/>
  <c r="AR74" i="29"/>
  <c r="AR75" i="29"/>
  <c r="AR76" i="29"/>
  <c r="AR77" i="29"/>
  <c r="AR78" i="29"/>
  <c r="AR79" i="29"/>
  <c r="AR80" i="29"/>
  <c r="AR81" i="29"/>
  <c r="AR82" i="29"/>
  <c r="AR83" i="29"/>
  <c r="AR84" i="29"/>
  <c r="AR85" i="29"/>
  <c r="AR86" i="29"/>
  <c r="AR87" i="29"/>
  <c r="AR88" i="29"/>
  <c r="AR89" i="29"/>
  <c r="AR90" i="29"/>
  <c r="AR91" i="29"/>
  <c r="AR92" i="29"/>
  <c r="AR93" i="29"/>
  <c r="AR94" i="29"/>
  <c r="AR95" i="29"/>
  <c r="AR96" i="29"/>
  <c r="AR97" i="29"/>
  <c r="AR98" i="29"/>
  <c r="AR99" i="29"/>
  <c r="AR101" i="29"/>
  <c r="AR103" i="29"/>
  <c r="AR104" i="29"/>
  <c r="AR105" i="29"/>
  <c r="AR106" i="29"/>
  <c r="AR107" i="29"/>
  <c r="AR108" i="29"/>
  <c r="AR109" i="29"/>
  <c r="AR110" i="29"/>
  <c r="AR111" i="29"/>
  <c r="AR112" i="29"/>
  <c r="AR113" i="29"/>
  <c r="AR114" i="29"/>
  <c r="AR115" i="29"/>
  <c r="AR116" i="29"/>
  <c r="AR117" i="29"/>
  <c r="AR118" i="29"/>
  <c r="AR119" i="29"/>
  <c r="AR120" i="29"/>
  <c r="AR121" i="29"/>
  <c r="AR122" i="29"/>
  <c r="AR123" i="29"/>
  <c r="AR124" i="29"/>
  <c r="AR125" i="29"/>
  <c r="AR127" i="29"/>
  <c r="AR128" i="29"/>
  <c r="AR129" i="29"/>
  <c r="AR130" i="29"/>
  <c r="AR189" i="29"/>
  <c r="AR131" i="29"/>
  <c r="AR132" i="29"/>
  <c r="AR133" i="29"/>
  <c r="AR100" i="29"/>
  <c r="AR102" i="29"/>
  <c r="AR134" i="29"/>
  <c r="AR135" i="29"/>
  <c r="AR136" i="29"/>
  <c r="AR138" i="29"/>
  <c r="AR139" i="29"/>
  <c r="AR140" i="29"/>
  <c r="AR137" i="29"/>
  <c r="AR141" i="29"/>
  <c r="AR142" i="29"/>
  <c r="AR143" i="29"/>
  <c r="AR144" i="29"/>
  <c r="AR145" i="29"/>
  <c r="AR146" i="29"/>
  <c r="AR147" i="29"/>
  <c r="AR148" i="29"/>
  <c r="AR149" i="29"/>
  <c r="AR150" i="29"/>
  <c r="AR152" i="29"/>
  <c r="AR153" i="29"/>
  <c r="AR154" i="29"/>
  <c r="AR155" i="29"/>
  <c r="AR156" i="29"/>
  <c r="AR157" i="29"/>
  <c r="AR158" i="29"/>
  <c r="AR151" i="29"/>
  <c r="AR193" i="29"/>
  <c r="AR159" i="29"/>
  <c r="AR160" i="29"/>
  <c r="AR161" i="29"/>
  <c r="AR162" i="29"/>
  <c r="AR163" i="29"/>
  <c r="AR164" i="29"/>
  <c r="AR165" i="29"/>
  <c r="AR166" i="29"/>
  <c r="AR167" i="29"/>
  <c r="AR168" i="29"/>
  <c r="AR169" i="29"/>
  <c r="AR170" i="29"/>
  <c r="AR171" i="29"/>
  <c r="AR172" i="29"/>
  <c r="AR173" i="29"/>
  <c r="AR175" i="29"/>
  <c r="AR174" i="29"/>
  <c r="AR176" i="29"/>
  <c r="AR177" i="29"/>
  <c r="AR178" i="29"/>
  <c r="AR179" i="29"/>
  <c r="AR180" i="29"/>
  <c r="AR181" i="29"/>
  <c r="AR182" i="29"/>
  <c r="AR183" i="29"/>
  <c r="AR184" i="29"/>
  <c r="AR185" i="29"/>
  <c r="AR186" i="29"/>
  <c r="AR187" i="29"/>
  <c r="AR188" i="29"/>
  <c r="AR190" i="29"/>
  <c r="AR191" i="29"/>
  <c r="AR192" i="29"/>
  <c r="AR194" i="29"/>
  <c r="AR195" i="29"/>
  <c r="AR197" i="29"/>
  <c r="AR199" i="29"/>
  <c r="AR200" i="29"/>
  <c r="AR201" i="29"/>
  <c r="AR202" i="29"/>
  <c r="AR203" i="29"/>
  <c r="AR204" i="29"/>
  <c r="AR196" i="29"/>
  <c r="AR205" i="29"/>
  <c r="AR206" i="29"/>
  <c r="AR207" i="29"/>
  <c r="AR208" i="29"/>
  <c r="AR209" i="29"/>
  <c r="AR210" i="29"/>
  <c r="AR212" i="29"/>
  <c r="AR213" i="29"/>
  <c r="AR214" i="29"/>
  <c r="AR215" i="29"/>
  <c r="AR216" i="29"/>
  <c r="AR217" i="29"/>
  <c r="AR218" i="29"/>
  <c r="AR219" i="29"/>
  <c r="AR220" i="29"/>
  <c r="AR221" i="29"/>
  <c r="AR222" i="29"/>
  <c r="AR223" i="29"/>
  <c r="AR224" i="29"/>
  <c r="AR211" i="29"/>
  <c r="AR227" i="29"/>
  <c r="AR228" i="29"/>
  <c r="AR229" i="29"/>
  <c r="AR230" i="29"/>
  <c r="AR231" i="29"/>
  <c r="AR232" i="29"/>
  <c r="AR233" i="29"/>
  <c r="AR234" i="29"/>
  <c r="AR235" i="29"/>
  <c r="AR236" i="29"/>
  <c r="AR237" i="29"/>
  <c r="AR238" i="29"/>
  <c r="AR239" i="29"/>
  <c r="AR240" i="29"/>
  <c r="AR241" i="29"/>
  <c r="AR226" i="29"/>
  <c r="AR242" i="29"/>
  <c r="AR243" i="29"/>
  <c r="AR244" i="29"/>
  <c r="AR246" i="29"/>
  <c r="AR247" i="29"/>
  <c r="AR248" i="29"/>
  <c r="AR249" i="29"/>
  <c r="AR250" i="29"/>
  <c r="AR262" i="29"/>
  <c r="AR263" i="29"/>
  <c r="AR264" i="29"/>
  <c r="AR265" i="29"/>
  <c r="AR266" i="29"/>
  <c r="AR267" i="29"/>
  <c r="AR268" i="29"/>
  <c r="AR292" i="29"/>
  <c r="AR245" i="29"/>
  <c r="AR254" i="29"/>
  <c r="AR269" i="29"/>
  <c r="AR270" i="29"/>
  <c r="AR271" i="29"/>
  <c r="AR272" i="29"/>
  <c r="AR273" i="29"/>
  <c r="AR274" i="29"/>
  <c r="AR275" i="29"/>
  <c r="AR276" i="29"/>
  <c r="AR277" i="29"/>
  <c r="AR278" i="29"/>
  <c r="AR279" i="29"/>
  <c r="AR280" i="29"/>
  <c r="AR281" i="29"/>
  <c r="AR198" i="29"/>
  <c r="AR282" i="29"/>
  <c r="AR283" i="29"/>
  <c r="AR284" i="29"/>
  <c r="AR285" i="29"/>
  <c r="AR286" i="29"/>
  <c r="AR287" i="29"/>
  <c r="AR288" i="29"/>
  <c r="AR289" i="29"/>
  <c r="AR290" i="29"/>
  <c r="AR291" i="29"/>
  <c r="AR293" i="29"/>
  <c r="AR294" i="29"/>
  <c r="AR296" i="29"/>
  <c r="AR297" i="29"/>
  <c r="AR298" i="29"/>
  <c r="AR299" i="29"/>
  <c r="AR300" i="29"/>
  <c r="AR301" i="29"/>
  <c r="AR302" i="29"/>
  <c r="AR303" i="29"/>
  <c r="AR304" i="29"/>
  <c r="AR305" i="29"/>
  <c r="AR306" i="29"/>
  <c r="AR307" i="29"/>
  <c r="AR308" i="29"/>
  <c r="AR309" i="29"/>
  <c r="AR310" i="29"/>
  <c r="AR311" i="29"/>
  <c r="AR312" i="29"/>
  <c r="AR21" i="29"/>
  <c r="AQ22" i="29"/>
  <c r="AQ23" i="29"/>
  <c r="AQ24" i="29"/>
  <c r="AQ25" i="29"/>
  <c r="AQ20" i="29"/>
  <c r="AQ27" i="29"/>
  <c r="AQ28" i="29"/>
  <c r="AQ29" i="29"/>
  <c r="AQ30" i="29"/>
  <c r="AQ31" i="29"/>
  <c r="AQ32" i="29"/>
  <c r="AQ33" i="29"/>
  <c r="AQ34" i="29"/>
  <c r="AQ35" i="29"/>
  <c r="AQ36" i="29"/>
  <c r="AQ37" i="29"/>
  <c r="AQ38" i="29"/>
  <c r="AQ39" i="29"/>
  <c r="AQ40" i="29"/>
  <c r="AQ41" i="29"/>
  <c r="AQ42" i="29"/>
  <c r="AQ43" i="29"/>
  <c r="AQ44" i="29"/>
  <c r="AQ46" i="29"/>
  <c r="AQ47" i="29"/>
  <c r="AQ295" i="29"/>
  <c r="AQ48" i="29"/>
  <c r="AQ49" i="29"/>
  <c r="AQ50" i="29"/>
  <c r="AQ51" i="29"/>
  <c r="AQ52" i="29"/>
  <c r="AQ53" i="29"/>
  <c r="AQ54" i="29"/>
  <c r="AQ55" i="29"/>
  <c r="AQ56" i="29"/>
  <c r="AQ45" i="29"/>
  <c r="AQ57" i="29"/>
  <c r="AQ58" i="29"/>
  <c r="AQ59" i="29"/>
  <c r="AQ60" i="29"/>
  <c r="AQ61" i="29"/>
  <c r="AQ62" i="29"/>
  <c r="AQ64" i="29"/>
  <c r="AQ65" i="29"/>
  <c r="AQ66" i="29"/>
  <c r="AQ67" i="29"/>
  <c r="AQ63" i="29"/>
  <c r="AQ68" i="29"/>
  <c r="AQ69" i="29"/>
  <c r="AQ70" i="29"/>
  <c r="AQ71" i="29"/>
  <c r="AQ72" i="29"/>
  <c r="AQ73" i="29"/>
  <c r="AQ74" i="29"/>
  <c r="AQ75" i="29"/>
  <c r="AQ76" i="29"/>
  <c r="AQ77" i="29"/>
  <c r="AQ78" i="29"/>
  <c r="AQ79" i="29"/>
  <c r="AQ80" i="29"/>
  <c r="AQ81" i="29"/>
  <c r="AQ82" i="29"/>
  <c r="AQ83" i="29"/>
  <c r="AQ84" i="29"/>
  <c r="AQ85" i="29"/>
  <c r="AQ86" i="29"/>
  <c r="AQ87" i="29"/>
  <c r="AQ88" i="29"/>
  <c r="AQ89" i="29"/>
  <c r="AQ90" i="29"/>
  <c r="AQ91" i="29"/>
  <c r="AQ92" i="29"/>
  <c r="AQ93" i="29"/>
  <c r="AQ94" i="29"/>
  <c r="AQ95" i="29"/>
  <c r="AQ96" i="29"/>
  <c r="AQ97" i="29"/>
  <c r="AQ98" i="29"/>
  <c r="AQ99" i="29"/>
  <c r="AQ101" i="29"/>
  <c r="AQ103" i="29"/>
  <c r="AQ104" i="29"/>
  <c r="AQ105" i="29"/>
  <c r="AQ106" i="29"/>
  <c r="AQ107" i="29"/>
  <c r="AQ108" i="29"/>
  <c r="AQ109" i="29"/>
  <c r="AQ110" i="29"/>
  <c r="AQ111" i="29"/>
  <c r="AQ112" i="29"/>
  <c r="AQ113" i="29"/>
  <c r="AQ114" i="29"/>
  <c r="AQ115" i="29"/>
  <c r="AQ116" i="29"/>
  <c r="AQ117" i="29"/>
  <c r="AQ118" i="29"/>
  <c r="AQ119" i="29"/>
  <c r="AQ120" i="29"/>
  <c r="AQ121" i="29"/>
  <c r="AQ122" i="29"/>
  <c r="AQ123" i="29"/>
  <c r="AQ124" i="29"/>
  <c r="AQ125" i="29"/>
  <c r="AQ127" i="29"/>
  <c r="AQ128" i="29"/>
  <c r="AQ129" i="29"/>
  <c r="AQ130" i="29"/>
  <c r="AQ189" i="29"/>
  <c r="AQ131" i="29"/>
  <c r="AQ132" i="29"/>
  <c r="AQ133" i="29"/>
  <c r="AQ100" i="29"/>
  <c r="AQ102" i="29"/>
  <c r="AQ134" i="29"/>
  <c r="AQ135" i="29"/>
  <c r="AQ136" i="29"/>
  <c r="AQ138" i="29"/>
  <c r="AQ139" i="29"/>
  <c r="AQ140" i="29"/>
  <c r="AQ137" i="29"/>
  <c r="AQ141" i="29"/>
  <c r="AQ142" i="29"/>
  <c r="AQ143" i="29"/>
  <c r="AQ144" i="29"/>
  <c r="AQ145" i="29"/>
  <c r="AQ146" i="29"/>
  <c r="AQ147" i="29"/>
  <c r="AQ148" i="29"/>
  <c r="AQ149" i="29"/>
  <c r="AQ150" i="29"/>
  <c r="AQ152" i="29"/>
  <c r="AQ153" i="29"/>
  <c r="AQ154" i="29"/>
  <c r="AQ155" i="29"/>
  <c r="AQ156" i="29"/>
  <c r="AQ157" i="29"/>
  <c r="AQ158" i="29"/>
  <c r="AQ151" i="29"/>
  <c r="AQ193" i="29"/>
  <c r="AQ159" i="29"/>
  <c r="AQ160" i="29"/>
  <c r="AQ161" i="29"/>
  <c r="AQ162" i="29"/>
  <c r="AQ163" i="29"/>
  <c r="AQ164" i="29"/>
  <c r="AQ165" i="29"/>
  <c r="AQ166" i="29"/>
  <c r="AQ167" i="29"/>
  <c r="AQ168" i="29"/>
  <c r="AQ169" i="29"/>
  <c r="AQ170" i="29"/>
  <c r="AQ171" i="29"/>
  <c r="AQ172" i="29"/>
  <c r="AQ173" i="29"/>
  <c r="AQ175" i="29"/>
  <c r="AQ174" i="29"/>
  <c r="AQ176" i="29"/>
  <c r="AQ177" i="29"/>
  <c r="AQ178" i="29"/>
  <c r="AQ179" i="29"/>
  <c r="AQ180" i="29"/>
  <c r="AQ181" i="29"/>
  <c r="AQ182" i="29"/>
  <c r="AQ183" i="29"/>
  <c r="AQ184" i="29"/>
  <c r="AQ185" i="29"/>
  <c r="AQ186" i="29"/>
  <c r="AQ187" i="29"/>
  <c r="AQ188" i="29"/>
  <c r="AQ190" i="29"/>
  <c r="AQ191" i="29"/>
  <c r="AQ192" i="29"/>
  <c r="AQ194" i="29"/>
  <c r="AQ195" i="29"/>
  <c r="AQ197" i="29"/>
  <c r="AQ199" i="29"/>
  <c r="AQ200" i="29"/>
  <c r="AQ201" i="29"/>
  <c r="AQ202" i="29"/>
  <c r="AQ203" i="29"/>
  <c r="AQ204" i="29"/>
  <c r="AQ196" i="29"/>
  <c r="AQ205" i="29"/>
  <c r="AQ206" i="29"/>
  <c r="AQ207" i="29"/>
  <c r="AQ208" i="29"/>
  <c r="AQ209" i="29"/>
  <c r="AQ210" i="29"/>
  <c r="AQ212" i="29"/>
  <c r="AQ213" i="29"/>
  <c r="AQ214" i="29"/>
  <c r="AQ215" i="29"/>
  <c r="AQ216" i="29"/>
  <c r="AQ217" i="29"/>
  <c r="AQ218" i="29"/>
  <c r="AQ219" i="29"/>
  <c r="AQ220" i="29"/>
  <c r="AQ221" i="29"/>
  <c r="AQ222" i="29"/>
  <c r="AQ223" i="29"/>
  <c r="AQ224" i="29"/>
  <c r="AQ211" i="29"/>
  <c r="AQ227" i="29"/>
  <c r="AQ228" i="29"/>
  <c r="AQ229" i="29"/>
  <c r="AQ230" i="29"/>
  <c r="AQ231" i="29"/>
  <c r="AQ232" i="29"/>
  <c r="AQ233" i="29"/>
  <c r="AQ234" i="29"/>
  <c r="AQ235" i="29"/>
  <c r="AQ236" i="29"/>
  <c r="AQ237" i="29"/>
  <c r="AQ238" i="29"/>
  <c r="AQ239" i="29"/>
  <c r="AQ240" i="29"/>
  <c r="AQ241" i="29"/>
  <c r="AQ226" i="29"/>
  <c r="AQ242" i="29"/>
  <c r="AQ243" i="29"/>
  <c r="AQ244" i="29"/>
  <c r="AQ246" i="29"/>
  <c r="AQ247" i="29"/>
  <c r="AQ248" i="29"/>
  <c r="AQ249" i="29"/>
  <c r="AQ250" i="29"/>
  <c r="AQ262" i="29"/>
  <c r="AQ263" i="29"/>
  <c r="AQ264" i="29"/>
  <c r="AQ265" i="29"/>
  <c r="AQ266" i="29"/>
  <c r="AQ267" i="29"/>
  <c r="AQ268" i="29"/>
  <c r="AQ292" i="29"/>
  <c r="AQ245" i="29"/>
  <c r="AQ254" i="29"/>
  <c r="AQ269" i="29"/>
  <c r="AQ270" i="29"/>
  <c r="AQ271" i="29"/>
  <c r="AQ272" i="29"/>
  <c r="AQ273" i="29"/>
  <c r="AQ274" i="29"/>
  <c r="AQ275" i="29"/>
  <c r="AQ276" i="29"/>
  <c r="AQ277" i="29"/>
  <c r="AQ278" i="29"/>
  <c r="AQ279" i="29"/>
  <c r="AQ280" i="29"/>
  <c r="AQ281" i="29"/>
  <c r="AQ198" i="29"/>
  <c r="AQ282" i="29"/>
  <c r="AQ283" i="29"/>
  <c r="AQ284" i="29"/>
  <c r="AQ285" i="29"/>
  <c r="AQ286" i="29"/>
  <c r="AQ287" i="29"/>
  <c r="AQ288" i="29"/>
  <c r="AQ289" i="29"/>
  <c r="AQ290" i="29"/>
  <c r="AQ291" i="29"/>
  <c r="AQ293" i="29"/>
  <c r="AQ294" i="29"/>
  <c r="AQ296" i="29"/>
  <c r="AQ297" i="29"/>
  <c r="AQ298" i="29"/>
  <c r="AQ299" i="29"/>
  <c r="AQ300" i="29"/>
  <c r="AQ301" i="29"/>
  <c r="AQ302" i="29"/>
  <c r="AQ303" i="29"/>
  <c r="AQ304" i="29"/>
  <c r="AQ305" i="29"/>
  <c r="AQ306" i="29"/>
  <c r="AQ307" i="29"/>
  <c r="AQ308" i="29"/>
  <c r="AQ309" i="29"/>
  <c r="AQ310" i="29"/>
  <c r="AQ311" i="29"/>
  <c r="AQ312" i="29"/>
  <c r="AQ21" i="29"/>
  <c r="AP22" i="29"/>
  <c r="AP23" i="29"/>
  <c r="AP24" i="29"/>
  <c r="AP25" i="29"/>
  <c r="AP20" i="29"/>
  <c r="AP27" i="29"/>
  <c r="AP28" i="29"/>
  <c r="AP29" i="29"/>
  <c r="AP30" i="29"/>
  <c r="AP31" i="29"/>
  <c r="AP32" i="29"/>
  <c r="AP33" i="29"/>
  <c r="AP34" i="29"/>
  <c r="AP35" i="29"/>
  <c r="AP36" i="29"/>
  <c r="AP37" i="29"/>
  <c r="AP38" i="29"/>
  <c r="AP39" i="29"/>
  <c r="AP40" i="29"/>
  <c r="AP41" i="29"/>
  <c r="AP42" i="29"/>
  <c r="AP43" i="29"/>
  <c r="AP44" i="29"/>
  <c r="AP46" i="29"/>
  <c r="AP47" i="29"/>
  <c r="AP295" i="29"/>
  <c r="AP48" i="29"/>
  <c r="AP49" i="29"/>
  <c r="AP50" i="29"/>
  <c r="AP51" i="29"/>
  <c r="AP52" i="29"/>
  <c r="AP53" i="29"/>
  <c r="AP54" i="29"/>
  <c r="AP55" i="29"/>
  <c r="AP56" i="29"/>
  <c r="AP45" i="29"/>
  <c r="AP57" i="29"/>
  <c r="AP58" i="29"/>
  <c r="AP59" i="29"/>
  <c r="AP60" i="29"/>
  <c r="AP61" i="29"/>
  <c r="AP62" i="29"/>
  <c r="AP64" i="29"/>
  <c r="AP65" i="29"/>
  <c r="AP66" i="29"/>
  <c r="AP67" i="29"/>
  <c r="AP63" i="29"/>
  <c r="AP68" i="29"/>
  <c r="AP69" i="29"/>
  <c r="AP70" i="29"/>
  <c r="AP71" i="29"/>
  <c r="AP72" i="29"/>
  <c r="AP73" i="29"/>
  <c r="AP74" i="29"/>
  <c r="AP75" i="29"/>
  <c r="AP76" i="29"/>
  <c r="AP77" i="29"/>
  <c r="AP78" i="29"/>
  <c r="AP79" i="29"/>
  <c r="AP80" i="29"/>
  <c r="AP81" i="29"/>
  <c r="AP82" i="29"/>
  <c r="AP83" i="29"/>
  <c r="AP84" i="29"/>
  <c r="AP85" i="29"/>
  <c r="AP86" i="29"/>
  <c r="AP87" i="29"/>
  <c r="AP88" i="29"/>
  <c r="AP89" i="29"/>
  <c r="AP90" i="29"/>
  <c r="AP91" i="29"/>
  <c r="AP92" i="29"/>
  <c r="AP93" i="29"/>
  <c r="AP94" i="29"/>
  <c r="AP95" i="29"/>
  <c r="AP96" i="29"/>
  <c r="AP97" i="29"/>
  <c r="AP98" i="29"/>
  <c r="AP99" i="29"/>
  <c r="AP101" i="29"/>
  <c r="AP103" i="29"/>
  <c r="AP104" i="29"/>
  <c r="AP105" i="29"/>
  <c r="AP106" i="29"/>
  <c r="AP107" i="29"/>
  <c r="AP108" i="29"/>
  <c r="AP109" i="29"/>
  <c r="AP110" i="29"/>
  <c r="AP111" i="29"/>
  <c r="AP112" i="29"/>
  <c r="AP113" i="29"/>
  <c r="AP114" i="29"/>
  <c r="AP115" i="29"/>
  <c r="AP116" i="29"/>
  <c r="AP117" i="29"/>
  <c r="AP118" i="29"/>
  <c r="AP119" i="29"/>
  <c r="AP120" i="29"/>
  <c r="AP121" i="29"/>
  <c r="AP122" i="29"/>
  <c r="AP123" i="29"/>
  <c r="AP124" i="29"/>
  <c r="AP125" i="29"/>
  <c r="AP127" i="29"/>
  <c r="AP128" i="29"/>
  <c r="AP129" i="29"/>
  <c r="AP130" i="29"/>
  <c r="AP189" i="29"/>
  <c r="AP131" i="29"/>
  <c r="AP132" i="29"/>
  <c r="AP133" i="29"/>
  <c r="AP100" i="29"/>
  <c r="AP102" i="29"/>
  <c r="AP134" i="29"/>
  <c r="AP135" i="29"/>
  <c r="AP136" i="29"/>
  <c r="AP138" i="29"/>
  <c r="AP139" i="29"/>
  <c r="AP140" i="29"/>
  <c r="AP137" i="29"/>
  <c r="AP141" i="29"/>
  <c r="AP142" i="29"/>
  <c r="AP143" i="29"/>
  <c r="AP144" i="29"/>
  <c r="AP145" i="29"/>
  <c r="AP146" i="29"/>
  <c r="AP147" i="29"/>
  <c r="AP148" i="29"/>
  <c r="AP149" i="29"/>
  <c r="AP150" i="29"/>
  <c r="AP152" i="29"/>
  <c r="AP153" i="29"/>
  <c r="AP154" i="29"/>
  <c r="AP155" i="29"/>
  <c r="AP156" i="29"/>
  <c r="AP157" i="29"/>
  <c r="AP158" i="29"/>
  <c r="AP151" i="29"/>
  <c r="AP193" i="29"/>
  <c r="AP159" i="29"/>
  <c r="AP160" i="29"/>
  <c r="AP161" i="29"/>
  <c r="AP162" i="29"/>
  <c r="AP163" i="29"/>
  <c r="AP164" i="29"/>
  <c r="AP165" i="29"/>
  <c r="AP166" i="29"/>
  <c r="AP167" i="29"/>
  <c r="AP168" i="29"/>
  <c r="AP169" i="29"/>
  <c r="AP170" i="29"/>
  <c r="AP171" i="29"/>
  <c r="AP172" i="29"/>
  <c r="AP173" i="29"/>
  <c r="AP175" i="29"/>
  <c r="AP174" i="29"/>
  <c r="AP176" i="29"/>
  <c r="AP177" i="29"/>
  <c r="AP178" i="29"/>
  <c r="AP179" i="29"/>
  <c r="AP180" i="29"/>
  <c r="AP181" i="29"/>
  <c r="AP182" i="29"/>
  <c r="AP183" i="29"/>
  <c r="AP184" i="29"/>
  <c r="AP185" i="29"/>
  <c r="AP186" i="29"/>
  <c r="AP187" i="29"/>
  <c r="AP188" i="29"/>
  <c r="AP190" i="29"/>
  <c r="AP191" i="29"/>
  <c r="AP192" i="29"/>
  <c r="AP194" i="29"/>
  <c r="AP195" i="29"/>
  <c r="AP197" i="29"/>
  <c r="AP199" i="29"/>
  <c r="AP200" i="29"/>
  <c r="AP201" i="29"/>
  <c r="AP202" i="29"/>
  <c r="AP203" i="29"/>
  <c r="AP204" i="29"/>
  <c r="AP196" i="29"/>
  <c r="AP205" i="29"/>
  <c r="AP206" i="29"/>
  <c r="AP207" i="29"/>
  <c r="AP208" i="29"/>
  <c r="AP209" i="29"/>
  <c r="AP210" i="29"/>
  <c r="AP212" i="29"/>
  <c r="AP213" i="29"/>
  <c r="AP214" i="29"/>
  <c r="AP215" i="29"/>
  <c r="AP216" i="29"/>
  <c r="AP217" i="29"/>
  <c r="AP218" i="29"/>
  <c r="AP219" i="29"/>
  <c r="AP220" i="29"/>
  <c r="AP221" i="29"/>
  <c r="AP222" i="29"/>
  <c r="AP223" i="29"/>
  <c r="AP224" i="29"/>
  <c r="AP211" i="29"/>
  <c r="AP227" i="29"/>
  <c r="AP228" i="29"/>
  <c r="AP229" i="29"/>
  <c r="AP230" i="29"/>
  <c r="AP231" i="29"/>
  <c r="AP232" i="29"/>
  <c r="AP233" i="29"/>
  <c r="AP234" i="29"/>
  <c r="AP235" i="29"/>
  <c r="AP236" i="29"/>
  <c r="AP237" i="29"/>
  <c r="AP238" i="29"/>
  <c r="AP239" i="29"/>
  <c r="AP240" i="29"/>
  <c r="AP241" i="29"/>
  <c r="AP226" i="29"/>
  <c r="AP242" i="29"/>
  <c r="AP243" i="29"/>
  <c r="AP244" i="29"/>
  <c r="AP246" i="29"/>
  <c r="AP247" i="29"/>
  <c r="AP248" i="29"/>
  <c r="AP249" i="29"/>
  <c r="AP250" i="29"/>
  <c r="AP262" i="29"/>
  <c r="AP263" i="29"/>
  <c r="AP264" i="29"/>
  <c r="AP265" i="29"/>
  <c r="AP266" i="29"/>
  <c r="AP267" i="29"/>
  <c r="AP268" i="29"/>
  <c r="AP292" i="29"/>
  <c r="AP245" i="29"/>
  <c r="AP254" i="29"/>
  <c r="AP269" i="29"/>
  <c r="AP270" i="29"/>
  <c r="AP271" i="29"/>
  <c r="AP272" i="29"/>
  <c r="AP273" i="29"/>
  <c r="AP274" i="29"/>
  <c r="AP275" i="29"/>
  <c r="AP276" i="29"/>
  <c r="AP277" i="29"/>
  <c r="AP278" i="29"/>
  <c r="AP279" i="29"/>
  <c r="AP280" i="29"/>
  <c r="AP281" i="29"/>
  <c r="AP198" i="29"/>
  <c r="AP282" i="29"/>
  <c r="AP283" i="29"/>
  <c r="AP284" i="29"/>
  <c r="AP285" i="29"/>
  <c r="AP286" i="29"/>
  <c r="AP287" i="29"/>
  <c r="AP288" i="29"/>
  <c r="AP289" i="29"/>
  <c r="AP290" i="29"/>
  <c r="AP291" i="29"/>
  <c r="AP293" i="29"/>
  <c r="AP294" i="29"/>
  <c r="AP296" i="29"/>
  <c r="AP297" i="29"/>
  <c r="AP298" i="29"/>
  <c r="AP299" i="29"/>
  <c r="AP300" i="29"/>
  <c r="AP301" i="29"/>
  <c r="AP302" i="29"/>
  <c r="AP303" i="29"/>
  <c r="AP304" i="29"/>
  <c r="AP305" i="29"/>
  <c r="AP306" i="29"/>
  <c r="AP307" i="29"/>
  <c r="AP308" i="29"/>
  <c r="AP309" i="29"/>
  <c r="AP310" i="29"/>
  <c r="AP311" i="29"/>
  <c r="AP312" i="29"/>
  <c r="AP21" i="29"/>
  <c r="AO22" i="29"/>
  <c r="AO23" i="29"/>
  <c r="AO24" i="29"/>
  <c r="AO25" i="29"/>
  <c r="AO20" i="29"/>
  <c r="AO27" i="29"/>
  <c r="AO28" i="29"/>
  <c r="AO29" i="29"/>
  <c r="AO30" i="29"/>
  <c r="AO31" i="29"/>
  <c r="AO32" i="29"/>
  <c r="AO33" i="29"/>
  <c r="AO34" i="29"/>
  <c r="AO35" i="29"/>
  <c r="AO36" i="29"/>
  <c r="AO37" i="29"/>
  <c r="AO38" i="29"/>
  <c r="AO39" i="29"/>
  <c r="AO40" i="29"/>
  <c r="AO41" i="29"/>
  <c r="AO42" i="29"/>
  <c r="AO43" i="29"/>
  <c r="AO44" i="29"/>
  <c r="AO46" i="29"/>
  <c r="AO47" i="29"/>
  <c r="AO295" i="29"/>
  <c r="AO48" i="29"/>
  <c r="AO49" i="29"/>
  <c r="AO50" i="29"/>
  <c r="AO51" i="29"/>
  <c r="AO52" i="29"/>
  <c r="AO53" i="29"/>
  <c r="AO54" i="29"/>
  <c r="AO55" i="29"/>
  <c r="AO56" i="29"/>
  <c r="AO45" i="29"/>
  <c r="AO57" i="29"/>
  <c r="AO58" i="29"/>
  <c r="AO59" i="29"/>
  <c r="AO60" i="29"/>
  <c r="AO61" i="29"/>
  <c r="AO62" i="29"/>
  <c r="AO64" i="29"/>
  <c r="AO65" i="29"/>
  <c r="AO66" i="29"/>
  <c r="AO67" i="29"/>
  <c r="AO63" i="29"/>
  <c r="AO68" i="29"/>
  <c r="AO69" i="29"/>
  <c r="AO70" i="29"/>
  <c r="AO71" i="29"/>
  <c r="AO72" i="29"/>
  <c r="AO73" i="29"/>
  <c r="AO74" i="29"/>
  <c r="AO75" i="29"/>
  <c r="AO76" i="29"/>
  <c r="AO77" i="29"/>
  <c r="AO78" i="29"/>
  <c r="AO79" i="29"/>
  <c r="AO80" i="29"/>
  <c r="AO81" i="29"/>
  <c r="AO82" i="29"/>
  <c r="AO83" i="29"/>
  <c r="AO84" i="29"/>
  <c r="AO85" i="29"/>
  <c r="AO86" i="29"/>
  <c r="AO87" i="29"/>
  <c r="AO88" i="29"/>
  <c r="AO89" i="29"/>
  <c r="AO90" i="29"/>
  <c r="AO91" i="29"/>
  <c r="AO92" i="29"/>
  <c r="AO93" i="29"/>
  <c r="AO94" i="29"/>
  <c r="AO95" i="29"/>
  <c r="AO96" i="29"/>
  <c r="AO97" i="29"/>
  <c r="AO98" i="29"/>
  <c r="AO99" i="29"/>
  <c r="AO101" i="29"/>
  <c r="AO103" i="29"/>
  <c r="AO104" i="29"/>
  <c r="AO105" i="29"/>
  <c r="AO106" i="29"/>
  <c r="AO107" i="29"/>
  <c r="AO108" i="29"/>
  <c r="AO109" i="29"/>
  <c r="AO110" i="29"/>
  <c r="AO111" i="29"/>
  <c r="AO112" i="29"/>
  <c r="AO113" i="29"/>
  <c r="AO114" i="29"/>
  <c r="AO115" i="29"/>
  <c r="AO116" i="29"/>
  <c r="AO117" i="29"/>
  <c r="AO118" i="29"/>
  <c r="AO119" i="29"/>
  <c r="AO120" i="29"/>
  <c r="AO121" i="29"/>
  <c r="AO122" i="29"/>
  <c r="AO123" i="29"/>
  <c r="AO124" i="29"/>
  <c r="AO125" i="29"/>
  <c r="AO127" i="29"/>
  <c r="AO128" i="29"/>
  <c r="AO129" i="29"/>
  <c r="AO130" i="29"/>
  <c r="AO189" i="29"/>
  <c r="AO131" i="29"/>
  <c r="AO132" i="29"/>
  <c r="AO133" i="29"/>
  <c r="AO100" i="29"/>
  <c r="AO102" i="29"/>
  <c r="AO134" i="29"/>
  <c r="AO135" i="29"/>
  <c r="AO136" i="29"/>
  <c r="AO138" i="29"/>
  <c r="AO139" i="29"/>
  <c r="AO140" i="29"/>
  <c r="AO137" i="29"/>
  <c r="AO141" i="29"/>
  <c r="AO142" i="29"/>
  <c r="AO143" i="29"/>
  <c r="AO144" i="29"/>
  <c r="AO145" i="29"/>
  <c r="AO146" i="29"/>
  <c r="AO147" i="29"/>
  <c r="AO148" i="29"/>
  <c r="AO149" i="29"/>
  <c r="AO150" i="29"/>
  <c r="AO152" i="29"/>
  <c r="AO153" i="29"/>
  <c r="AO154" i="29"/>
  <c r="AO155" i="29"/>
  <c r="AO156" i="29"/>
  <c r="AO157" i="29"/>
  <c r="AO158" i="29"/>
  <c r="AO151" i="29"/>
  <c r="AO193" i="29"/>
  <c r="AO159" i="29"/>
  <c r="AO160" i="29"/>
  <c r="AO161" i="29"/>
  <c r="AO162" i="29"/>
  <c r="AO163" i="29"/>
  <c r="AO164" i="29"/>
  <c r="AO165" i="29"/>
  <c r="AO166" i="29"/>
  <c r="AO167" i="29"/>
  <c r="AO168" i="29"/>
  <c r="AO169" i="29"/>
  <c r="AO170" i="29"/>
  <c r="AO171" i="29"/>
  <c r="AO172" i="29"/>
  <c r="AO173" i="29"/>
  <c r="AO175" i="29"/>
  <c r="AO174" i="29"/>
  <c r="AO176" i="29"/>
  <c r="AO177" i="29"/>
  <c r="AO178" i="29"/>
  <c r="AO179" i="29"/>
  <c r="AO180" i="29"/>
  <c r="AO181" i="29"/>
  <c r="AO182" i="29"/>
  <c r="AO183" i="29"/>
  <c r="AO184" i="29"/>
  <c r="AO185" i="29"/>
  <c r="AO186" i="29"/>
  <c r="AO187" i="29"/>
  <c r="AO188" i="29"/>
  <c r="AO190" i="29"/>
  <c r="AO191" i="29"/>
  <c r="AO192" i="29"/>
  <c r="AO194" i="29"/>
  <c r="AO195" i="29"/>
  <c r="AO197" i="29"/>
  <c r="AO199" i="29"/>
  <c r="AO200" i="29"/>
  <c r="AO201" i="29"/>
  <c r="AO202" i="29"/>
  <c r="AO203" i="29"/>
  <c r="AO204" i="29"/>
  <c r="AO196" i="29"/>
  <c r="AO205" i="29"/>
  <c r="AO206" i="29"/>
  <c r="AO207" i="29"/>
  <c r="AO208" i="29"/>
  <c r="AO209" i="29"/>
  <c r="AO210" i="29"/>
  <c r="AO212" i="29"/>
  <c r="AO213" i="29"/>
  <c r="AO214" i="29"/>
  <c r="AO215" i="29"/>
  <c r="AO216" i="29"/>
  <c r="AO217" i="29"/>
  <c r="AO218" i="29"/>
  <c r="AO219" i="29"/>
  <c r="AO220" i="29"/>
  <c r="AO221" i="29"/>
  <c r="AO222" i="29"/>
  <c r="AO223" i="29"/>
  <c r="AO224" i="29"/>
  <c r="AO211" i="29"/>
  <c r="AO227" i="29"/>
  <c r="AO228" i="29"/>
  <c r="AO229" i="29"/>
  <c r="AO230" i="29"/>
  <c r="AO231" i="29"/>
  <c r="AO232" i="29"/>
  <c r="AO233" i="29"/>
  <c r="AO234" i="29"/>
  <c r="AO235" i="29"/>
  <c r="AO236" i="29"/>
  <c r="AO237" i="29"/>
  <c r="AO238" i="29"/>
  <c r="AO239" i="29"/>
  <c r="AO240" i="29"/>
  <c r="AO241" i="29"/>
  <c r="AO226" i="29"/>
  <c r="AO242" i="29"/>
  <c r="AO243" i="29"/>
  <c r="AO244" i="29"/>
  <c r="AO246" i="29"/>
  <c r="AO247" i="29"/>
  <c r="AO248" i="29"/>
  <c r="AO249" i="29"/>
  <c r="AO250" i="29"/>
  <c r="AO262" i="29"/>
  <c r="AO263" i="29"/>
  <c r="AO264" i="29"/>
  <c r="AO265" i="29"/>
  <c r="AO266" i="29"/>
  <c r="AO267" i="29"/>
  <c r="AO268" i="29"/>
  <c r="AO292" i="29"/>
  <c r="AO245" i="29"/>
  <c r="AO254" i="29"/>
  <c r="AO269" i="29"/>
  <c r="AO270" i="29"/>
  <c r="AO271" i="29"/>
  <c r="AO272" i="29"/>
  <c r="AO273" i="29"/>
  <c r="AO274" i="29"/>
  <c r="AO275" i="29"/>
  <c r="AO276" i="29"/>
  <c r="AO277" i="29"/>
  <c r="AO278" i="29"/>
  <c r="AO279" i="29"/>
  <c r="AO280" i="29"/>
  <c r="AO281" i="29"/>
  <c r="AO198" i="29"/>
  <c r="AO282" i="29"/>
  <c r="AO283" i="29"/>
  <c r="AO284" i="29"/>
  <c r="AO285" i="29"/>
  <c r="AO286" i="29"/>
  <c r="AO287" i="29"/>
  <c r="AO288" i="29"/>
  <c r="AO289" i="29"/>
  <c r="AO290" i="29"/>
  <c r="AO291" i="29"/>
  <c r="AO293" i="29"/>
  <c r="AO294" i="29"/>
  <c r="AO296" i="29"/>
  <c r="AO297" i="29"/>
  <c r="AO298" i="29"/>
  <c r="AO299" i="29"/>
  <c r="AO300" i="29"/>
  <c r="AO301" i="29"/>
  <c r="AO302" i="29"/>
  <c r="AO303" i="29"/>
  <c r="AO304" i="29"/>
  <c r="AO305" i="29"/>
  <c r="AO306" i="29"/>
  <c r="AO307" i="29"/>
  <c r="AO308" i="29"/>
  <c r="AO309" i="29"/>
  <c r="AO310" i="29"/>
  <c r="AO311" i="29"/>
  <c r="AO312" i="29"/>
  <c r="AO21" i="29"/>
  <c r="AV18" i="29"/>
  <c r="AS18" i="29"/>
  <c r="AY18" i="29"/>
  <c r="AM21" i="29"/>
  <c r="AL22" i="29"/>
  <c r="AL23" i="29"/>
  <c r="AL24" i="29"/>
  <c r="AL25" i="29"/>
  <c r="AL20" i="29"/>
  <c r="AL27" i="29"/>
  <c r="AL28" i="29"/>
  <c r="AL29" i="29"/>
  <c r="AL30" i="29"/>
  <c r="AL31" i="29"/>
  <c r="AL32" i="29"/>
  <c r="AL33" i="29"/>
  <c r="AL34" i="29"/>
  <c r="AL35" i="29"/>
  <c r="AL36" i="29"/>
  <c r="AL37" i="29"/>
  <c r="AL38" i="29"/>
  <c r="AL39" i="29"/>
  <c r="AL40" i="29"/>
  <c r="AL41" i="29"/>
  <c r="AL42" i="29"/>
  <c r="AL43" i="29"/>
  <c r="AL44" i="29"/>
  <c r="AL46" i="29"/>
  <c r="AL47" i="29"/>
  <c r="AL295" i="29"/>
  <c r="AL48" i="29"/>
  <c r="AL49" i="29"/>
  <c r="AL50" i="29"/>
  <c r="AL51" i="29"/>
  <c r="AL52" i="29"/>
  <c r="AL53" i="29"/>
  <c r="AL54" i="29"/>
  <c r="AL55" i="29"/>
  <c r="AL56" i="29"/>
  <c r="AL45" i="29"/>
  <c r="AL57" i="29"/>
  <c r="AL58" i="29"/>
  <c r="AL59" i="29"/>
  <c r="AL60" i="29"/>
  <c r="AL61" i="29"/>
  <c r="AL62" i="29"/>
  <c r="AL64" i="29"/>
  <c r="AL65" i="29"/>
  <c r="AL66" i="29"/>
  <c r="AL67" i="29"/>
  <c r="AL63" i="29"/>
  <c r="AL68" i="29"/>
  <c r="AL69" i="29"/>
  <c r="AL70" i="29"/>
  <c r="AL71" i="29"/>
  <c r="AL72" i="29"/>
  <c r="AL73" i="29"/>
  <c r="AL74" i="29"/>
  <c r="AL75" i="29"/>
  <c r="AL76" i="29"/>
  <c r="AL77" i="29"/>
  <c r="AL78" i="29"/>
  <c r="AL79" i="29"/>
  <c r="AL80" i="29"/>
  <c r="AL81" i="29"/>
  <c r="AL82" i="29"/>
  <c r="AL83" i="29"/>
  <c r="AL84" i="29"/>
  <c r="AL85" i="29"/>
  <c r="AL86" i="29"/>
  <c r="AL87" i="29"/>
  <c r="AL88" i="29"/>
  <c r="AL89" i="29"/>
  <c r="AL90" i="29"/>
  <c r="AL91" i="29"/>
  <c r="AL92" i="29"/>
  <c r="AL93" i="29"/>
  <c r="AL94" i="29"/>
  <c r="AL95" i="29"/>
  <c r="AL96" i="29"/>
  <c r="AL97" i="29"/>
  <c r="AL98" i="29"/>
  <c r="AL99" i="29"/>
  <c r="AL101" i="29"/>
  <c r="AL103" i="29"/>
  <c r="AL104" i="29"/>
  <c r="AL105" i="29"/>
  <c r="AL106" i="29"/>
  <c r="AL107" i="29"/>
  <c r="AL108" i="29"/>
  <c r="AL109" i="29"/>
  <c r="AL110" i="29"/>
  <c r="AL111" i="29"/>
  <c r="AL112" i="29"/>
  <c r="AL113" i="29"/>
  <c r="AL114" i="29"/>
  <c r="AL115" i="29"/>
  <c r="AL116" i="29"/>
  <c r="AL117" i="29"/>
  <c r="AL118" i="29"/>
  <c r="AL119" i="29"/>
  <c r="AL120" i="29"/>
  <c r="AL121" i="29"/>
  <c r="AL122" i="29"/>
  <c r="AL123" i="29"/>
  <c r="AL124" i="29"/>
  <c r="AL125" i="29"/>
  <c r="AL127" i="29"/>
  <c r="AL128" i="29"/>
  <c r="AL129" i="29"/>
  <c r="AL130" i="29"/>
  <c r="AL189" i="29"/>
  <c r="AL131" i="29"/>
  <c r="AL132" i="29"/>
  <c r="AL133" i="29"/>
  <c r="AL100" i="29"/>
  <c r="AL102" i="29"/>
  <c r="AL134" i="29"/>
  <c r="AL135" i="29"/>
  <c r="AL136" i="29"/>
  <c r="AL138" i="29"/>
  <c r="AL139" i="29"/>
  <c r="AL140" i="29"/>
  <c r="AL137" i="29"/>
  <c r="AL141" i="29"/>
  <c r="AL142" i="29"/>
  <c r="AL143" i="29"/>
  <c r="AL144" i="29"/>
  <c r="AL145" i="29"/>
  <c r="AL146" i="29"/>
  <c r="AL147" i="29"/>
  <c r="AL148" i="29"/>
  <c r="AL149" i="29"/>
  <c r="AL150" i="29"/>
  <c r="AL152" i="29"/>
  <c r="AL153" i="29"/>
  <c r="AL154" i="29"/>
  <c r="AL155" i="29"/>
  <c r="AL156" i="29"/>
  <c r="AL157" i="29"/>
  <c r="AL158" i="29"/>
  <c r="AL151" i="29"/>
  <c r="AL193" i="29"/>
  <c r="AL159" i="29"/>
  <c r="AL160" i="29"/>
  <c r="AL161" i="29"/>
  <c r="AL162" i="29"/>
  <c r="AL163" i="29"/>
  <c r="AL164" i="29"/>
  <c r="AL165" i="29"/>
  <c r="AL166" i="29"/>
  <c r="AL167" i="29"/>
  <c r="AL168" i="29"/>
  <c r="AL169" i="29"/>
  <c r="AL170" i="29"/>
  <c r="AL171" i="29"/>
  <c r="AL172" i="29"/>
  <c r="AL173" i="29"/>
  <c r="AL175" i="29"/>
  <c r="AL174" i="29"/>
  <c r="AL176" i="29"/>
  <c r="AL177" i="29"/>
  <c r="AL178" i="29"/>
  <c r="AL179" i="29"/>
  <c r="AL180" i="29"/>
  <c r="AL181" i="29"/>
  <c r="AL182" i="29"/>
  <c r="AL183" i="29"/>
  <c r="AL184" i="29"/>
  <c r="AL185" i="29"/>
  <c r="AL186" i="29"/>
  <c r="AL187" i="29"/>
  <c r="AL188" i="29"/>
  <c r="AL190" i="29"/>
  <c r="AL191" i="29"/>
  <c r="AL192" i="29"/>
  <c r="AL194" i="29"/>
  <c r="AL195" i="29"/>
  <c r="AL197" i="29"/>
  <c r="AL199" i="29"/>
  <c r="AL200" i="29"/>
  <c r="AL201" i="29"/>
  <c r="AL202" i="29"/>
  <c r="AL203" i="29"/>
  <c r="AL204" i="29"/>
  <c r="AL196" i="29"/>
  <c r="AL205" i="29"/>
  <c r="AL206" i="29"/>
  <c r="AL207" i="29"/>
  <c r="AL208" i="29"/>
  <c r="AL209" i="29"/>
  <c r="AL210" i="29"/>
  <c r="AL212" i="29"/>
  <c r="AL213" i="29"/>
  <c r="AL214" i="29"/>
  <c r="AL215" i="29"/>
  <c r="AL216" i="29"/>
  <c r="AL217" i="29"/>
  <c r="AL218" i="29"/>
  <c r="AL219" i="29"/>
  <c r="AL220" i="29"/>
  <c r="AL221" i="29"/>
  <c r="AL222" i="29"/>
  <c r="AL223" i="29"/>
  <c r="AL224" i="29"/>
  <c r="AL211" i="29"/>
  <c r="AL227" i="29"/>
  <c r="AL228" i="29"/>
  <c r="AL229" i="29"/>
  <c r="AL230" i="29"/>
  <c r="AL231" i="29"/>
  <c r="AL232" i="29"/>
  <c r="AL233" i="29"/>
  <c r="AL234" i="29"/>
  <c r="AL235" i="29"/>
  <c r="AL236" i="29"/>
  <c r="AL237" i="29"/>
  <c r="AL238" i="29"/>
  <c r="AL239" i="29"/>
  <c r="AL240" i="29"/>
  <c r="AL241" i="29"/>
  <c r="AL226" i="29"/>
  <c r="AL242" i="29"/>
  <c r="AL243" i="29"/>
  <c r="AL244" i="29"/>
  <c r="AL246" i="29"/>
  <c r="AL247" i="29"/>
  <c r="AL248" i="29"/>
  <c r="AL249" i="29"/>
  <c r="AL250" i="29"/>
  <c r="AL262" i="29"/>
  <c r="AL263" i="29"/>
  <c r="AL264" i="29"/>
  <c r="AL265" i="29"/>
  <c r="AL266" i="29"/>
  <c r="AL267" i="29"/>
  <c r="AL268" i="29"/>
  <c r="AL292" i="29"/>
  <c r="AL245" i="29"/>
  <c r="AL254" i="29"/>
  <c r="AL269" i="29"/>
  <c r="AL270" i="29"/>
  <c r="AL271" i="29"/>
  <c r="AL272" i="29"/>
  <c r="AL273" i="29"/>
  <c r="AL274" i="29"/>
  <c r="AL275" i="29"/>
  <c r="AL276" i="29"/>
  <c r="AL277" i="29"/>
  <c r="AL278" i="29"/>
  <c r="AL279" i="29"/>
  <c r="AL280" i="29"/>
  <c r="AL281" i="29"/>
  <c r="AL198" i="29"/>
  <c r="AL282" i="29"/>
  <c r="AL283" i="29"/>
  <c r="AL284" i="29"/>
  <c r="AL285" i="29"/>
  <c r="AL286" i="29"/>
  <c r="AL287" i="29"/>
  <c r="AL288" i="29"/>
  <c r="AL289" i="29"/>
  <c r="AL290" i="29"/>
  <c r="AL291" i="29"/>
  <c r="AL293" i="29"/>
  <c r="AL294" i="29"/>
  <c r="AL296" i="29"/>
  <c r="AL297" i="29"/>
  <c r="AL298" i="29"/>
  <c r="AL299" i="29"/>
  <c r="AL300" i="29"/>
  <c r="AL301" i="29"/>
  <c r="AL302" i="29"/>
  <c r="AL303" i="29"/>
  <c r="AL304" i="29"/>
  <c r="AL305" i="29"/>
  <c r="AL306" i="29"/>
  <c r="AL307" i="29"/>
  <c r="AL308" i="29"/>
  <c r="AL309" i="29"/>
  <c r="AL310" i="29"/>
  <c r="AL311" i="29"/>
  <c r="AL312" i="29"/>
  <c r="AL21" i="29"/>
  <c r="AN22" i="29"/>
  <c r="AN23" i="29"/>
  <c r="AN24" i="29"/>
  <c r="AN25" i="29"/>
  <c r="AN20" i="29"/>
  <c r="AN27" i="29"/>
  <c r="AN28" i="29"/>
  <c r="AN29" i="29"/>
  <c r="AN30" i="29"/>
  <c r="AN31" i="29"/>
  <c r="AN32" i="29"/>
  <c r="AN33" i="29"/>
  <c r="AN34" i="29"/>
  <c r="AN35" i="29"/>
  <c r="AN36" i="29"/>
  <c r="AN37" i="29"/>
  <c r="AN38" i="29"/>
  <c r="AN39" i="29"/>
  <c r="AN40" i="29"/>
  <c r="AN41" i="29"/>
  <c r="AN42" i="29"/>
  <c r="AN43" i="29"/>
  <c r="AN44" i="29"/>
  <c r="AN46" i="29"/>
  <c r="AN47" i="29"/>
  <c r="AN295" i="29"/>
  <c r="AN48" i="29"/>
  <c r="AN49" i="29"/>
  <c r="AN50" i="29"/>
  <c r="AN51" i="29"/>
  <c r="AN52" i="29"/>
  <c r="AN53" i="29"/>
  <c r="AN54" i="29"/>
  <c r="AN55" i="29"/>
  <c r="AN56" i="29"/>
  <c r="AN45" i="29"/>
  <c r="AN57" i="29"/>
  <c r="AN58" i="29"/>
  <c r="AN59" i="29"/>
  <c r="AN60" i="29"/>
  <c r="AN61" i="29"/>
  <c r="AN62" i="29"/>
  <c r="AN64" i="29"/>
  <c r="AN65" i="29"/>
  <c r="AN66" i="29"/>
  <c r="AN67" i="29"/>
  <c r="AN63" i="29"/>
  <c r="AN68" i="29"/>
  <c r="AN69" i="29"/>
  <c r="AN70" i="29"/>
  <c r="AN71" i="29"/>
  <c r="AN72" i="29"/>
  <c r="AN73" i="29"/>
  <c r="AN74" i="29"/>
  <c r="AN75" i="29"/>
  <c r="AN76" i="29"/>
  <c r="AN77" i="29"/>
  <c r="AN78" i="29"/>
  <c r="AN79" i="29"/>
  <c r="AN80" i="29"/>
  <c r="AN81" i="29"/>
  <c r="AN82" i="29"/>
  <c r="AN83" i="29"/>
  <c r="AN84" i="29"/>
  <c r="AN85" i="29"/>
  <c r="AN86" i="29"/>
  <c r="AN87" i="29"/>
  <c r="AN88" i="29"/>
  <c r="AN89" i="29"/>
  <c r="AN90" i="29"/>
  <c r="AN91" i="29"/>
  <c r="AN92" i="29"/>
  <c r="AN93" i="29"/>
  <c r="AN94" i="29"/>
  <c r="AN95" i="29"/>
  <c r="AN96" i="29"/>
  <c r="AN97" i="29"/>
  <c r="AN98" i="29"/>
  <c r="AN99" i="29"/>
  <c r="AN101" i="29"/>
  <c r="AN103" i="29"/>
  <c r="AN104" i="29"/>
  <c r="AN105" i="29"/>
  <c r="AN106" i="29"/>
  <c r="AN107" i="29"/>
  <c r="AN108" i="29"/>
  <c r="AN109" i="29"/>
  <c r="AN110" i="29"/>
  <c r="AN111" i="29"/>
  <c r="AN112" i="29"/>
  <c r="AN113" i="29"/>
  <c r="AN114" i="29"/>
  <c r="AN115" i="29"/>
  <c r="AN116" i="29"/>
  <c r="AN117" i="29"/>
  <c r="AN118" i="29"/>
  <c r="AN119" i="29"/>
  <c r="AN120" i="29"/>
  <c r="AN121" i="29"/>
  <c r="AN122" i="29"/>
  <c r="AN123" i="29"/>
  <c r="AN124" i="29"/>
  <c r="AN125" i="29"/>
  <c r="AN127" i="29"/>
  <c r="AN128" i="29"/>
  <c r="AN129" i="29"/>
  <c r="AN130" i="29"/>
  <c r="AN189" i="29"/>
  <c r="AN131" i="29"/>
  <c r="AN132" i="29"/>
  <c r="AN133" i="29"/>
  <c r="AN100" i="29"/>
  <c r="AN102" i="29"/>
  <c r="AN134" i="29"/>
  <c r="AN135" i="29"/>
  <c r="AN136" i="29"/>
  <c r="AN138" i="29"/>
  <c r="AN139" i="29"/>
  <c r="AN140" i="29"/>
  <c r="AN137" i="29"/>
  <c r="AN141" i="29"/>
  <c r="AN142" i="29"/>
  <c r="AN143" i="29"/>
  <c r="AN144" i="29"/>
  <c r="AN145" i="29"/>
  <c r="AN146" i="29"/>
  <c r="AN147" i="29"/>
  <c r="AN148" i="29"/>
  <c r="AN149" i="29"/>
  <c r="AN150" i="29"/>
  <c r="AN152" i="29"/>
  <c r="AN153" i="29"/>
  <c r="AN154" i="29"/>
  <c r="AN155" i="29"/>
  <c r="AN156" i="29"/>
  <c r="AN157" i="29"/>
  <c r="AN158" i="29"/>
  <c r="AN151" i="29"/>
  <c r="AN193" i="29"/>
  <c r="AN159" i="29"/>
  <c r="AN160" i="29"/>
  <c r="AN161" i="29"/>
  <c r="AN162" i="29"/>
  <c r="AN163" i="29"/>
  <c r="AN164" i="29"/>
  <c r="AN165" i="29"/>
  <c r="AN166" i="29"/>
  <c r="AN167" i="29"/>
  <c r="AN168" i="29"/>
  <c r="AN169" i="29"/>
  <c r="AN170" i="29"/>
  <c r="AN171" i="29"/>
  <c r="AN172" i="29"/>
  <c r="AN173" i="29"/>
  <c r="AN175" i="29"/>
  <c r="AN174" i="29"/>
  <c r="AN176" i="29"/>
  <c r="AN177" i="29"/>
  <c r="AN178" i="29"/>
  <c r="AN179" i="29"/>
  <c r="AN180" i="29"/>
  <c r="AN181" i="29"/>
  <c r="AN182" i="29"/>
  <c r="AN183" i="29"/>
  <c r="AN184" i="29"/>
  <c r="AN185" i="29"/>
  <c r="AN186" i="29"/>
  <c r="AN187" i="29"/>
  <c r="AN188" i="29"/>
  <c r="AN190" i="29"/>
  <c r="AN191" i="29"/>
  <c r="AN192" i="29"/>
  <c r="AN194" i="29"/>
  <c r="AN195" i="29"/>
  <c r="AN197" i="29"/>
  <c r="AN199" i="29"/>
  <c r="AN200" i="29"/>
  <c r="AN201" i="29"/>
  <c r="AN202" i="29"/>
  <c r="AN203" i="29"/>
  <c r="AN204" i="29"/>
  <c r="AN196" i="29"/>
  <c r="AN205" i="29"/>
  <c r="AN206" i="29"/>
  <c r="AN207" i="29"/>
  <c r="AN208" i="29"/>
  <c r="AN209" i="29"/>
  <c r="AN210" i="29"/>
  <c r="AN212" i="29"/>
  <c r="AN213" i="29"/>
  <c r="AN214" i="29"/>
  <c r="AN215" i="29"/>
  <c r="AN216" i="29"/>
  <c r="AN217" i="29"/>
  <c r="AN218" i="29"/>
  <c r="AN219" i="29"/>
  <c r="AN220" i="29"/>
  <c r="AN221" i="29"/>
  <c r="AN222" i="29"/>
  <c r="AN223" i="29"/>
  <c r="AN224" i="29"/>
  <c r="AN211" i="29"/>
  <c r="AN227" i="29"/>
  <c r="AN228" i="29"/>
  <c r="AN229" i="29"/>
  <c r="AN230" i="29"/>
  <c r="AN231" i="29"/>
  <c r="AN232" i="29"/>
  <c r="AN233" i="29"/>
  <c r="AN234" i="29"/>
  <c r="AN235" i="29"/>
  <c r="AN236" i="29"/>
  <c r="AN237" i="29"/>
  <c r="AN238" i="29"/>
  <c r="AN239" i="29"/>
  <c r="AN240" i="29"/>
  <c r="AN241" i="29"/>
  <c r="AN226" i="29"/>
  <c r="AN242" i="29"/>
  <c r="AN243" i="29"/>
  <c r="AN244" i="29"/>
  <c r="AN246" i="29"/>
  <c r="AN247" i="29"/>
  <c r="AN248" i="29"/>
  <c r="AN249" i="29"/>
  <c r="AN250" i="29"/>
  <c r="AN262" i="29"/>
  <c r="AN263" i="29"/>
  <c r="AN264" i="29"/>
  <c r="AN265" i="29"/>
  <c r="AN266" i="29"/>
  <c r="AN267" i="29"/>
  <c r="AN268" i="29"/>
  <c r="AN292" i="29"/>
  <c r="AN245" i="29"/>
  <c r="AN254" i="29"/>
  <c r="AN269" i="29"/>
  <c r="AN270" i="29"/>
  <c r="AN271" i="29"/>
  <c r="AN272" i="29"/>
  <c r="AN273" i="29"/>
  <c r="AN274" i="29"/>
  <c r="AN275" i="29"/>
  <c r="AN276" i="29"/>
  <c r="AN277" i="29"/>
  <c r="AN278" i="29"/>
  <c r="AN279" i="29"/>
  <c r="AN280" i="29"/>
  <c r="AN281" i="29"/>
  <c r="AN198" i="29"/>
  <c r="AN282" i="29"/>
  <c r="AN283" i="29"/>
  <c r="AN284" i="29"/>
  <c r="AN285" i="29"/>
  <c r="AN286" i="29"/>
  <c r="AN287" i="29"/>
  <c r="AN288" i="29"/>
  <c r="AN289" i="29"/>
  <c r="AN290" i="29"/>
  <c r="AN291" i="29"/>
  <c r="AN293" i="29"/>
  <c r="AN294" i="29"/>
  <c r="AN296" i="29"/>
  <c r="AN297" i="29"/>
  <c r="AN298" i="29"/>
  <c r="AN299" i="29"/>
  <c r="AN300" i="29"/>
  <c r="AN301" i="29"/>
  <c r="AN302" i="29"/>
  <c r="AN303" i="29"/>
  <c r="AN304" i="29"/>
  <c r="AN305" i="29"/>
  <c r="AN306" i="29"/>
  <c r="AN307" i="29"/>
  <c r="AN308" i="29"/>
  <c r="AN309" i="29"/>
  <c r="AN310" i="29"/>
  <c r="AN311" i="29"/>
  <c r="AN312" i="29"/>
  <c r="AN21" i="29"/>
  <c r="X22" i="29"/>
  <c r="Y22" i="29" s="1"/>
  <c r="X23" i="29"/>
  <c r="Y23" i="29"/>
  <c r="X24" i="29"/>
  <c r="Y24" i="29" s="1"/>
  <c r="X25" i="29"/>
  <c r="Y25" i="29" s="1"/>
  <c r="X20" i="29"/>
  <c r="B84" i="3" s="1"/>
  <c r="AA20" i="29"/>
  <c r="AB20" i="29"/>
  <c r="X27" i="29"/>
  <c r="Y27" i="29" s="1"/>
  <c r="X28" i="29"/>
  <c r="Y28" i="29" s="1"/>
  <c r="X29" i="29"/>
  <c r="Y29" i="29" s="1"/>
  <c r="X30" i="29"/>
  <c r="Y30" i="29" s="1"/>
  <c r="X31" i="29"/>
  <c r="Y31" i="29" s="1"/>
  <c r="X32" i="29"/>
  <c r="Y32" i="29" s="1"/>
  <c r="X33" i="29"/>
  <c r="Y33" i="29" s="1"/>
  <c r="X34" i="29"/>
  <c r="Y34" i="29" s="1"/>
  <c r="X35" i="29"/>
  <c r="X36" i="29"/>
  <c r="Y36" i="29" s="1"/>
  <c r="X37" i="29"/>
  <c r="Y37" i="29" s="1"/>
  <c r="X38" i="29"/>
  <c r="Y38" i="29"/>
  <c r="X39" i="29"/>
  <c r="Y39" i="29" s="1"/>
  <c r="X40" i="29"/>
  <c r="Y40" i="29" s="1"/>
  <c r="X41" i="29"/>
  <c r="Y41" i="29" s="1"/>
  <c r="X42" i="29"/>
  <c r="Y42" i="29" s="1"/>
  <c r="X43" i="29"/>
  <c r="Y43" i="29" s="1"/>
  <c r="X44" i="29"/>
  <c r="Y44" i="29"/>
  <c r="X46" i="29"/>
  <c r="Y46" i="29" s="1"/>
  <c r="X47" i="29"/>
  <c r="X295" i="29"/>
  <c r="Y295" i="29" s="1"/>
  <c r="X48" i="29"/>
  <c r="Y48" i="29"/>
  <c r="X49" i="29"/>
  <c r="Y49" i="29" s="1"/>
  <c r="X50" i="29"/>
  <c r="Y50" i="29" s="1"/>
  <c r="X51" i="29"/>
  <c r="Y51" i="29"/>
  <c r="X52" i="29"/>
  <c r="Y52" i="29"/>
  <c r="X53" i="29"/>
  <c r="Y53" i="29"/>
  <c r="X54" i="29"/>
  <c r="Y54" i="29" s="1"/>
  <c r="X55" i="29"/>
  <c r="Y55" i="29"/>
  <c r="X56" i="29"/>
  <c r="Y56" i="29" s="1"/>
  <c r="X45" i="29"/>
  <c r="Y45" i="29"/>
  <c r="X57" i="29"/>
  <c r="Y57" i="29"/>
  <c r="X58" i="29"/>
  <c r="Y58" i="29" s="1"/>
  <c r="X59" i="29"/>
  <c r="X60" i="29"/>
  <c r="Y60" i="29" s="1"/>
  <c r="X61" i="29"/>
  <c r="Y61" i="29"/>
  <c r="X62" i="29"/>
  <c r="Y62" i="29" s="1"/>
  <c r="X64" i="29"/>
  <c r="Y64" i="29"/>
  <c r="X65" i="29"/>
  <c r="Y65" i="29"/>
  <c r="X66" i="29"/>
  <c r="X67" i="29"/>
  <c r="Y67" i="29" s="1"/>
  <c r="X63" i="29"/>
  <c r="Y63" i="29"/>
  <c r="X68" i="29"/>
  <c r="Y68" i="29" s="1"/>
  <c r="X69" i="29"/>
  <c r="Y69" i="29" s="1"/>
  <c r="X70" i="29"/>
  <c r="Y70" i="29"/>
  <c r="X71" i="29"/>
  <c r="Y71" i="29" s="1"/>
  <c r="X72" i="29"/>
  <c r="Y72" i="29"/>
  <c r="X73" i="29"/>
  <c r="Y73" i="29" s="1"/>
  <c r="X74" i="29"/>
  <c r="Y74" i="29" s="1"/>
  <c r="X75" i="29"/>
  <c r="Y75" i="29" s="1"/>
  <c r="X76" i="29"/>
  <c r="X77" i="29"/>
  <c r="Y77" i="29"/>
  <c r="X78" i="29"/>
  <c r="Y78" i="29" s="1"/>
  <c r="X79" i="29"/>
  <c r="Y79" i="29" s="1"/>
  <c r="X80" i="29"/>
  <c r="Y80" i="29"/>
  <c r="X81" i="29"/>
  <c r="Y81" i="29"/>
  <c r="X82" i="29"/>
  <c r="Y82" i="29"/>
  <c r="X83" i="29"/>
  <c r="Y83" i="29" s="1"/>
  <c r="X84" i="29"/>
  <c r="Y84" i="29" s="1"/>
  <c r="X85" i="29"/>
  <c r="Y85" i="29" s="1"/>
  <c r="X86" i="29"/>
  <c r="Y86" i="29"/>
  <c r="X87" i="29"/>
  <c r="Y87" i="29"/>
  <c r="X88" i="29"/>
  <c r="Y88" i="29" s="1"/>
  <c r="X89" i="29"/>
  <c r="Y89" i="29" s="1"/>
  <c r="X90" i="29"/>
  <c r="Y90" i="29"/>
  <c r="X91" i="29"/>
  <c r="Y91" i="29" s="1"/>
  <c r="X92" i="29"/>
  <c r="Y92" i="29"/>
  <c r="X93" i="29"/>
  <c r="Y93" i="29" s="1"/>
  <c r="X94" i="29"/>
  <c r="Y94" i="29" s="1"/>
  <c r="X95" i="29"/>
  <c r="X96" i="29"/>
  <c r="Y96" i="29" s="1"/>
  <c r="X97" i="29"/>
  <c r="Y97" i="29" s="1"/>
  <c r="X98" i="29"/>
  <c r="Y98" i="29"/>
  <c r="X99" i="29"/>
  <c r="Y99" i="29" s="1"/>
  <c r="X101" i="29"/>
  <c r="Y101" i="29" s="1"/>
  <c r="X103" i="29"/>
  <c r="Y103" i="29"/>
  <c r="X104" i="29"/>
  <c r="Y104" i="29" s="1"/>
  <c r="X105" i="29"/>
  <c r="Y105" i="29"/>
  <c r="X106" i="29"/>
  <c r="Y106" i="29" s="1"/>
  <c r="X107" i="29"/>
  <c r="X108" i="29"/>
  <c r="Y108" i="29" s="1"/>
  <c r="X109" i="29"/>
  <c r="Y109" i="29"/>
  <c r="X110" i="29"/>
  <c r="Y110" i="29"/>
  <c r="X111" i="29"/>
  <c r="Y111" i="29" s="1"/>
  <c r="X112" i="29"/>
  <c r="Y112" i="29" s="1"/>
  <c r="X113" i="29"/>
  <c r="Y113" i="29" s="1"/>
  <c r="X114" i="29"/>
  <c r="Y114" i="29"/>
  <c r="X115" i="29"/>
  <c r="Y115" i="29" s="1"/>
  <c r="AA115" i="29"/>
  <c r="AB115" i="29" s="1"/>
  <c r="X116" i="29"/>
  <c r="Y116" i="29" s="1"/>
  <c r="X117" i="29"/>
  <c r="Y117" i="29"/>
  <c r="X118" i="29"/>
  <c r="Y118" i="29"/>
  <c r="X119" i="29"/>
  <c r="Y119" i="29" s="1"/>
  <c r="X120" i="29"/>
  <c r="Y120" i="29" s="1"/>
  <c r="X121" i="29"/>
  <c r="Y121" i="29"/>
  <c r="X122" i="29"/>
  <c r="Y122" i="29"/>
  <c r="X123" i="29"/>
  <c r="Y123" i="29"/>
  <c r="X124" i="29"/>
  <c r="X125" i="29"/>
  <c r="Y125" i="29" s="1"/>
  <c r="X127" i="29"/>
  <c r="Y127" i="29" s="1"/>
  <c r="X128" i="29"/>
  <c r="Y128" i="29" s="1"/>
  <c r="X129" i="29"/>
  <c r="Y129" i="29" s="1"/>
  <c r="X130" i="29"/>
  <c r="Y130" i="29"/>
  <c r="X189" i="29"/>
  <c r="Y189" i="29" s="1"/>
  <c r="X131" i="29"/>
  <c r="Y131" i="29" s="1"/>
  <c r="X132" i="29"/>
  <c r="Y132" i="29"/>
  <c r="X133" i="29"/>
  <c r="Y133" i="29" s="1"/>
  <c r="X100" i="29"/>
  <c r="Y100" i="29"/>
  <c r="X102" i="29"/>
  <c r="Y102" i="29" s="1"/>
  <c r="X134" i="29"/>
  <c r="Y134" i="29" s="1"/>
  <c r="X135" i="29"/>
  <c r="Y135" i="29" s="1"/>
  <c r="X136" i="29"/>
  <c r="Y136" i="29"/>
  <c r="X138" i="29"/>
  <c r="Y138" i="29" s="1"/>
  <c r="X139" i="29"/>
  <c r="Y139" i="29" s="1"/>
  <c r="X140" i="29"/>
  <c r="Y140" i="29"/>
  <c r="X137" i="29"/>
  <c r="Y137" i="29"/>
  <c r="X141" i="29"/>
  <c r="X142" i="29"/>
  <c r="Y142" i="29" s="1"/>
  <c r="X143" i="29"/>
  <c r="Y143" i="29" s="1"/>
  <c r="X144" i="29"/>
  <c r="Y144" i="29" s="1"/>
  <c r="X145" i="29"/>
  <c r="Y145" i="29" s="1"/>
  <c r="X146" i="29"/>
  <c r="Y146" i="29" s="1"/>
  <c r="X147" i="29"/>
  <c r="Y147" i="29"/>
  <c r="X148" i="29"/>
  <c r="Y148" i="29" s="1"/>
  <c r="X149" i="29"/>
  <c r="Y149" i="29" s="1"/>
  <c r="X150" i="29"/>
  <c r="AA150" i="29" s="1"/>
  <c r="AB150" i="29" s="1"/>
  <c r="Y150" i="29"/>
  <c r="X152" i="29"/>
  <c r="AA152" i="29" s="1"/>
  <c r="AB152" i="29" s="1"/>
  <c r="X153" i="29"/>
  <c r="Y153" i="29" s="1"/>
  <c r="X154" i="29"/>
  <c r="Y154" i="29" s="1"/>
  <c r="X155" i="29"/>
  <c r="Y155" i="29"/>
  <c r="X156" i="29"/>
  <c r="X157" i="29"/>
  <c r="Y157" i="29"/>
  <c r="X158" i="29"/>
  <c r="Y158" i="29" s="1"/>
  <c r="X151" i="29"/>
  <c r="Y151" i="29"/>
  <c r="X193" i="29"/>
  <c r="Y193" i="29" s="1"/>
  <c r="X159" i="29"/>
  <c r="Y159" i="29" s="1"/>
  <c r="X160" i="29"/>
  <c r="Y160" i="29" s="1"/>
  <c r="X161" i="29"/>
  <c r="Y161" i="29"/>
  <c r="X162" i="29"/>
  <c r="Y162" i="29" s="1"/>
  <c r="X163" i="29"/>
  <c r="Y163" i="29" s="1"/>
  <c r="X164" i="29"/>
  <c r="Y164" i="29" s="1"/>
  <c r="X165" i="29"/>
  <c r="Y165" i="29"/>
  <c r="X166" i="29"/>
  <c r="Y166" i="29"/>
  <c r="X167" i="29"/>
  <c r="Y167" i="29" s="1"/>
  <c r="X168" i="29"/>
  <c r="Y168" i="29" s="1"/>
  <c r="X169" i="29"/>
  <c r="X170" i="29"/>
  <c r="Y170" i="29" s="1"/>
  <c r="X171" i="29"/>
  <c r="Y171" i="29" s="1"/>
  <c r="X172" i="29"/>
  <c r="Y172" i="29" s="1"/>
  <c r="X173" i="29"/>
  <c r="Y173" i="29" s="1"/>
  <c r="X175" i="29"/>
  <c r="AA175" i="29" s="1"/>
  <c r="AB175" i="29" s="1"/>
  <c r="Y175" i="29"/>
  <c r="X174" i="29"/>
  <c r="Y174" i="29" s="1"/>
  <c r="X176" i="29"/>
  <c r="Y176" i="29" s="1"/>
  <c r="X177" i="29"/>
  <c r="Y177" i="29" s="1"/>
  <c r="X178" i="29"/>
  <c r="Y178" i="29" s="1"/>
  <c r="X179" i="29"/>
  <c r="Y179" i="29" s="1"/>
  <c r="X180" i="29"/>
  <c r="Y180" i="29"/>
  <c r="X181" i="29"/>
  <c r="Y181" i="29"/>
  <c r="X182" i="29"/>
  <c r="Y182" i="29" s="1"/>
  <c r="X183" i="29"/>
  <c r="Y183" i="29" s="1"/>
  <c r="X184" i="29"/>
  <c r="Y184" i="29" s="1"/>
  <c r="X185" i="29"/>
  <c r="Y185" i="29" s="1"/>
  <c r="X186" i="29"/>
  <c r="Y186" i="29" s="1"/>
  <c r="AA186" i="29"/>
  <c r="AB186" i="29" s="1"/>
  <c r="X187" i="29"/>
  <c r="Y187" i="29" s="1"/>
  <c r="X188" i="29"/>
  <c r="Y188" i="29"/>
  <c r="X190" i="29"/>
  <c r="Y190" i="29" s="1"/>
  <c r="X191" i="29"/>
  <c r="Y191" i="29" s="1"/>
  <c r="X192" i="29"/>
  <c r="Y192" i="29"/>
  <c r="X194" i="29"/>
  <c r="X195" i="29"/>
  <c r="Y195" i="29" s="1"/>
  <c r="X197" i="29"/>
  <c r="Y197" i="29"/>
  <c r="X199" i="29"/>
  <c r="Y199" i="29"/>
  <c r="X200" i="29"/>
  <c r="Y200" i="29" s="1"/>
  <c r="X201" i="29"/>
  <c r="Y201" i="29" s="1"/>
  <c r="X202" i="29"/>
  <c r="Y202" i="29"/>
  <c r="X203" i="29"/>
  <c r="AA203" i="29" s="1"/>
  <c r="AB203" i="29" s="1"/>
  <c r="Y203" i="29"/>
  <c r="X204" i="29"/>
  <c r="Y204" i="29" s="1"/>
  <c r="X196" i="29"/>
  <c r="Y196" i="29" s="1"/>
  <c r="X205" i="29"/>
  <c r="Y205" i="29"/>
  <c r="X206" i="29"/>
  <c r="X207" i="29"/>
  <c r="Y207" i="29" s="1"/>
  <c r="X208" i="29"/>
  <c r="AA208" i="29" s="1"/>
  <c r="AB208" i="29" s="1"/>
  <c r="X209" i="29"/>
  <c r="Y209" i="29" s="1"/>
  <c r="X210" i="29"/>
  <c r="X212" i="29"/>
  <c r="X213" i="29"/>
  <c r="Y213" i="29" s="1"/>
  <c r="X214" i="29"/>
  <c r="Y214" i="29"/>
  <c r="X215" i="29"/>
  <c r="Y215" i="29" s="1"/>
  <c r="X216" i="29"/>
  <c r="Y216" i="29"/>
  <c r="X217" i="29"/>
  <c r="Y217" i="29" s="1"/>
  <c r="X218" i="29"/>
  <c r="Y218" i="29" s="1"/>
  <c r="X219" i="29"/>
  <c r="Y219" i="29" s="1"/>
  <c r="X220" i="29"/>
  <c r="Y220" i="29"/>
  <c r="X221" i="29"/>
  <c r="AA221" i="29" s="1"/>
  <c r="AB221" i="29" s="1"/>
  <c r="Y221" i="29"/>
  <c r="X222" i="29"/>
  <c r="Y222" i="29" s="1"/>
  <c r="X223" i="29"/>
  <c r="Y223" i="29" s="1"/>
  <c r="X224" i="29"/>
  <c r="Y224" i="29" s="1"/>
  <c r="X211" i="29"/>
  <c r="Y211" i="29"/>
  <c r="X227" i="29"/>
  <c r="Y227" i="29"/>
  <c r="X228" i="29"/>
  <c r="Y228" i="29" s="1"/>
  <c r="X229" i="29"/>
  <c r="Y229" i="29" s="1"/>
  <c r="X230" i="29"/>
  <c r="Y230" i="29" s="1"/>
  <c r="X231" i="29"/>
  <c r="AA231" i="29" s="1"/>
  <c r="AB231" i="29" s="1"/>
  <c r="Y231" i="29"/>
  <c r="X232" i="29"/>
  <c r="Y232" i="29"/>
  <c r="X233" i="29"/>
  <c r="X234" i="29"/>
  <c r="X235" i="29"/>
  <c r="Y235" i="29"/>
  <c r="X236" i="29"/>
  <c r="Y236" i="29" s="1"/>
  <c r="X237" i="29"/>
  <c r="Y237" i="29" s="1"/>
  <c r="X238" i="29"/>
  <c r="Y238" i="29"/>
  <c r="X239" i="29"/>
  <c r="Y239" i="29" s="1"/>
  <c r="X240" i="29"/>
  <c r="Y240" i="29"/>
  <c r="X241" i="29"/>
  <c r="Y241" i="29" s="1"/>
  <c r="X226" i="29"/>
  <c r="Y226" i="29" s="1"/>
  <c r="X242" i="29"/>
  <c r="Y242" i="29" s="1"/>
  <c r="X243" i="29"/>
  <c r="Y243" i="29"/>
  <c r="X244" i="29"/>
  <c r="Y244" i="29"/>
  <c r="X246" i="29"/>
  <c r="Y246" i="29"/>
  <c r="X247" i="29"/>
  <c r="Y247" i="29" s="1"/>
  <c r="X248" i="29"/>
  <c r="Y248" i="29"/>
  <c r="X249" i="29"/>
  <c r="Y249" i="29" s="1"/>
  <c r="X250" i="29"/>
  <c r="Y250" i="29" s="1"/>
  <c r="X262" i="29"/>
  <c r="Y262" i="29"/>
  <c r="X263" i="29"/>
  <c r="Y263" i="29" s="1"/>
  <c r="X264" i="29"/>
  <c r="Y264" i="29" s="1"/>
  <c r="X265" i="29"/>
  <c r="Y265" i="29" s="1"/>
  <c r="X266" i="29"/>
  <c r="Y266" i="29"/>
  <c r="X267" i="29"/>
  <c r="Y267" i="29" s="1"/>
  <c r="X268" i="29"/>
  <c r="AA268" i="29" s="1"/>
  <c r="AB268" i="29" s="1"/>
  <c r="X292" i="29"/>
  <c r="Y292" i="29" s="1"/>
  <c r="X245" i="29"/>
  <c r="Y245" i="29"/>
  <c r="X254" i="29"/>
  <c r="X269" i="29"/>
  <c r="Y269" i="29"/>
  <c r="X270" i="29"/>
  <c r="Y270" i="29"/>
  <c r="X271" i="29"/>
  <c r="Y271" i="29" s="1"/>
  <c r="X272" i="29"/>
  <c r="X273" i="29"/>
  <c r="Y273" i="29" s="1"/>
  <c r="X274" i="29"/>
  <c r="Y274" i="29" s="1"/>
  <c r="X275" i="29"/>
  <c r="Y275" i="29" s="1"/>
  <c r="X276" i="29"/>
  <c r="AA276" i="29" s="1"/>
  <c r="AB276" i="29" s="1"/>
  <c r="Y276" i="29"/>
  <c r="X277" i="29"/>
  <c r="Y277" i="29" s="1"/>
  <c r="X278" i="29"/>
  <c r="Y278" i="29"/>
  <c r="X279" i="29"/>
  <c r="Y279" i="29" s="1"/>
  <c r="X280" i="29"/>
  <c r="Y280" i="29" s="1"/>
  <c r="X281" i="29"/>
  <c r="Y281" i="29"/>
  <c r="X198" i="29"/>
  <c r="Y198" i="29" s="1"/>
  <c r="X282" i="29"/>
  <c r="Y282" i="29" s="1"/>
  <c r="X283" i="29"/>
  <c r="Y283" i="29" s="1"/>
  <c r="X284" i="29"/>
  <c r="Y284" i="29" s="1"/>
  <c r="X285" i="29"/>
  <c r="Y285" i="29" s="1"/>
  <c r="X286" i="29"/>
  <c r="Y286" i="29" s="1"/>
  <c r="X287" i="29"/>
  <c r="X288" i="29"/>
  <c r="AA288" i="29" s="1"/>
  <c r="AB288" i="29" s="1"/>
  <c r="Y288" i="29"/>
  <c r="X289" i="29"/>
  <c r="Y289" i="29" s="1"/>
  <c r="X290" i="29"/>
  <c r="Y290" i="29" s="1"/>
  <c r="X291" i="29"/>
  <c r="Y291" i="29"/>
  <c r="X293" i="29"/>
  <c r="Y293" i="29"/>
  <c r="X294" i="29"/>
  <c r="Y294" i="29" s="1"/>
  <c r="X296" i="29"/>
  <c r="Y296" i="29"/>
  <c r="X297" i="29"/>
  <c r="X298" i="29"/>
  <c r="Y298" i="29"/>
  <c r="X299" i="29"/>
  <c r="X300" i="29"/>
  <c r="Y300" i="29" s="1"/>
  <c r="X301" i="29"/>
  <c r="Y301" i="29" s="1"/>
  <c r="X302" i="29"/>
  <c r="Y302" i="29"/>
  <c r="X303" i="29"/>
  <c r="AA303" i="29" s="1"/>
  <c r="AB303" i="29" s="1"/>
  <c r="Y303" i="29"/>
  <c r="X304" i="29"/>
  <c r="Y304" i="29" s="1"/>
  <c r="X305" i="29"/>
  <c r="Y305" i="29"/>
  <c r="X306" i="29"/>
  <c r="Y306" i="29" s="1"/>
  <c r="X307" i="29"/>
  <c r="Y307" i="29"/>
  <c r="X308" i="29"/>
  <c r="X309" i="29"/>
  <c r="AA309" i="29"/>
  <c r="AB309" i="29" s="1"/>
  <c r="X310" i="29"/>
  <c r="Y310" i="29"/>
  <c r="X311" i="29"/>
  <c r="Y311" i="29" s="1"/>
  <c r="X312" i="29"/>
  <c r="Y312" i="29" s="1"/>
  <c r="X21" i="29"/>
  <c r="Y21" i="29" s="1"/>
  <c r="O22" i="29"/>
  <c r="P22" i="29"/>
  <c r="O23" i="29"/>
  <c r="AA23" i="29" s="1"/>
  <c r="AB23" i="29" s="1"/>
  <c r="O24" i="29"/>
  <c r="P24" i="29" s="1"/>
  <c r="O25" i="29"/>
  <c r="AA25" i="29"/>
  <c r="AB25" i="29"/>
  <c r="O27" i="29"/>
  <c r="P27" i="29"/>
  <c r="O28" i="29"/>
  <c r="P28" i="29" s="1"/>
  <c r="O29" i="29"/>
  <c r="O30" i="29"/>
  <c r="P30" i="29" s="1"/>
  <c r="O31" i="29"/>
  <c r="O32" i="29"/>
  <c r="P32" i="29" s="1"/>
  <c r="O33" i="29"/>
  <c r="P33" i="29" s="1"/>
  <c r="O34" i="29"/>
  <c r="AA34" i="29" s="1"/>
  <c r="AB34" i="29" s="1"/>
  <c r="O35" i="29"/>
  <c r="AA35" i="29" s="1"/>
  <c r="AB35" i="29" s="1"/>
  <c r="P35" i="29"/>
  <c r="O36" i="29"/>
  <c r="P36" i="29" s="1"/>
  <c r="O37" i="29"/>
  <c r="P37" i="29"/>
  <c r="O38" i="29"/>
  <c r="O39" i="29"/>
  <c r="P39" i="29" s="1"/>
  <c r="O40" i="29"/>
  <c r="P40" i="29"/>
  <c r="O41" i="29"/>
  <c r="P41" i="29"/>
  <c r="O42" i="29"/>
  <c r="O43" i="29"/>
  <c r="P43" i="29"/>
  <c r="O44" i="29"/>
  <c r="AA44" i="29"/>
  <c r="AB44" i="29" s="1"/>
  <c r="O46" i="29"/>
  <c r="P46" i="29" s="1"/>
  <c r="O47" i="29"/>
  <c r="P47" i="29"/>
  <c r="O295" i="29"/>
  <c r="AA295" i="29" s="1"/>
  <c r="AB295" i="29" s="1"/>
  <c r="P295" i="29"/>
  <c r="O48" i="29"/>
  <c r="O49" i="29"/>
  <c r="P49" i="29"/>
  <c r="O50" i="29"/>
  <c r="P50" i="29" s="1"/>
  <c r="O51" i="29"/>
  <c r="P51" i="29" s="1"/>
  <c r="O52" i="29"/>
  <c r="AA52" i="29"/>
  <c r="AB52" i="29" s="1"/>
  <c r="O53" i="29"/>
  <c r="P53" i="29" s="1"/>
  <c r="O54" i="29"/>
  <c r="AA54" i="29" s="1"/>
  <c r="AB54" i="29" s="1"/>
  <c r="O55" i="29"/>
  <c r="AA55" i="29" s="1"/>
  <c r="AB55" i="29" s="1"/>
  <c r="P55" i="29"/>
  <c r="O56" i="29"/>
  <c r="P56" i="29"/>
  <c r="O45" i="29"/>
  <c r="P45" i="29" s="1"/>
  <c r="O57" i="29"/>
  <c r="P57" i="29"/>
  <c r="O58" i="29"/>
  <c r="P58" i="29" s="1"/>
  <c r="O59" i="29"/>
  <c r="AA59" i="29" s="1"/>
  <c r="AB59" i="29" s="1"/>
  <c r="O60" i="29"/>
  <c r="O61" i="29"/>
  <c r="P61" i="29" s="1"/>
  <c r="O62" i="29"/>
  <c r="P62" i="29"/>
  <c r="O64" i="29"/>
  <c r="P64" i="29"/>
  <c r="O65" i="29"/>
  <c r="O66" i="29"/>
  <c r="AA66" i="29" s="1"/>
  <c r="AB66" i="29" s="1"/>
  <c r="P66" i="29"/>
  <c r="O67" i="29"/>
  <c r="P67" i="29" s="1"/>
  <c r="O63" i="29"/>
  <c r="P63" i="29"/>
  <c r="O68" i="29"/>
  <c r="AA68" i="29"/>
  <c r="AB68" i="29" s="1"/>
  <c r="O69" i="29"/>
  <c r="P69" i="29" s="1"/>
  <c r="O70" i="29"/>
  <c r="AA70" i="29" s="1"/>
  <c r="AB70" i="29" s="1"/>
  <c r="O71" i="29"/>
  <c r="O72" i="29"/>
  <c r="P72" i="29" s="1"/>
  <c r="AA72" i="29"/>
  <c r="AB72" i="29" s="1"/>
  <c r="O73" i="29"/>
  <c r="P73" i="29" s="1"/>
  <c r="O74" i="29"/>
  <c r="AA74" i="29" s="1"/>
  <c r="AB74" i="29" s="1"/>
  <c r="P74" i="29"/>
  <c r="O75" i="29"/>
  <c r="AA75" i="29" s="1"/>
  <c r="AB75" i="29" s="1"/>
  <c r="O76" i="29"/>
  <c r="P76" i="29"/>
  <c r="O77" i="29"/>
  <c r="O78" i="29"/>
  <c r="P78" i="29" s="1"/>
  <c r="O79" i="29"/>
  <c r="P79" i="29" s="1"/>
  <c r="O80" i="29"/>
  <c r="O81" i="29"/>
  <c r="O82" i="29"/>
  <c r="O83" i="29"/>
  <c r="P83" i="29" s="1"/>
  <c r="O84" i="29"/>
  <c r="P84" i="29" s="1"/>
  <c r="O85" i="29"/>
  <c r="P85" i="29" s="1"/>
  <c r="O86" i="29"/>
  <c r="P86" i="29" s="1"/>
  <c r="O87" i="29"/>
  <c r="AA87" i="29" s="1"/>
  <c r="AB87" i="29" s="1"/>
  <c r="O88" i="29"/>
  <c r="P88" i="29" s="1"/>
  <c r="O89" i="29"/>
  <c r="P89" i="29"/>
  <c r="O90" i="29"/>
  <c r="O91" i="29"/>
  <c r="O92" i="29"/>
  <c r="O93" i="29"/>
  <c r="P93" i="29" s="1"/>
  <c r="O94" i="29"/>
  <c r="AA94" i="29" s="1"/>
  <c r="AB94" i="29" s="1"/>
  <c r="O95" i="29"/>
  <c r="P95" i="29" s="1"/>
  <c r="O96" i="29"/>
  <c r="O97" i="29"/>
  <c r="P97" i="29"/>
  <c r="O98" i="29"/>
  <c r="AA98" i="29" s="1"/>
  <c r="AB98" i="29" s="1"/>
  <c r="O99" i="29"/>
  <c r="P99" i="29" s="1"/>
  <c r="O101" i="29"/>
  <c r="P101" i="29" s="1"/>
  <c r="O103" i="29"/>
  <c r="AA103" i="29" s="1"/>
  <c r="AB103" i="29" s="1"/>
  <c r="P103" i="29"/>
  <c r="O104" i="29"/>
  <c r="P104" i="29"/>
  <c r="O105" i="29"/>
  <c r="O106" i="29"/>
  <c r="P106" i="29" s="1"/>
  <c r="O107" i="29"/>
  <c r="P107" i="29" s="1"/>
  <c r="O108" i="29"/>
  <c r="P108" i="29" s="1"/>
  <c r="O109" i="29"/>
  <c r="P109" i="29" s="1"/>
  <c r="O110" i="29"/>
  <c r="P110" i="29" s="1"/>
  <c r="O111" i="29"/>
  <c r="AA111" i="29"/>
  <c r="AB111" i="29" s="1"/>
  <c r="O112" i="29"/>
  <c r="P112" i="29" s="1"/>
  <c r="O113" i="29"/>
  <c r="O114" i="29"/>
  <c r="O115" i="29"/>
  <c r="P115" i="29"/>
  <c r="O116" i="29"/>
  <c r="P116" i="29" s="1"/>
  <c r="O117" i="29"/>
  <c r="P117" i="29" s="1"/>
  <c r="O118" i="29"/>
  <c r="P118" i="29" s="1"/>
  <c r="O119" i="29"/>
  <c r="O120" i="29"/>
  <c r="O121" i="29"/>
  <c r="P121" i="29"/>
  <c r="O122" i="29"/>
  <c r="P122" i="29" s="1"/>
  <c r="O123" i="29"/>
  <c r="AA123" i="29" s="1"/>
  <c r="AB123" i="29" s="1"/>
  <c r="O124" i="29"/>
  <c r="P124" i="29" s="1"/>
  <c r="O125" i="29"/>
  <c r="P125" i="29" s="1"/>
  <c r="O127" i="29"/>
  <c r="P127" i="29" s="1"/>
  <c r="O128" i="29"/>
  <c r="O129" i="29"/>
  <c r="P129" i="29"/>
  <c r="O130" i="29"/>
  <c r="AA130" i="29" s="1"/>
  <c r="AB130" i="29" s="1"/>
  <c r="P130" i="29"/>
  <c r="O189" i="29"/>
  <c r="O131" i="29"/>
  <c r="P131" i="29"/>
  <c r="O132" i="29"/>
  <c r="AA132" i="29" s="1"/>
  <c r="AB132" i="29" s="1"/>
  <c r="O133" i="29"/>
  <c r="P133" i="29" s="1"/>
  <c r="O100" i="29"/>
  <c r="O102" i="29"/>
  <c r="O134" i="29"/>
  <c r="P134" i="29" s="1"/>
  <c r="O135" i="29"/>
  <c r="AA135" i="29" s="1"/>
  <c r="AB135" i="29" s="1"/>
  <c r="O136" i="29"/>
  <c r="O138" i="29"/>
  <c r="AA138" i="29" s="1"/>
  <c r="AB138" i="29" s="1"/>
  <c r="O139" i="29"/>
  <c r="P139" i="29" s="1"/>
  <c r="O140" i="29"/>
  <c r="AA140" i="29" s="1"/>
  <c r="AB140" i="29" s="1"/>
  <c r="P140" i="29"/>
  <c r="O137" i="29"/>
  <c r="P137" i="29" s="1"/>
  <c r="O141" i="29"/>
  <c r="P141" i="29" s="1"/>
  <c r="O142" i="29"/>
  <c r="AA142" i="29" s="1"/>
  <c r="AB142" i="29" s="1"/>
  <c r="P142" i="29"/>
  <c r="O143" i="29"/>
  <c r="P143" i="29"/>
  <c r="O144" i="29"/>
  <c r="O145" i="29"/>
  <c r="P145" i="29" s="1"/>
  <c r="O146" i="29"/>
  <c r="P146" i="29" s="1"/>
  <c r="O147" i="29"/>
  <c r="AA147" i="29" s="1"/>
  <c r="AB147" i="29" s="1"/>
  <c r="P147" i="29"/>
  <c r="O148" i="29"/>
  <c r="O149" i="29"/>
  <c r="P149" i="29" s="1"/>
  <c r="O150" i="29"/>
  <c r="P150" i="29" s="1"/>
  <c r="O152" i="29"/>
  <c r="P152" i="29"/>
  <c r="O153" i="29"/>
  <c r="P153" i="29" s="1"/>
  <c r="O154" i="29"/>
  <c r="P154" i="29"/>
  <c r="O155" i="29"/>
  <c r="O156" i="29"/>
  <c r="AA156" i="29" s="1"/>
  <c r="AB156" i="29" s="1"/>
  <c r="P156" i="29"/>
  <c r="O157" i="29"/>
  <c r="P157" i="29" s="1"/>
  <c r="O158" i="29"/>
  <c r="AA158" i="29" s="1"/>
  <c r="AB158" i="29" s="1"/>
  <c r="O151" i="29"/>
  <c r="AA151" i="29" s="1"/>
  <c r="AB151" i="29" s="1"/>
  <c r="O193" i="29"/>
  <c r="AA193" i="29" s="1"/>
  <c r="AB193" i="29" s="1"/>
  <c r="P193" i="29"/>
  <c r="O159" i="29"/>
  <c r="P159" i="29" s="1"/>
  <c r="O160" i="29"/>
  <c r="P160" i="29" s="1"/>
  <c r="O161" i="29"/>
  <c r="P161" i="29" s="1"/>
  <c r="O162" i="29"/>
  <c r="O163" i="29"/>
  <c r="P163" i="29" s="1"/>
  <c r="O164" i="29"/>
  <c r="P164" i="29" s="1"/>
  <c r="O165" i="29"/>
  <c r="P165" i="29" s="1"/>
  <c r="O166" i="29"/>
  <c r="P166" i="29"/>
  <c r="O167" i="29"/>
  <c r="AA167" i="29"/>
  <c r="AB167" i="29" s="1"/>
  <c r="O168" i="29"/>
  <c r="O169" i="29"/>
  <c r="AA169" i="29" s="1"/>
  <c r="AB169" i="29" s="1"/>
  <c r="P169" i="29"/>
  <c r="O170" i="29"/>
  <c r="AA170" i="29" s="1"/>
  <c r="AB170" i="29" s="1"/>
  <c r="O171" i="29"/>
  <c r="P171" i="29" s="1"/>
  <c r="O172" i="29"/>
  <c r="O173" i="29"/>
  <c r="P173" i="29" s="1"/>
  <c r="O175" i="29"/>
  <c r="O174" i="29"/>
  <c r="P174" i="29" s="1"/>
  <c r="O176" i="29"/>
  <c r="P176" i="29" s="1"/>
  <c r="O177" i="29"/>
  <c r="P177" i="29" s="1"/>
  <c r="O178" i="29"/>
  <c r="O179" i="29"/>
  <c r="P179" i="29"/>
  <c r="O180" i="29"/>
  <c r="P180" i="29"/>
  <c r="O181" i="29"/>
  <c r="P181" i="29" s="1"/>
  <c r="O182" i="29"/>
  <c r="AA182" i="29" s="1"/>
  <c r="AB182" i="29" s="1"/>
  <c r="O183" i="29"/>
  <c r="P183" i="29"/>
  <c r="O184" i="29"/>
  <c r="AA184" i="29" s="1"/>
  <c r="AB184" i="29" s="1"/>
  <c r="O185" i="29"/>
  <c r="P185" i="29" s="1"/>
  <c r="O186" i="29"/>
  <c r="P186" i="29" s="1"/>
  <c r="O187" i="29"/>
  <c r="O188" i="29"/>
  <c r="O190" i="29"/>
  <c r="P190" i="29"/>
  <c r="O191" i="29"/>
  <c r="P191" i="29" s="1"/>
  <c r="O192" i="29"/>
  <c r="P192" i="29"/>
  <c r="O194" i="29"/>
  <c r="AA194" i="29" s="1"/>
  <c r="AB194" i="29" s="1"/>
  <c r="P194" i="29"/>
  <c r="O195" i="29"/>
  <c r="O197" i="29"/>
  <c r="P197" i="29" s="1"/>
  <c r="O199" i="29"/>
  <c r="P199" i="29" s="1"/>
  <c r="O200" i="29"/>
  <c r="P200" i="29" s="1"/>
  <c r="O201" i="29"/>
  <c r="P201" i="29" s="1"/>
  <c r="O202" i="29"/>
  <c r="P202" i="29" s="1"/>
  <c r="O203" i="29"/>
  <c r="O204" i="29"/>
  <c r="P204" i="29" s="1"/>
  <c r="O196" i="29"/>
  <c r="AA196" i="29" s="1"/>
  <c r="AB196" i="29" s="1"/>
  <c r="O205" i="29"/>
  <c r="P205" i="29" s="1"/>
  <c r="O206" i="29"/>
  <c r="AA206" i="29" s="1"/>
  <c r="AB206" i="29" s="1"/>
  <c r="P206" i="29"/>
  <c r="O207" i="29"/>
  <c r="P207" i="29" s="1"/>
  <c r="O208" i="29"/>
  <c r="O209" i="29"/>
  <c r="P209" i="29"/>
  <c r="O210" i="29"/>
  <c r="AA210" i="29" s="1"/>
  <c r="AB210" i="29" s="1"/>
  <c r="O212" i="29"/>
  <c r="AA212" i="29" s="1"/>
  <c r="AB212" i="29" s="1"/>
  <c r="O213" i="29"/>
  <c r="P213" i="29" s="1"/>
  <c r="O214" i="29"/>
  <c r="P214" i="29" s="1"/>
  <c r="O215" i="29"/>
  <c r="P215" i="29" s="1"/>
  <c r="O216" i="29"/>
  <c r="P216" i="29" s="1"/>
  <c r="O217" i="29"/>
  <c r="P217" i="29" s="1"/>
  <c r="O218" i="29"/>
  <c r="P218" i="29" s="1"/>
  <c r="O219" i="29"/>
  <c r="P219" i="29"/>
  <c r="O220" i="29"/>
  <c r="P220" i="29" s="1"/>
  <c r="O221" i="29"/>
  <c r="O222" i="29"/>
  <c r="AA222" i="29" s="1"/>
  <c r="AB222" i="29" s="1"/>
  <c r="O223" i="29"/>
  <c r="O224" i="29"/>
  <c r="P224" i="29"/>
  <c r="O211" i="29"/>
  <c r="AA211" i="29" s="1"/>
  <c r="AB211" i="29" s="1"/>
  <c r="O227" i="29"/>
  <c r="P227" i="29" s="1"/>
  <c r="O228" i="29"/>
  <c r="AA228" i="29" s="1"/>
  <c r="AB228" i="29" s="1"/>
  <c r="O229" i="29"/>
  <c r="O230" i="29"/>
  <c r="O231" i="29"/>
  <c r="O232" i="29"/>
  <c r="P232" i="29" s="1"/>
  <c r="O233" i="29"/>
  <c r="AA233" i="29" s="1"/>
  <c r="AB233" i="29" s="1"/>
  <c r="O234" i="29"/>
  <c r="AA234" i="29" s="1"/>
  <c r="AB234" i="29" s="1"/>
  <c r="P234" i="29"/>
  <c r="O235" i="29"/>
  <c r="P235" i="29"/>
  <c r="O236" i="29"/>
  <c r="P236" i="29"/>
  <c r="O237" i="29"/>
  <c r="P237" i="29" s="1"/>
  <c r="O238" i="29"/>
  <c r="AA238" i="29" s="1"/>
  <c r="AB238" i="29" s="1"/>
  <c r="O239" i="29"/>
  <c r="P239" i="29" s="1"/>
  <c r="O240" i="29"/>
  <c r="O241" i="29"/>
  <c r="P241" i="29" s="1"/>
  <c r="O226" i="29"/>
  <c r="P226" i="29"/>
  <c r="O242" i="29"/>
  <c r="P242" i="29"/>
  <c r="O243" i="29"/>
  <c r="O244" i="29"/>
  <c r="AA244" i="29" s="1"/>
  <c r="AB244" i="29" s="1"/>
  <c r="O246" i="29"/>
  <c r="AA246" i="29" s="1"/>
  <c r="AB246" i="29" s="1"/>
  <c r="P246" i="29"/>
  <c r="O247" i="29"/>
  <c r="O248" i="29"/>
  <c r="P248" i="29"/>
  <c r="O249" i="29"/>
  <c r="P249" i="29" s="1"/>
  <c r="O250" i="29"/>
  <c r="O262" i="29"/>
  <c r="P262" i="29" s="1"/>
  <c r="O263" i="29"/>
  <c r="P263" i="29" s="1"/>
  <c r="O264" i="29"/>
  <c r="P264" i="29" s="1"/>
  <c r="O265" i="29"/>
  <c r="P265" i="29" s="1"/>
  <c r="O266" i="29"/>
  <c r="P266" i="29" s="1"/>
  <c r="O267" i="29"/>
  <c r="O268" i="29"/>
  <c r="P268" i="29" s="1"/>
  <c r="O292" i="29"/>
  <c r="P292" i="29" s="1"/>
  <c r="O245" i="29"/>
  <c r="P245" i="29" s="1"/>
  <c r="AA245" i="29"/>
  <c r="AB245" i="29" s="1"/>
  <c r="O254" i="29"/>
  <c r="O269" i="29"/>
  <c r="P269" i="29" s="1"/>
  <c r="O270" i="29"/>
  <c r="P270" i="29" s="1"/>
  <c r="O271" i="29"/>
  <c r="P271" i="29" s="1"/>
  <c r="O272" i="29"/>
  <c r="AA272" i="29" s="1"/>
  <c r="AB272" i="29" s="1"/>
  <c r="P272" i="29"/>
  <c r="O273" i="29"/>
  <c r="AA273" i="29" s="1"/>
  <c r="AB273" i="29" s="1"/>
  <c r="O274" i="29"/>
  <c r="O275" i="29"/>
  <c r="AA275" i="29" s="1"/>
  <c r="AB275" i="29" s="1"/>
  <c r="O276" i="29"/>
  <c r="O277" i="29"/>
  <c r="P277" i="29" s="1"/>
  <c r="O278" i="29"/>
  <c r="P278" i="29" s="1"/>
  <c r="O279" i="29"/>
  <c r="P279" i="29"/>
  <c r="O280" i="29"/>
  <c r="P280" i="29" s="1"/>
  <c r="O281" i="29"/>
  <c r="AA281" i="29" s="1"/>
  <c r="AB281" i="29" s="1"/>
  <c r="O198" i="29"/>
  <c r="P198" i="29" s="1"/>
  <c r="O282" i="29"/>
  <c r="O283" i="29"/>
  <c r="P283" i="29"/>
  <c r="O284" i="29"/>
  <c r="P284" i="29"/>
  <c r="O285" i="29"/>
  <c r="AA285" i="29" s="1"/>
  <c r="AB285" i="29" s="1"/>
  <c r="O286" i="29"/>
  <c r="AA286" i="29" s="1"/>
  <c r="AB286" i="29" s="1"/>
  <c r="O287" i="29"/>
  <c r="P287" i="29" s="1"/>
  <c r="O288" i="29"/>
  <c r="P288" i="29"/>
  <c r="O289" i="29"/>
  <c r="O290" i="29"/>
  <c r="P290" i="29" s="1"/>
  <c r="O291" i="29"/>
  <c r="AA291" i="29" s="1"/>
  <c r="AB291" i="29" s="1"/>
  <c r="O293" i="29"/>
  <c r="AA293" i="29" s="1"/>
  <c r="AB293" i="29" s="1"/>
  <c r="O294" i="29"/>
  <c r="P294" i="29" s="1"/>
  <c r="O296" i="29"/>
  <c r="O297" i="29"/>
  <c r="AA297" i="29" s="1"/>
  <c r="AB297" i="29" s="1"/>
  <c r="P297" i="29"/>
  <c r="O298" i="29"/>
  <c r="AA298" i="29" s="1"/>
  <c r="AB298" i="29" s="1"/>
  <c r="O299" i="29"/>
  <c r="O300" i="29"/>
  <c r="P300" i="29" s="1"/>
  <c r="O301" i="29"/>
  <c r="P301" i="29" s="1"/>
  <c r="O302" i="29"/>
  <c r="P302" i="29" s="1"/>
  <c r="O303" i="29"/>
  <c r="P303" i="29"/>
  <c r="O304" i="29"/>
  <c r="P304" i="29"/>
  <c r="O305" i="29"/>
  <c r="P305" i="29" s="1"/>
  <c r="O306" i="29"/>
  <c r="P306" i="29" s="1"/>
  <c r="O307" i="29"/>
  <c r="AA307" i="29" s="1"/>
  <c r="AB307" i="29" s="1"/>
  <c r="P307" i="29"/>
  <c r="O308" i="29"/>
  <c r="AA308" i="29" s="1"/>
  <c r="AB308" i="29" s="1"/>
  <c r="O309" i="29"/>
  <c r="O310" i="29"/>
  <c r="P310" i="29"/>
  <c r="O311" i="29"/>
  <c r="P311" i="29"/>
  <c r="O312" i="29"/>
  <c r="AA312" i="29" s="1"/>
  <c r="AB312" i="29" s="1"/>
  <c r="O21" i="29"/>
  <c r="AA21" i="29" s="1"/>
  <c r="AB21" i="29" s="1"/>
  <c r="AX18" i="29"/>
  <c r="B2" i="30"/>
  <c r="P13" i="30" s="1"/>
  <c r="AM22" i="29"/>
  <c r="AM23" i="29"/>
  <c r="AM24" i="29"/>
  <c r="AM25" i="29"/>
  <c r="AM27" i="29"/>
  <c r="AM28" i="29"/>
  <c r="AM29" i="29"/>
  <c r="AM30" i="29"/>
  <c r="AM31" i="29"/>
  <c r="AM32" i="29"/>
  <c r="AM33" i="29"/>
  <c r="AM34" i="29"/>
  <c r="AM35" i="29"/>
  <c r="AM36" i="29"/>
  <c r="AM37" i="29"/>
  <c r="AM38" i="29"/>
  <c r="AM39" i="29"/>
  <c r="AM40" i="29"/>
  <c r="AM41" i="29"/>
  <c r="AM42" i="29"/>
  <c r="AM43" i="29"/>
  <c r="AM44" i="29"/>
  <c r="AM47" i="29"/>
  <c r="AM295" i="29"/>
  <c r="AM296" i="29"/>
  <c r="AM48" i="29"/>
  <c r="AM49" i="29"/>
  <c r="AM50" i="29"/>
  <c r="AM51" i="29"/>
  <c r="AM52" i="29"/>
  <c r="AM53" i="29"/>
  <c r="AM54" i="29"/>
  <c r="AM55" i="29"/>
  <c r="AM56" i="29"/>
  <c r="AM46" i="29"/>
  <c r="AM45" i="29"/>
  <c r="AM57" i="29"/>
  <c r="AM58" i="29"/>
  <c r="AM59" i="29"/>
  <c r="AM60" i="29"/>
  <c r="AM61" i="29"/>
  <c r="AM64" i="29"/>
  <c r="AM65" i="29"/>
  <c r="AM66" i="29"/>
  <c r="AM67" i="29"/>
  <c r="AM62" i="29"/>
  <c r="AM63" i="29"/>
  <c r="AM68" i="29"/>
  <c r="AM69" i="29"/>
  <c r="AM70" i="29"/>
  <c r="AM71" i="29"/>
  <c r="AM72" i="29"/>
  <c r="AM73" i="29"/>
  <c r="AM74" i="29"/>
  <c r="AM75" i="29"/>
  <c r="AM76" i="29"/>
  <c r="AM77" i="29"/>
  <c r="AM78" i="29"/>
  <c r="AM79" i="29"/>
  <c r="AM80" i="29"/>
  <c r="AM81" i="29"/>
  <c r="AM82" i="29"/>
  <c r="AM83" i="29"/>
  <c r="AM84" i="29"/>
  <c r="AM85" i="29"/>
  <c r="AM86" i="29"/>
  <c r="AM87" i="29"/>
  <c r="AM88" i="29"/>
  <c r="AM89" i="29"/>
  <c r="AM90" i="29"/>
  <c r="AM91" i="29"/>
  <c r="AM92" i="29"/>
  <c r="AM93" i="29"/>
  <c r="AM94" i="29"/>
  <c r="AM95" i="29"/>
  <c r="AM96" i="29"/>
  <c r="AM97" i="29"/>
  <c r="AM98" i="29"/>
  <c r="AM101" i="29"/>
  <c r="AM104" i="29"/>
  <c r="AM105" i="29"/>
  <c r="AM106" i="29"/>
  <c r="AM107" i="29"/>
  <c r="AM108" i="29"/>
  <c r="AM109" i="29"/>
  <c r="AM110" i="29"/>
  <c r="AM111" i="29"/>
  <c r="AM112" i="29"/>
  <c r="AM113" i="29"/>
  <c r="AM114" i="29"/>
  <c r="AM115" i="29"/>
  <c r="AM116" i="29"/>
  <c r="AM117" i="29"/>
  <c r="AM118" i="29"/>
  <c r="AM119" i="29"/>
  <c r="AM120" i="29"/>
  <c r="AM121" i="29"/>
  <c r="AM122" i="29"/>
  <c r="AM123" i="29"/>
  <c r="AM124" i="29"/>
  <c r="AM125" i="29"/>
  <c r="AM127" i="29"/>
  <c r="AM128" i="29"/>
  <c r="AM129" i="29"/>
  <c r="AM130" i="29"/>
  <c r="AM189" i="29"/>
  <c r="AM186" i="29"/>
  <c r="AM131" i="29"/>
  <c r="AM132" i="29"/>
  <c r="AM133" i="29"/>
  <c r="AM99" i="29"/>
  <c r="AM103" i="29"/>
  <c r="AM100" i="29"/>
  <c r="AM102" i="29"/>
  <c r="AM134" i="29"/>
  <c r="AM136" i="29"/>
  <c r="AM138" i="29"/>
  <c r="AM139" i="29"/>
  <c r="AM135" i="29"/>
  <c r="AM140" i="29"/>
  <c r="AM137" i="29"/>
  <c r="AM141" i="29"/>
  <c r="AM142" i="29"/>
  <c r="AM143" i="29"/>
  <c r="AM144" i="29"/>
  <c r="AM145" i="29"/>
  <c r="AM146" i="29"/>
  <c r="AM147" i="29"/>
  <c r="AM148" i="29"/>
  <c r="AM150" i="29"/>
  <c r="AM152" i="29"/>
  <c r="AM153" i="29"/>
  <c r="AM154" i="29"/>
  <c r="AM155" i="29"/>
  <c r="AM156" i="29"/>
  <c r="AM157" i="29"/>
  <c r="AM149" i="29"/>
  <c r="AM191" i="29"/>
  <c r="AM158" i="29"/>
  <c r="AM151" i="29"/>
  <c r="AM193" i="29"/>
  <c r="AM159" i="29"/>
  <c r="AM160" i="29"/>
  <c r="AM161" i="29"/>
  <c r="AM162" i="29"/>
  <c r="AM163" i="29"/>
  <c r="AM164" i="29"/>
  <c r="AM165" i="29"/>
  <c r="AM166" i="29"/>
  <c r="AM167" i="29"/>
  <c r="AM168" i="29"/>
  <c r="AM169" i="29"/>
  <c r="AM170" i="29"/>
  <c r="AM172" i="29"/>
  <c r="AM171" i="29"/>
  <c r="AM173" i="29"/>
  <c r="AM175" i="29"/>
  <c r="AM174" i="29"/>
  <c r="AM176" i="29"/>
  <c r="AM177" i="29"/>
  <c r="AM178" i="29"/>
  <c r="AM179" i="29"/>
  <c r="AM180" i="29"/>
  <c r="AM181" i="29"/>
  <c r="AM182" i="29"/>
  <c r="AM183" i="29"/>
  <c r="AM184" i="29"/>
  <c r="AM185" i="29"/>
  <c r="AM187" i="29"/>
  <c r="AM188" i="29"/>
  <c r="AM190" i="29"/>
  <c r="AM192" i="29"/>
  <c r="AM194" i="29"/>
  <c r="AM197" i="29"/>
  <c r="AM200" i="29"/>
  <c r="AM201" i="29"/>
  <c r="AM202" i="29"/>
  <c r="AM203" i="29"/>
  <c r="AM204" i="29"/>
  <c r="AM196" i="29"/>
  <c r="AM195" i="29"/>
  <c r="AM205" i="29"/>
  <c r="AM206" i="29"/>
  <c r="AM207" i="29"/>
  <c r="AM208" i="29"/>
  <c r="AM209" i="29"/>
  <c r="AM210" i="29"/>
  <c r="AM213" i="29"/>
  <c r="AM214" i="29"/>
  <c r="AM215" i="29"/>
  <c r="AM216" i="29"/>
  <c r="AM217" i="29"/>
  <c r="AM218" i="29"/>
  <c r="AM219" i="29"/>
  <c r="AM220" i="29"/>
  <c r="AM221" i="29"/>
  <c r="AM222" i="29"/>
  <c r="AM223" i="29"/>
  <c r="AM224" i="29"/>
  <c r="AM211" i="29"/>
  <c r="AM212" i="29"/>
  <c r="AM228" i="29"/>
  <c r="AM229" i="29"/>
  <c r="AM230" i="29"/>
  <c r="AM231" i="29"/>
  <c r="AM232" i="29"/>
  <c r="AM233" i="29"/>
  <c r="AM234" i="29"/>
  <c r="AM235" i="29"/>
  <c r="AM236" i="29"/>
  <c r="AM237" i="29"/>
  <c r="AM238" i="29"/>
  <c r="AM239" i="29"/>
  <c r="AM240" i="29"/>
  <c r="AM241" i="29"/>
  <c r="AM226" i="29"/>
  <c r="AM227" i="29"/>
  <c r="AM242" i="29"/>
  <c r="AM243" i="29"/>
  <c r="AM244" i="29"/>
  <c r="AM247" i="29"/>
  <c r="AM248" i="29"/>
  <c r="AM249" i="29"/>
  <c r="AM250" i="29"/>
  <c r="AM262" i="29"/>
  <c r="AM263" i="29"/>
  <c r="AM264" i="29"/>
  <c r="AM265" i="29"/>
  <c r="AM266" i="29"/>
  <c r="AM267" i="29"/>
  <c r="AM268" i="29"/>
  <c r="AM292" i="29"/>
  <c r="AM245" i="29"/>
  <c r="AM290" i="29"/>
  <c r="AM246" i="29"/>
  <c r="AM254" i="29"/>
  <c r="AM269" i="29"/>
  <c r="AM270" i="29"/>
  <c r="AM271" i="29"/>
  <c r="AM272" i="29"/>
  <c r="AM273" i="29"/>
  <c r="AM274" i="29"/>
  <c r="AM275" i="29"/>
  <c r="AM276" i="29"/>
  <c r="AM277" i="29"/>
  <c r="AM278" i="29"/>
  <c r="AM279" i="29"/>
  <c r="AM280" i="29"/>
  <c r="AM199" i="29"/>
  <c r="AM281" i="29"/>
  <c r="AM198" i="29"/>
  <c r="AM282" i="29"/>
  <c r="AM283" i="29"/>
  <c r="AM284" i="29"/>
  <c r="AM285" i="29"/>
  <c r="AM286" i="29"/>
  <c r="AM287" i="29"/>
  <c r="AM288" i="29"/>
  <c r="AM289" i="29"/>
  <c r="AM291" i="29"/>
  <c r="AM293" i="29"/>
  <c r="AM294" i="29"/>
  <c r="AM297" i="29"/>
  <c r="AM298" i="29"/>
  <c r="AM299" i="29"/>
  <c r="AM300" i="29"/>
  <c r="AM301" i="29"/>
  <c r="AM302" i="29"/>
  <c r="AM303" i="29"/>
  <c r="AM304" i="29"/>
  <c r="AM305" i="29"/>
  <c r="AM306" i="29"/>
  <c r="AM307" i="29"/>
  <c r="AM308" i="29"/>
  <c r="AM309" i="29"/>
  <c r="AM310" i="29"/>
  <c r="AM311" i="29"/>
  <c r="AM312" i="29"/>
  <c r="AT18" i="29"/>
  <c r="AU18" i="29"/>
  <c r="AJ23" i="29"/>
  <c r="AK23" i="29"/>
  <c r="AJ24" i="29"/>
  <c r="AK24" i="29"/>
  <c r="AJ25" i="29"/>
  <c r="AK25" i="29"/>
  <c r="AJ20" i="29"/>
  <c r="AK20" i="29"/>
  <c r="AJ21" i="29"/>
  <c r="AK21" i="29"/>
  <c r="AJ27" i="29"/>
  <c r="AK27" i="29"/>
  <c r="AJ28" i="29"/>
  <c r="AK28" i="29"/>
  <c r="AJ29" i="29"/>
  <c r="AK29" i="29"/>
  <c r="AJ30" i="29"/>
  <c r="AK30" i="29"/>
  <c r="AJ31" i="29"/>
  <c r="AK31" i="29"/>
  <c r="AJ32" i="29"/>
  <c r="AK32" i="29"/>
  <c r="AJ33" i="29"/>
  <c r="AK33" i="29"/>
  <c r="AJ34" i="29"/>
  <c r="AK34" i="29"/>
  <c r="AJ35" i="29"/>
  <c r="AK35" i="29"/>
  <c r="AJ36" i="29"/>
  <c r="AK36" i="29"/>
  <c r="AJ37" i="29"/>
  <c r="AK37" i="29"/>
  <c r="AJ38" i="29"/>
  <c r="AK38" i="29"/>
  <c r="AJ39" i="29"/>
  <c r="AK39" i="29"/>
  <c r="AJ40" i="29"/>
  <c r="AK40" i="29"/>
  <c r="AJ41" i="29"/>
  <c r="AK41" i="29"/>
  <c r="AJ42" i="29"/>
  <c r="AK42" i="29"/>
  <c r="AJ43" i="29"/>
  <c r="AK43" i="29"/>
  <c r="AJ44" i="29"/>
  <c r="AK44" i="29"/>
  <c r="AJ47" i="29"/>
  <c r="AK47" i="29"/>
  <c r="AJ295" i="29"/>
  <c r="AK295" i="29"/>
  <c r="AJ296" i="29"/>
  <c r="AK296" i="29"/>
  <c r="AJ48" i="29"/>
  <c r="AK48" i="29"/>
  <c r="AJ49" i="29"/>
  <c r="AK49" i="29"/>
  <c r="AJ50" i="29"/>
  <c r="AK50" i="29"/>
  <c r="AJ51" i="29"/>
  <c r="AK51" i="29"/>
  <c r="AJ52" i="29"/>
  <c r="AK52" i="29"/>
  <c r="AJ53" i="29"/>
  <c r="AK53" i="29"/>
  <c r="AJ54" i="29"/>
  <c r="AK54" i="29"/>
  <c r="AJ55" i="29"/>
  <c r="AK55" i="29"/>
  <c r="AJ56" i="29"/>
  <c r="AK56" i="29"/>
  <c r="AJ46" i="29"/>
  <c r="AK46" i="29"/>
  <c r="AJ45" i="29"/>
  <c r="AK45" i="29"/>
  <c r="AJ57" i="29"/>
  <c r="AK57" i="29"/>
  <c r="AJ58" i="29"/>
  <c r="AK58" i="29"/>
  <c r="AJ59" i="29"/>
  <c r="AK59" i="29"/>
  <c r="AJ60" i="29"/>
  <c r="AK60" i="29"/>
  <c r="AJ61" i="29"/>
  <c r="AK61" i="29"/>
  <c r="AJ64" i="29"/>
  <c r="AK64" i="29"/>
  <c r="AJ65" i="29"/>
  <c r="AK65" i="29"/>
  <c r="AJ66" i="29"/>
  <c r="AK66" i="29"/>
  <c r="AJ67" i="29"/>
  <c r="AK67" i="29"/>
  <c r="AJ62" i="29"/>
  <c r="AK62" i="29"/>
  <c r="AJ63" i="29"/>
  <c r="AK63" i="29"/>
  <c r="AJ68" i="29"/>
  <c r="AK68" i="29"/>
  <c r="AJ69" i="29"/>
  <c r="AK69" i="29"/>
  <c r="AJ70" i="29"/>
  <c r="AK70" i="29"/>
  <c r="AJ71" i="29"/>
  <c r="AK71" i="29"/>
  <c r="AJ72" i="29"/>
  <c r="AK72" i="29"/>
  <c r="AJ73" i="29"/>
  <c r="AK73" i="29"/>
  <c r="AJ74" i="29"/>
  <c r="AK74" i="29"/>
  <c r="AJ75" i="29"/>
  <c r="AK75" i="29"/>
  <c r="AJ76" i="29"/>
  <c r="AK76" i="29"/>
  <c r="AJ77" i="29"/>
  <c r="AK77" i="29"/>
  <c r="AJ78" i="29"/>
  <c r="AK78" i="29"/>
  <c r="AJ79" i="29"/>
  <c r="AK79" i="29"/>
  <c r="AJ80" i="29"/>
  <c r="AK80" i="29"/>
  <c r="AJ81" i="29"/>
  <c r="AK81" i="29"/>
  <c r="AJ82" i="29"/>
  <c r="AK82" i="29"/>
  <c r="AJ83" i="29"/>
  <c r="AK83" i="29"/>
  <c r="AJ84" i="29"/>
  <c r="AK84" i="29"/>
  <c r="AJ85" i="29"/>
  <c r="AK85" i="29"/>
  <c r="AJ86" i="29"/>
  <c r="AK86" i="29"/>
  <c r="AJ87" i="29"/>
  <c r="AK87" i="29"/>
  <c r="AJ88" i="29"/>
  <c r="AK88" i="29"/>
  <c r="AJ89" i="29"/>
  <c r="AK89" i="29"/>
  <c r="AJ90" i="29"/>
  <c r="AK90" i="29"/>
  <c r="AJ91" i="29"/>
  <c r="AK91" i="29"/>
  <c r="AJ92" i="29"/>
  <c r="AK92" i="29"/>
  <c r="AJ93" i="29"/>
  <c r="AK93" i="29"/>
  <c r="AJ94" i="29"/>
  <c r="AK94" i="29"/>
  <c r="AJ95" i="29"/>
  <c r="AK95" i="29"/>
  <c r="AJ96" i="29"/>
  <c r="AK96" i="29"/>
  <c r="AJ97" i="29"/>
  <c r="AK97" i="29"/>
  <c r="AJ98" i="29"/>
  <c r="AK98" i="29"/>
  <c r="AJ101" i="29"/>
  <c r="AK101" i="29"/>
  <c r="AJ104" i="29"/>
  <c r="AK104" i="29"/>
  <c r="AJ105" i="29"/>
  <c r="AK105" i="29"/>
  <c r="AJ106" i="29"/>
  <c r="AK106" i="29"/>
  <c r="AJ107" i="29"/>
  <c r="AK107" i="29"/>
  <c r="AJ108" i="29"/>
  <c r="AK108" i="29"/>
  <c r="AJ109" i="29"/>
  <c r="AK109" i="29"/>
  <c r="AJ110" i="29"/>
  <c r="AK110" i="29"/>
  <c r="AJ111" i="29"/>
  <c r="AK111" i="29"/>
  <c r="AJ112" i="29"/>
  <c r="AK112" i="29"/>
  <c r="AJ113" i="29"/>
  <c r="AK113" i="29"/>
  <c r="AJ114" i="29"/>
  <c r="AK114" i="29"/>
  <c r="AJ115" i="29"/>
  <c r="AK115" i="29"/>
  <c r="AJ116" i="29"/>
  <c r="AK116" i="29"/>
  <c r="AJ117" i="29"/>
  <c r="AK117" i="29"/>
  <c r="AJ118" i="29"/>
  <c r="AK118" i="29"/>
  <c r="AJ119" i="29"/>
  <c r="AK119" i="29"/>
  <c r="AJ120" i="29"/>
  <c r="AK120" i="29"/>
  <c r="AJ121" i="29"/>
  <c r="AK121" i="29"/>
  <c r="AJ122" i="29"/>
  <c r="AK122" i="29"/>
  <c r="AJ123" i="29"/>
  <c r="AK123" i="29"/>
  <c r="AJ124" i="29"/>
  <c r="AK124" i="29"/>
  <c r="AJ125" i="29"/>
  <c r="AK125" i="29"/>
  <c r="AJ127" i="29"/>
  <c r="AK127" i="29"/>
  <c r="AJ128" i="29"/>
  <c r="AK128" i="29"/>
  <c r="AJ129" i="29"/>
  <c r="AK129" i="29"/>
  <c r="AJ130" i="29"/>
  <c r="AK130" i="29"/>
  <c r="AJ189" i="29"/>
  <c r="AK189" i="29"/>
  <c r="AJ186" i="29"/>
  <c r="AK186" i="29"/>
  <c r="AJ131" i="29"/>
  <c r="AK131" i="29"/>
  <c r="AJ132" i="29"/>
  <c r="AK132" i="29"/>
  <c r="AJ133" i="29"/>
  <c r="AK133" i="29"/>
  <c r="AJ99" i="29"/>
  <c r="AK99" i="29"/>
  <c r="AJ103" i="29"/>
  <c r="AK103" i="29"/>
  <c r="AJ100" i="29"/>
  <c r="AK100" i="29"/>
  <c r="AJ102" i="29"/>
  <c r="AK102" i="29"/>
  <c r="AJ134" i="29"/>
  <c r="AK134" i="29"/>
  <c r="AJ136" i="29"/>
  <c r="AK136" i="29"/>
  <c r="AJ138" i="29"/>
  <c r="AK138" i="29"/>
  <c r="AJ139" i="29"/>
  <c r="AK139" i="29"/>
  <c r="AJ135" i="29"/>
  <c r="AK135" i="29"/>
  <c r="AJ140" i="29"/>
  <c r="AK140" i="29"/>
  <c r="AJ137" i="29"/>
  <c r="AK137" i="29"/>
  <c r="AJ141" i="29"/>
  <c r="AK141" i="29"/>
  <c r="AJ142" i="29"/>
  <c r="AK142" i="29"/>
  <c r="AJ143" i="29"/>
  <c r="AK143" i="29"/>
  <c r="AJ144" i="29"/>
  <c r="AK144" i="29"/>
  <c r="AJ145" i="29"/>
  <c r="AK145" i="29"/>
  <c r="AJ146" i="29"/>
  <c r="AK146" i="29"/>
  <c r="AJ147" i="29"/>
  <c r="AK147" i="29"/>
  <c r="AJ148" i="29"/>
  <c r="AK148" i="29"/>
  <c r="AJ150" i="29"/>
  <c r="AK150" i="29"/>
  <c r="AJ152" i="29"/>
  <c r="AK152" i="29"/>
  <c r="AJ153" i="29"/>
  <c r="AK153" i="29"/>
  <c r="AJ154" i="29"/>
  <c r="AK154" i="29"/>
  <c r="AJ155" i="29"/>
  <c r="AK155" i="29"/>
  <c r="AJ156" i="29"/>
  <c r="AK156" i="29"/>
  <c r="AJ157" i="29"/>
  <c r="AK157" i="29"/>
  <c r="AJ149" i="29"/>
  <c r="AK149" i="29"/>
  <c r="AJ191" i="29"/>
  <c r="AK191" i="29"/>
  <c r="AJ158" i="29"/>
  <c r="AK158" i="29"/>
  <c r="AJ151" i="29"/>
  <c r="AK151" i="29"/>
  <c r="AJ193" i="29"/>
  <c r="AK193" i="29"/>
  <c r="AJ159" i="29"/>
  <c r="AK159" i="29"/>
  <c r="AJ160" i="29"/>
  <c r="AK160" i="29"/>
  <c r="AJ161" i="29"/>
  <c r="AK161" i="29"/>
  <c r="AJ162" i="29"/>
  <c r="AK162" i="29"/>
  <c r="AJ163" i="29"/>
  <c r="AK163" i="29"/>
  <c r="AJ164" i="29"/>
  <c r="AK164" i="29"/>
  <c r="AJ165" i="29"/>
  <c r="AK165" i="29"/>
  <c r="AJ166" i="29"/>
  <c r="AK166" i="29"/>
  <c r="AJ167" i="29"/>
  <c r="AK167" i="29"/>
  <c r="AJ168" i="29"/>
  <c r="AK168" i="29"/>
  <c r="AJ169" i="29"/>
  <c r="AK169" i="29"/>
  <c r="AJ170" i="29"/>
  <c r="AK170" i="29"/>
  <c r="AJ172" i="29"/>
  <c r="AK172" i="29"/>
  <c r="AJ171" i="29"/>
  <c r="AK171" i="29"/>
  <c r="AJ173" i="29"/>
  <c r="AK173" i="29"/>
  <c r="AJ175" i="29"/>
  <c r="AK175" i="29"/>
  <c r="AJ174" i="29"/>
  <c r="AK174" i="29"/>
  <c r="AJ176" i="29"/>
  <c r="AK176" i="29"/>
  <c r="AJ177" i="29"/>
  <c r="AK177" i="29"/>
  <c r="AJ178" i="29"/>
  <c r="AK178" i="29"/>
  <c r="AJ179" i="29"/>
  <c r="AK179" i="29"/>
  <c r="AJ180" i="29"/>
  <c r="AK180" i="29"/>
  <c r="AJ181" i="29"/>
  <c r="AK181" i="29"/>
  <c r="AJ182" i="29"/>
  <c r="AK182" i="29"/>
  <c r="AJ183" i="29"/>
  <c r="AK183" i="29"/>
  <c r="AJ184" i="29"/>
  <c r="AK184" i="29"/>
  <c r="AJ185" i="29"/>
  <c r="AK185" i="29"/>
  <c r="AJ187" i="29"/>
  <c r="AK187" i="29"/>
  <c r="AJ188" i="29"/>
  <c r="AK188" i="29"/>
  <c r="AJ190" i="29"/>
  <c r="AK190" i="29"/>
  <c r="AJ192" i="29"/>
  <c r="AK192" i="29"/>
  <c r="AJ194" i="29"/>
  <c r="AK194" i="29"/>
  <c r="AJ197" i="29"/>
  <c r="AK197" i="29"/>
  <c r="AJ200" i="29"/>
  <c r="AK200" i="29"/>
  <c r="AJ201" i="29"/>
  <c r="AK201" i="29"/>
  <c r="AJ202" i="29"/>
  <c r="AK202" i="29"/>
  <c r="AJ203" i="29"/>
  <c r="AK203" i="29"/>
  <c r="AJ204" i="29"/>
  <c r="AK204" i="29"/>
  <c r="AJ196" i="29"/>
  <c r="AK196" i="29"/>
  <c r="AJ195" i="29"/>
  <c r="AK195" i="29"/>
  <c r="AJ205" i="29"/>
  <c r="AK205" i="29"/>
  <c r="AJ206" i="29"/>
  <c r="AK206" i="29"/>
  <c r="AJ207" i="29"/>
  <c r="AK207" i="29"/>
  <c r="AJ208" i="29"/>
  <c r="AK208" i="29"/>
  <c r="AJ209" i="29"/>
  <c r="AK209" i="29"/>
  <c r="AJ210" i="29"/>
  <c r="AK210" i="29"/>
  <c r="AJ213" i="29"/>
  <c r="AK213" i="29"/>
  <c r="AJ214" i="29"/>
  <c r="AK214" i="29"/>
  <c r="AJ215" i="29"/>
  <c r="AK215" i="29"/>
  <c r="AJ216" i="29"/>
  <c r="AK216" i="29"/>
  <c r="AJ217" i="29"/>
  <c r="AK217" i="29"/>
  <c r="AJ218" i="29"/>
  <c r="AK218" i="29"/>
  <c r="AJ219" i="29"/>
  <c r="AK219" i="29"/>
  <c r="AJ220" i="29"/>
  <c r="AK220" i="29"/>
  <c r="AJ221" i="29"/>
  <c r="AK221" i="29"/>
  <c r="AJ222" i="29"/>
  <c r="AK222" i="29"/>
  <c r="AJ223" i="29"/>
  <c r="AK223" i="29"/>
  <c r="AJ224" i="29"/>
  <c r="AK224" i="29"/>
  <c r="AJ211" i="29"/>
  <c r="AK211" i="29"/>
  <c r="AJ212" i="29"/>
  <c r="AK212" i="29"/>
  <c r="AJ228" i="29"/>
  <c r="AK228" i="29"/>
  <c r="AJ229" i="29"/>
  <c r="AK229" i="29"/>
  <c r="AJ230" i="29"/>
  <c r="AK230" i="29"/>
  <c r="AJ231" i="29"/>
  <c r="AK231" i="29"/>
  <c r="AJ232" i="29"/>
  <c r="AK232" i="29"/>
  <c r="AJ233" i="29"/>
  <c r="AK233" i="29"/>
  <c r="AJ234" i="29"/>
  <c r="AK234" i="29"/>
  <c r="AJ235" i="29"/>
  <c r="AK235" i="29"/>
  <c r="AJ236" i="29"/>
  <c r="AK236" i="29"/>
  <c r="AJ237" i="29"/>
  <c r="AK237" i="29"/>
  <c r="AJ238" i="29"/>
  <c r="AK238" i="29"/>
  <c r="AJ239" i="29"/>
  <c r="AK239" i="29"/>
  <c r="AJ240" i="29"/>
  <c r="AK240" i="29"/>
  <c r="AJ241" i="29"/>
  <c r="AK241" i="29"/>
  <c r="AJ226" i="29"/>
  <c r="AK226" i="29"/>
  <c r="AJ227" i="29"/>
  <c r="AK227" i="29"/>
  <c r="AJ242" i="29"/>
  <c r="AK242" i="29"/>
  <c r="AJ243" i="29"/>
  <c r="AK243" i="29"/>
  <c r="AJ244" i="29"/>
  <c r="AK244" i="29"/>
  <c r="AJ247" i="29"/>
  <c r="AK247" i="29"/>
  <c r="AJ248" i="29"/>
  <c r="AK248" i="29"/>
  <c r="AJ249" i="29"/>
  <c r="AK249" i="29"/>
  <c r="AJ250" i="29"/>
  <c r="AK250" i="29"/>
  <c r="AJ262" i="29"/>
  <c r="AK262" i="29"/>
  <c r="AJ263" i="29"/>
  <c r="AK263" i="29"/>
  <c r="AJ264" i="29"/>
  <c r="AK264" i="29"/>
  <c r="AJ265" i="29"/>
  <c r="AK265" i="29"/>
  <c r="AJ266" i="29"/>
  <c r="AK266" i="29"/>
  <c r="AJ267" i="29"/>
  <c r="AK267" i="29"/>
  <c r="AJ268" i="29"/>
  <c r="AK268" i="29"/>
  <c r="AJ292" i="29"/>
  <c r="AK292" i="29"/>
  <c r="AJ245" i="29"/>
  <c r="AK245" i="29"/>
  <c r="AJ290" i="29"/>
  <c r="AK290" i="29"/>
  <c r="AJ246" i="29"/>
  <c r="AK246" i="29"/>
  <c r="AJ254" i="29"/>
  <c r="AK254" i="29"/>
  <c r="AJ269" i="29"/>
  <c r="AK269" i="29"/>
  <c r="AJ270" i="29"/>
  <c r="AK270" i="29"/>
  <c r="AJ271" i="29"/>
  <c r="AK271" i="29"/>
  <c r="AJ272" i="29"/>
  <c r="AK272" i="29"/>
  <c r="AJ273" i="29"/>
  <c r="AK273" i="29"/>
  <c r="AJ274" i="29"/>
  <c r="AK274" i="29"/>
  <c r="AJ275" i="29"/>
  <c r="AK275" i="29"/>
  <c r="AJ276" i="29"/>
  <c r="AK276" i="29"/>
  <c r="AJ277" i="29"/>
  <c r="AK277" i="29"/>
  <c r="AJ278" i="29"/>
  <c r="AK278" i="29"/>
  <c r="AJ279" i="29"/>
  <c r="AK279" i="29"/>
  <c r="AJ280" i="29"/>
  <c r="AK280" i="29"/>
  <c r="AJ199" i="29"/>
  <c r="AK199" i="29"/>
  <c r="AJ281" i="29"/>
  <c r="AK281" i="29"/>
  <c r="AJ198" i="29"/>
  <c r="AK198" i="29"/>
  <c r="AJ282" i="29"/>
  <c r="AK282" i="29"/>
  <c r="AJ283" i="29"/>
  <c r="AK283" i="29"/>
  <c r="AJ284" i="29"/>
  <c r="AK284" i="29"/>
  <c r="AJ285" i="29"/>
  <c r="AK285" i="29"/>
  <c r="AJ286" i="29"/>
  <c r="AK286" i="29"/>
  <c r="AJ287" i="29"/>
  <c r="AK287" i="29"/>
  <c r="AJ288" i="29"/>
  <c r="AK288" i="29"/>
  <c r="AJ289" i="29"/>
  <c r="AK289" i="29"/>
  <c r="AJ291" i="29"/>
  <c r="AK291" i="29"/>
  <c r="AJ293" i="29"/>
  <c r="AK293" i="29"/>
  <c r="AJ294" i="29"/>
  <c r="AK294" i="29"/>
  <c r="AJ297" i="29"/>
  <c r="AK297" i="29"/>
  <c r="AJ298" i="29"/>
  <c r="AK298" i="29"/>
  <c r="AJ299" i="29"/>
  <c r="AK299" i="29"/>
  <c r="AJ300" i="29"/>
  <c r="AK300" i="29"/>
  <c r="AJ301" i="29"/>
  <c r="AK301" i="29"/>
  <c r="AJ302" i="29"/>
  <c r="AK302" i="29"/>
  <c r="AJ303" i="29"/>
  <c r="AK303" i="29"/>
  <c r="AJ304" i="29"/>
  <c r="AK304" i="29"/>
  <c r="AJ305" i="29"/>
  <c r="AK305" i="29"/>
  <c r="AJ306" i="29"/>
  <c r="AK306" i="29"/>
  <c r="AJ307" i="29"/>
  <c r="AK307" i="29"/>
  <c r="AJ308" i="29"/>
  <c r="AK308" i="29"/>
  <c r="AJ309" i="29"/>
  <c r="AK309" i="29"/>
  <c r="AJ310" i="29"/>
  <c r="AK310" i="29"/>
  <c r="AJ311" i="29"/>
  <c r="AK311" i="29"/>
  <c r="AJ312" i="29"/>
  <c r="AK312" i="29"/>
  <c r="AK22" i="29"/>
  <c r="AJ22" i="29"/>
  <c r="W18" i="29"/>
  <c r="V18" i="29"/>
  <c r="B53" i="3"/>
  <c r="U18" i="29"/>
  <c r="T18" i="29"/>
  <c r="AT8" i="11"/>
  <c r="S18" i="29"/>
  <c r="R18" i="29"/>
  <c r="N18" i="29"/>
  <c r="M18" i="29"/>
  <c r="L18" i="29"/>
  <c r="D54" i="3"/>
  <c r="E54" i="3" s="1"/>
  <c r="F54" i="3" s="1"/>
  <c r="G54" i="3" s="1"/>
  <c r="H54" i="3" s="1"/>
  <c r="K18" i="29"/>
  <c r="J18" i="29"/>
  <c r="D53" i="3"/>
  <c r="I18" i="29"/>
  <c r="E52" i="3"/>
  <c r="H18" i="29"/>
  <c r="G18" i="29"/>
  <c r="F18" i="29"/>
  <c r="D18" i="29"/>
  <c r="B11" i="6"/>
  <c r="D11" i="6" s="1"/>
  <c r="H6" i="28"/>
  <c r="I6" i="28"/>
  <c r="J6" i="28"/>
  <c r="K6" i="28"/>
  <c r="L6" i="28"/>
  <c r="H7" i="28"/>
  <c r="I7" i="28"/>
  <c r="J7" i="28"/>
  <c r="K7" i="28"/>
  <c r="L7" i="28"/>
  <c r="H8" i="28"/>
  <c r="I8" i="28"/>
  <c r="J8" i="28"/>
  <c r="K8" i="28"/>
  <c r="L8" i="28"/>
  <c r="H9" i="28"/>
  <c r="I9" i="28"/>
  <c r="J9" i="28"/>
  <c r="K9" i="28"/>
  <c r="L9" i="28"/>
  <c r="H10" i="28"/>
  <c r="I10" i="28"/>
  <c r="J10" i="28"/>
  <c r="K10" i="28"/>
  <c r="L10" i="28"/>
  <c r="H11" i="28"/>
  <c r="I11" i="28"/>
  <c r="J11" i="28"/>
  <c r="K11" i="28"/>
  <c r="L11" i="28"/>
  <c r="H12" i="28"/>
  <c r="I12" i="28"/>
  <c r="J12" i="28"/>
  <c r="K12" i="28"/>
  <c r="L12" i="28"/>
  <c r="H13" i="28"/>
  <c r="I13" i="28"/>
  <c r="J13" i="28"/>
  <c r="K13" i="28"/>
  <c r="L13" i="28"/>
  <c r="H14" i="28"/>
  <c r="I14" i="28"/>
  <c r="J14" i="28"/>
  <c r="K14" i="28"/>
  <c r="L14" i="28"/>
  <c r="H15" i="28"/>
  <c r="I15" i="28"/>
  <c r="J15" i="28"/>
  <c r="K15" i="28"/>
  <c r="L15" i="28"/>
  <c r="H16" i="28"/>
  <c r="I16" i="28"/>
  <c r="J16" i="28"/>
  <c r="K16" i="28"/>
  <c r="L16" i="28"/>
  <c r="H17" i="28"/>
  <c r="I17" i="28"/>
  <c r="J17" i="28"/>
  <c r="K17" i="28"/>
  <c r="L17" i="28"/>
  <c r="H18" i="28"/>
  <c r="I18" i="28"/>
  <c r="J18" i="28"/>
  <c r="K18" i="28"/>
  <c r="L18" i="28"/>
  <c r="H19" i="28"/>
  <c r="I19" i="28"/>
  <c r="J19" i="28"/>
  <c r="K19" i="28"/>
  <c r="L19" i="28"/>
  <c r="H20" i="28"/>
  <c r="I20" i="28"/>
  <c r="J20" i="28"/>
  <c r="K20" i="28"/>
  <c r="L20" i="28"/>
  <c r="H21" i="28"/>
  <c r="I21" i="28"/>
  <c r="J21" i="28"/>
  <c r="K21" i="28"/>
  <c r="L21" i="28"/>
  <c r="H22" i="28"/>
  <c r="I22" i="28"/>
  <c r="J22" i="28"/>
  <c r="K22" i="28"/>
  <c r="L22" i="28"/>
  <c r="H23" i="28"/>
  <c r="I23" i="28"/>
  <c r="J23" i="28"/>
  <c r="K23" i="28"/>
  <c r="L23" i="28"/>
  <c r="H24" i="28"/>
  <c r="I24" i="28"/>
  <c r="J24" i="28"/>
  <c r="K24" i="28"/>
  <c r="L24" i="28"/>
  <c r="H25" i="28"/>
  <c r="I25" i="28"/>
  <c r="J25" i="28"/>
  <c r="K25" i="28"/>
  <c r="L25" i="28"/>
  <c r="H26" i="28"/>
  <c r="I26" i="28"/>
  <c r="J26" i="28"/>
  <c r="K26" i="28"/>
  <c r="L26" i="28"/>
  <c r="H27" i="28"/>
  <c r="I27" i="28"/>
  <c r="J27" i="28"/>
  <c r="K27" i="28"/>
  <c r="L27" i="28"/>
  <c r="H28" i="28"/>
  <c r="I28" i="28"/>
  <c r="J28" i="28"/>
  <c r="K28" i="28"/>
  <c r="L28" i="28"/>
  <c r="H29" i="28"/>
  <c r="I29" i="28"/>
  <c r="J29" i="28"/>
  <c r="K29" i="28"/>
  <c r="L29" i="28"/>
  <c r="H30" i="28"/>
  <c r="I30" i="28"/>
  <c r="J30" i="28"/>
  <c r="K30" i="28"/>
  <c r="L30" i="28"/>
  <c r="H31" i="28"/>
  <c r="I31" i="28"/>
  <c r="J31" i="28"/>
  <c r="K31" i="28"/>
  <c r="L31" i="28"/>
  <c r="H32" i="28"/>
  <c r="I32" i="28"/>
  <c r="J32" i="28"/>
  <c r="K32" i="28"/>
  <c r="L32" i="28"/>
  <c r="H33" i="28"/>
  <c r="I33" i="28"/>
  <c r="J33" i="28"/>
  <c r="K33" i="28"/>
  <c r="L33" i="28"/>
  <c r="H34" i="28"/>
  <c r="I34" i="28"/>
  <c r="J34" i="28"/>
  <c r="K34" i="28"/>
  <c r="L34" i="28"/>
  <c r="H35" i="28"/>
  <c r="I35" i="28"/>
  <c r="J35" i="28"/>
  <c r="K35" i="28"/>
  <c r="L35" i="28"/>
  <c r="H36" i="28"/>
  <c r="I36" i="28"/>
  <c r="J36" i="28"/>
  <c r="K36" i="28"/>
  <c r="L36" i="28"/>
  <c r="H37" i="28"/>
  <c r="I37" i="28"/>
  <c r="J37" i="28"/>
  <c r="K37" i="28"/>
  <c r="L37" i="28"/>
  <c r="H38" i="28"/>
  <c r="I38" i="28"/>
  <c r="J38" i="28"/>
  <c r="K38" i="28"/>
  <c r="L38" i="28"/>
  <c r="H39" i="28"/>
  <c r="I39" i="28"/>
  <c r="J39" i="28"/>
  <c r="K39" i="28"/>
  <c r="L39" i="28"/>
  <c r="H40" i="28"/>
  <c r="I40" i="28"/>
  <c r="J40" i="28"/>
  <c r="K40" i="28"/>
  <c r="L40" i="28"/>
  <c r="H41" i="28"/>
  <c r="I41" i="28"/>
  <c r="J41" i="28"/>
  <c r="K41" i="28"/>
  <c r="L41" i="28"/>
  <c r="H42" i="28"/>
  <c r="I42" i="28"/>
  <c r="J42" i="28"/>
  <c r="K42" i="28"/>
  <c r="L42" i="28"/>
  <c r="H43" i="28"/>
  <c r="I43" i="28"/>
  <c r="J43" i="28"/>
  <c r="K43" i="28"/>
  <c r="L43" i="28"/>
  <c r="H44" i="28"/>
  <c r="I44" i="28"/>
  <c r="J44" i="28"/>
  <c r="K44" i="28"/>
  <c r="L44" i="28"/>
  <c r="H45" i="28"/>
  <c r="I45" i="28"/>
  <c r="J45" i="28"/>
  <c r="K45" i="28"/>
  <c r="L45" i="28"/>
  <c r="H46" i="28"/>
  <c r="I46" i="28"/>
  <c r="J46" i="28"/>
  <c r="K46" i="28"/>
  <c r="L46" i="28"/>
  <c r="H47" i="28"/>
  <c r="I47" i="28"/>
  <c r="J47" i="28"/>
  <c r="K47" i="28"/>
  <c r="L47" i="28"/>
  <c r="H48" i="28"/>
  <c r="I48" i="28"/>
  <c r="J48" i="28"/>
  <c r="K48" i="28"/>
  <c r="L48" i="28"/>
  <c r="H49" i="28"/>
  <c r="I49" i="28"/>
  <c r="J49" i="28"/>
  <c r="K49" i="28"/>
  <c r="L49" i="28"/>
  <c r="H50" i="28"/>
  <c r="I50" i="28"/>
  <c r="J50" i="28"/>
  <c r="K50" i="28"/>
  <c r="L50" i="28"/>
  <c r="H51" i="28"/>
  <c r="I51" i="28"/>
  <c r="J51" i="28"/>
  <c r="K51" i="28"/>
  <c r="L51" i="28"/>
  <c r="H52" i="28"/>
  <c r="I52" i="28"/>
  <c r="J52" i="28"/>
  <c r="K52" i="28"/>
  <c r="L52" i="28"/>
  <c r="H53" i="28"/>
  <c r="I53" i="28"/>
  <c r="J53" i="28"/>
  <c r="K53" i="28"/>
  <c r="L53" i="28"/>
  <c r="H54" i="28"/>
  <c r="I54" i="28"/>
  <c r="J54" i="28"/>
  <c r="K54" i="28"/>
  <c r="L54" i="28"/>
  <c r="H55" i="28"/>
  <c r="I55" i="28"/>
  <c r="J55" i="28"/>
  <c r="K55" i="28"/>
  <c r="L55" i="28"/>
  <c r="H56" i="28"/>
  <c r="I56" i="28"/>
  <c r="J56" i="28"/>
  <c r="K56" i="28"/>
  <c r="L56" i="28"/>
  <c r="H57" i="28"/>
  <c r="I57" i="28"/>
  <c r="J57" i="28"/>
  <c r="K57" i="28"/>
  <c r="L57" i="28"/>
  <c r="H58" i="28"/>
  <c r="I58" i="28"/>
  <c r="J58" i="28"/>
  <c r="K58" i="28"/>
  <c r="L58" i="28"/>
  <c r="H59" i="28"/>
  <c r="I59" i="28"/>
  <c r="J59" i="28"/>
  <c r="K59" i="28"/>
  <c r="L59" i="28"/>
  <c r="H60" i="28"/>
  <c r="I60" i="28"/>
  <c r="J60" i="28"/>
  <c r="K60" i="28"/>
  <c r="L60" i="28"/>
  <c r="H61" i="28"/>
  <c r="I61" i="28"/>
  <c r="J61" i="28"/>
  <c r="K61" i="28"/>
  <c r="L61" i="28"/>
  <c r="H62" i="28"/>
  <c r="I62" i="28"/>
  <c r="J62" i="28"/>
  <c r="K62" i="28"/>
  <c r="L62" i="28"/>
  <c r="H63" i="28"/>
  <c r="I63" i="28"/>
  <c r="J63" i="28"/>
  <c r="K63" i="28"/>
  <c r="L63" i="28"/>
  <c r="H64" i="28"/>
  <c r="I64" i="28"/>
  <c r="J64" i="28"/>
  <c r="K64" i="28"/>
  <c r="L64" i="28"/>
  <c r="H65" i="28"/>
  <c r="I65" i="28"/>
  <c r="J65" i="28"/>
  <c r="K65" i="28"/>
  <c r="L65" i="28"/>
  <c r="H66" i="28"/>
  <c r="I66" i="28"/>
  <c r="J66" i="28"/>
  <c r="K66" i="28"/>
  <c r="L66" i="28"/>
  <c r="H67" i="28"/>
  <c r="I67" i="28"/>
  <c r="J67" i="28"/>
  <c r="K67" i="28"/>
  <c r="L67" i="28"/>
  <c r="H68" i="28"/>
  <c r="I68" i="28"/>
  <c r="J68" i="28"/>
  <c r="K68" i="28"/>
  <c r="L68" i="28"/>
  <c r="H69" i="28"/>
  <c r="I69" i="28"/>
  <c r="J69" i="28"/>
  <c r="K69" i="28"/>
  <c r="L69" i="28"/>
  <c r="H70" i="28"/>
  <c r="I70" i="28"/>
  <c r="J70" i="28"/>
  <c r="K70" i="28"/>
  <c r="L70" i="28"/>
  <c r="H71" i="28"/>
  <c r="I71" i="28"/>
  <c r="J71" i="28"/>
  <c r="K71" i="28"/>
  <c r="L71" i="28"/>
  <c r="H72" i="28"/>
  <c r="I72" i="28"/>
  <c r="J72" i="28"/>
  <c r="K72" i="28"/>
  <c r="L72" i="28"/>
  <c r="H73" i="28"/>
  <c r="I73" i="28"/>
  <c r="J73" i="28"/>
  <c r="K73" i="28"/>
  <c r="L73" i="28"/>
  <c r="H74" i="28"/>
  <c r="I74" i="28"/>
  <c r="J74" i="28"/>
  <c r="K74" i="28"/>
  <c r="L74" i="28"/>
  <c r="H75" i="28"/>
  <c r="I75" i="28"/>
  <c r="J75" i="28"/>
  <c r="K75" i="28"/>
  <c r="L75" i="28"/>
  <c r="H76" i="28"/>
  <c r="I76" i="28"/>
  <c r="J76" i="28"/>
  <c r="K76" i="28"/>
  <c r="L76" i="28"/>
  <c r="H77" i="28"/>
  <c r="I77" i="28"/>
  <c r="J77" i="28"/>
  <c r="K77" i="28"/>
  <c r="L77" i="28"/>
  <c r="H78" i="28"/>
  <c r="I78" i="28"/>
  <c r="J78" i="28"/>
  <c r="K78" i="28"/>
  <c r="L78" i="28"/>
  <c r="H79" i="28"/>
  <c r="I79" i="28"/>
  <c r="J79" i="28"/>
  <c r="K79" i="28"/>
  <c r="L79" i="28"/>
  <c r="H80" i="28"/>
  <c r="I80" i="28"/>
  <c r="J80" i="28"/>
  <c r="K80" i="28"/>
  <c r="L80" i="28"/>
  <c r="H81" i="28"/>
  <c r="I81" i="28"/>
  <c r="J81" i="28"/>
  <c r="K81" i="28"/>
  <c r="L81" i="28"/>
  <c r="H82" i="28"/>
  <c r="I82" i="28"/>
  <c r="J82" i="28"/>
  <c r="K82" i="28"/>
  <c r="L82" i="28"/>
  <c r="H83" i="28"/>
  <c r="I83" i="28"/>
  <c r="J83" i="28"/>
  <c r="K83" i="28"/>
  <c r="L83" i="28"/>
  <c r="H84" i="28"/>
  <c r="I84" i="28"/>
  <c r="J84" i="28"/>
  <c r="K84" i="28"/>
  <c r="L84" i="28"/>
  <c r="H85" i="28"/>
  <c r="I85" i="28"/>
  <c r="J85" i="28"/>
  <c r="K85" i="28"/>
  <c r="L85" i="28"/>
  <c r="H86" i="28"/>
  <c r="I86" i="28"/>
  <c r="J86" i="28"/>
  <c r="K86" i="28"/>
  <c r="L86" i="28"/>
  <c r="H87" i="28"/>
  <c r="I87" i="28"/>
  <c r="J87" i="28"/>
  <c r="K87" i="28"/>
  <c r="L87" i="28"/>
  <c r="H88" i="28"/>
  <c r="I88" i="28"/>
  <c r="J88" i="28"/>
  <c r="K88" i="28"/>
  <c r="L88" i="28"/>
  <c r="H89" i="28"/>
  <c r="I89" i="28"/>
  <c r="J89" i="28"/>
  <c r="K89" i="28"/>
  <c r="L89" i="28"/>
  <c r="H90" i="28"/>
  <c r="I90" i="28"/>
  <c r="J90" i="28"/>
  <c r="K90" i="28"/>
  <c r="L90" i="28"/>
  <c r="H91" i="28"/>
  <c r="I91" i="28"/>
  <c r="J91" i="28"/>
  <c r="K91" i="28"/>
  <c r="L91" i="28"/>
  <c r="H92" i="28"/>
  <c r="I92" i="28"/>
  <c r="J92" i="28"/>
  <c r="K92" i="28"/>
  <c r="L92" i="28"/>
  <c r="H93" i="28"/>
  <c r="I93" i="28"/>
  <c r="J93" i="28"/>
  <c r="K93" i="28"/>
  <c r="L93" i="28"/>
  <c r="H94" i="28"/>
  <c r="I94" i="28"/>
  <c r="J94" i="28"/>
  <c r="K94" i="28"/>
  <c r="L94" i="28"/>
  <c r="H95" i="28"/>
  <c r="I95" i="28"/>
  <c r="J95" i="28"/>
  <c r="K95" i="28"/>
  <c r="L95" i="28"/>
  <c r="H96" i="28"/>
  <c r="I96" i="28"/>
  <c r="J96" i="28"/>
  <c r="K96" i="28"/>
  <c r="L96" i="28"/>
  <c r="H97" i="28"/>
  <c r="I97" i="28"/>
  <c r="J97" i="28"/>
  <c r="K97" i="28"/>
  <c r="L97" i="28"/>
  <c r="H98" i="28"/>
  <c r="I98" i="28"/>
  <c r="J98" i="28"/>
  <c r="K98" i="28"/>
  <c r="L98" i="28"/>
  <c r="H99" i="28"/>
  <c r="I99" i="28"/>
  <c r="J99" i="28"/>
  <c r="K99" i="28"/>
  <c r="L99" i="28"/>
  <c r="H100" i="28"/>
  <c r="I100" i="28"/>
  <c r="J100" i="28"/>
  <c r="K100" i="28"/>
  <c r="L100" i="28"/>
  <c r="H101" i="28"/>
  <c r="I101" i="28"/>
  <c r="J101" i="28"/>
  <c r="K101" i="28"/>
  <c r="L101" i="28"/>
  <c r="H102" i="28"/>
  <c r="I102" i="28"/>
  <c r="J102" i="28"/>
  <c r="K102" i="28"/>
  <c r="L102" i="28"/>
  <c r="H103" i="28"/>
  <c r="I103" i="28"/>
  <c r="J103" i="28"/>
  <c r="K103" i="28"/>
  <c r="L103" i="28"/>
  <c r="H104" i="28"/>
  <c r="I104" i="28"/>
  <c r="J104" i="28"/>
  <c r="K104" i="28"/>
  <c r="L104" i="28"/>
  <c r="H105" i="28"/>
  <c r="I105" i="28"/>
  <c r="J105" i="28"/>
  <c r="K105" i="28"/>
  <c r="L105" i="28"/>
  <c r="H106" i="28"/>
  <c r="I106" i="28"/>
  <c r="J106" i="28"/>
  <c r="K106" i="28"/>
  <c r="L106" i="28"/>
  <c r="H107" i="28"/>
  <c r="I107" i="28"/>
  <c r="J107" i="28"/>
  <c r="K107" i="28"/>
  <c r="L107" i="28"/>
  <c r="H108" i="28"/>
  <c r="I108" i="28"/>
  <c r="J108" i="28"/>
  <c r="K108" i="28"/>
  <c r="L108" i="28"/>
  <c r="H109" i="28"/>
  <c r="I109" i="28"/>
  <c r="J109" i="28"/>
  <c r="K109" i="28"/>
  <c r="L109" i="28"/>
  <c r="H110" i="28"/>
  <c r="I110" i="28"/>
  <c r="J110" i="28"/>
  <c r="K110" i="28"/>
  <c r="L110" i="28"/>
  <c r="H111" i="28"/>
  <c r="I111" i="28"/>
  <c r="J111" i="28"/>
  <c r="K111" i="28"/>
  <c r="L111" i="28"/>
  <c r="H112" i="28"/>
  <c r="I112" i="28"/>
  <c r="J112" i="28"/>
  <c r="K112" i="28"/>
  <c r="L112" i="28"/>
  <c r="H113" i="28"/>
  <c r="I113" i="28"/>
  <c r="J113" i="28"/>
  <c r="K113" i="28"/>
  <c r="L113" i="28"/>
  <c r="H114" i="28"/>
  <c r="I114" i="28"/>
  <c r="J114" i="28"/>
  <c r="K114" i="28"/>
  <c r="L114" i="28"/>
  <c r="H115" i="28"/>
  <c r="I115" i="28"/>
  <c r="J115" i="28"/>
  <c r="K115" i="28"/>
  <c r="L115" i="28"/>
  <c r="H116" i="28"/>
  <c r="I116" i="28"/>
  <c r="J116" i="28"/>
  <c r="K116" i="28"/>
  <c r="L116" i="28"/>
  <c r="H117" i="28"/>
  <c r="I117" i="28"/>
  <c r="J117" i="28"/>
  <c r="K117" i="28"/>
  <c r="L117" i="28"/>
  <c r="H118" i="28"/>
  <c r="I118" i="28"/>
  <c r="J118" i="28"/>
  <c r="K118" i="28"/>
  <c r="L118" i="28"/>
  <c r="H119" i="28"/>
  <c r="I119" i="28"/>
  <c r="J119" i="28"/>
  <c r="K119" i="28"/>
  <c r="L119" i="28"/>
  <c r="H120" i="28"/>
  <c r="I120" i="28"/>
  <c r="J120" i="28"/>
  <c r="K120" i="28"/>
  <c r="L120" i="28"/>
  <c r="H121" i="28"/>
  <c r="I121" i="28"/>
  <c r="J121" i="28"/>
  <c r="K121" i="28"/>
  <c r="L121" i="28"/>
  <c r="H122" i="28"/>
  <c r="I122" i="28"/>
  <c r="J122" i="28"/>
  <c r="K122" i="28"/>
  <c r="L122" i="28"/>
  <c r="H123" i="28"/>
  <c r="I123" i="28"/>
  <c r="J123" i="28"/>
  <c r="K123" i="28"/>
  <c r="L123" i="28"/>
  <c r="H124" i="28"/>
  <c r="I124" i="28"/>
  <c r="J124" i="28"/>
  <c r="K124" i="28"/>
  <c r="L124" i="28"/>
  <c r="H125" i="28"/>
  <c r="I125" i="28"/>
  <c r="J125" i="28"/>
  <c r="K125" i="28"/>
  <c r="L125" i="28"/>
  <c r="H126" i="28"/>
  <c r="I126" i="28"/>
  <c r="J126" i="28"/>
  <c r="K126" i="28"/>
  <c r="L126" i="28"/>
  <c r="H127" i="28"/>
  <c r="I127" i="28"/>
  <c r="J127" i="28"/>
  <c r="K127" i="28"/>
  <c r="L127" i="28"/>
  <c r="H128" i="28"/>
  <c r="I128" i="28"/>
  <c r="J128" i="28"/>
  <c r="K128" i="28"/>
  <c r="L128" i="28"/>
  <c r="H129" i="28"/>
  <c r="I129" i="28"/>
  <c r="J129" i="28"/>
  <c r="K129" i="28"/>
  <c r="L129" i="28"/>
  <c r="H130" i="28"/>
  <c r="I130" i="28"/>
  <c r="J130" i="28"/>
  <c r="K130" i="28"/>
  <c r="L130" i="28"/>
  <c r="H131" i="28"/>
  <c r="I131" i="28"/>
  <c r="J131" i="28"/>
  <c r="K131" i="28"/>
  <c r="L131" i="28"/>
  <c r="H132" i="28"/>
  <c r="I132" i="28"/>
  <c r="J132" i="28"/>
  <c r="K132" i="28"/>
  <c r="L132" i="28"/>
  <c r="H133" i="28"/>
  <c r="I133" i="28"/>
  <c r="J133" i="28"/>
  <c r="K133" i="28"/>
  <c r="L133" i="28"/>
  <c r="H134" i="28"/>
  <c r="I134" i="28"/>
  <c r="J134" i="28"/>
  <c r="K134" i="28"/>
  <c r="L134" i="28"/>
  <c r="H135" i="28"/>
  <c r="I135" i="28"/>
  <c r="J135" i="28"/>
  <c r="K135" i="28"/>
  <c r="L135" i="28"/>
  <c r="H136" i="28"/>
  <c r="I136" i="28"/>
  <c r="J136" i="28"/>
  <c r="K136" i="28"/>
  <c r="L136" i="28"/>
  <c r="H137" i="28"/>
  <c r="I137" i="28"/>
  <c r="J137" i="28"/>
  <c r="K137" i="28"/>
  <c r="L137" i="28"/>
  <c r="H138" i="28"/>
  <c r="I138" i="28"/>
  <c r="J138" i="28"/>
  <c r="K138" i="28"/>
  <c r="L138" i="28"/>
  <c r="H139" i="28"/>
  <c r="I139" i="28"/>
  <c r="J139" i="28"/>
  <c r="K139" i="28"/>
  <c r="L139" i="28"/>
  <c r="H140" i="28"/>
  <c r="I140" i="28"/>
  <c r="J140" i="28"/>
  <c r="K140" i="28"/>
  <c r="L140" i="28"/>
  <c r="H141" i="28"/>
  <c r="I141" i="28"/>
  <c r="J141" i="28"/>
  <c r="K141" i="28"/>
  <c r="L141" i="28"/>
  <c r="H142" i="28"/>
  <c r="I142" i="28"/>
  <c r="J142" i="28"/>
  <c r="K142" i="28"/>
  <c r="L142" i="28"/>
  <c r="H143" i="28"/>
  <c r="I143" i="28"/>
  <c r="J143" i="28"/>
  <c r="K143" i="28"/>
  <c r="L143" i="28"/>
  <c r="H144" i="28"/>
  <c r="I144" i="28"/>
  <c r="J144" i="28"/>
  <c r="K144" i="28"/>
  <c r="L144" i="28"/>
  <c r="H145" i="28"/>
  <c r="I145" i="28"/>
  <c r="J145" i="28"/>
  <c r="K145" i="28"/>
  <c r="L145" i="28"/>
  <c r="H146" i="28"/>
  <c r="I146" i="28"/>
  <c r="J146" i="28"/>
  <c r="K146" i="28"/>
  <c r="L146" i="28"/>
  <c r="H147" i="28"/>
  <c r="I147" i="28"/>
  <c r="J147" i="28"/>
  <c r="K147" i="28"/>
  <c r="L147" i="28"/>
  <c r="H148" i="28"/>
  <c r="I148" i="28"/>
  <c r="J148" i="28"/>
  <c r="K148" i="28"/>
  <c r="L148" i="28"/>
  <c r="H149" i="28"/>
  <c r="I149" i="28"/>
  <c r="J149" i="28"/>
  <c r="K149" i="28"/>
  <c r="L149" i="28"/>
  <c r="H150" i="28"/>
  <c r="I150" i="28"/>
  <c r="J150" i="28"/>
  <c r="K150" i="28"/>
  <c r="L150" i="28"/>
  <c r="H151" i="28"/>
  <c r="I151" i="28"/>
  <c r="J151" i="28"/>
  <c r="K151" i="28"/>
  <c r="L151" i="28"/>
  <c r="H152" i="28"/>
  <c r="I152" i="28"/>
  <c r="J152" i="28"/>
  <c r="K152" i="28"/>
  <c r="L152" i="28"/>
  <c r="H153" i="28"/>
  <c r="I153" i="28"/>
  <c r="J153" i="28"/>
  <c r="K153" i="28"/>
  <c r="L153" i="28"/>
  <c r="H154" i="28"/>
  <c r="I154" i="28"/>
  <c r="J154" i="28"/>
  <c r="K154" i="28"/>
  <c r="L154" i="28"/>
  <c r="H155" i="28"/>
  <c r="I155" i="28"/>
  <c r="J155" i="28"/>
  <c r="K155" i="28"/>
  <c r="L155" i="28"/>
  <c r="H156" i="28"/>
  <c r="I156" i="28"/>
  <c r="J156" i="28"/>
  <c r="K156" i="28"/>
  <c r="L156" i="28"/>
  <c r="H157" i="28"/>
  <c r="I157" i="28"/>
  <c r="J157" i="28"/>
  <c r="K157" i="28"/>
  <c r="L157" i="28"/>
  <c r="H158" i="28"/>
  <c r="I158" i="28"/>
  <c r="J158" i="28"/>
  <c r="K158" i="28"/>
  <c r="L158" i="28"/>
  <c r="H159" i="28"/>
  <c r="I159" i="28"/>
  <c r="J159" i="28"/>
  <c r="K159" i="28"/>
  <c r="L159" i="28"/>
  <c r="H160" i="28"/>
  <c r="I160" i="28"/>
  <c r="J160" i="28"/>
  <c r="K160" i="28"/>
  <c r="L160" i="28"/>
  <c r="H161" i="28"/>
  <c r="I161" i="28"/>
  <c r="J161" i="28"/>
  <c r="K161" i="28"/>
  <c r="L161" i="28"/>
  <c r="H162" i="28"/>
  <c r="I162" i="28"/>
  <c r="J162" i="28"/>
  <c r="K162" i="28"/>
  <c r="L162" i="28"/>
  <c r="H163" i="28"/>
  <c r="I163" i="28"/>
  <c r="J163" i="28"/>
  <c r="K163" i="28"/>
  <c r="L163" i="28"/>
  <c r="H164" i="28"/>
  <c r="I164" i="28"/>
  <c r="J164" i="28"/>
  <c r="K164" i="28"/>
  <c r="L164" i="28"/>
  <c r="H165" i="28"/>
  <c r="I165" i="28"/>
  <c r="J165" i="28"/>
  <c r="K165" i="28"/>
  <c r="L165" i="28"/>
  <c r="H166" i="28"/>
  <c r="I166" i="28"/>
  <c r="J166" i="28"/>
  <c r="K166" i="28"/>
  <c r="L166" i="28"/>
  <c r="H167" i="28"/>
  <c r="I167" i="28"/>
  <c r="J167" i="28"/>
  <c r="K167" i="28"/>
  <c r="L167" i="28"/>
  <c r="H168" i="28"/>
  <c r="I168" i="28"/>
  <c r="J168" i="28"/>
  <c r="K168" i="28"/>
  <c r="L168" i="28"/>
  <c r="H169" i="28"/>
  <c r="I169" i="28"/>
  <c r="J169" i="28"/>
  <c r="K169" i="28"/>
  <c r="L169" i="28"/>
  <c r="H170" i="28"/>
  <c r="I170" i="28"/>
  <c r="J170" i="28"/>
  <c r="K170" i="28"/>
  <c r="L170" i="28"/>
  <c r="H171" i="28"/>
  <c r="I171" i="28"/>
  <c r="J171" i="28"/>
  <c r="K171" i="28"/>
  <c r="L171" i="28"/>
  <c r="H172" i="28"/>
  <c r="I172" i="28"/>
  <c r="J172" i="28"/>
  <c r="K172" i="28"/>
  <c r="L172" i="28"/>
  <c r="H173" i="28"/>
  <c r="I173" i="28"/>
  <c r="J173" i="28"/>
  <c r="K173" i="28"/>
  <c r="L173" i="28"/>
  <c r="H174" i="28"/>
  <c r="I174" i="28"/>
  <c r="J174" i="28"/>
  <c r="K174" i="28"/>
  <c r="L174" i="28"/>
  <c r="H175" i="28"/>
  <c r="I175" i="28"/>
  <c r="J175" i="28"/>
  <c r="K175" i="28"/>
  <c r="L175" i="28"/>
  <c r="H176" i="28"/>
  <c r="I176" i="28"/>
  <c r="J176" i="28"/>
  <c r="K176" i="28"/>
  <c r="L176" i="28"/>
  <c r="H177" i="28"/>
  <c r="I177" i="28"/>
  <c r="J177" i="28"/>
  <c r="K177" i="28"/>
  <c r="L177" i="28"/>
  <c r="H178" i="28"/>
  <c r="I178" i="28"/>
  <c r="J178" i="28"/>
  <c r="K178" i="28"/>
  <c r="L178" i="28"/>
  <c r="H179" i="28"/>
  <c r="I179" i="28"/>
  <c r="J179" i="28"/>
  <c r="K179" i="28"/>
  <c r="L179" i="28"/>
  <c r="H180" i="28"/>
  <c r="I180" i="28"/>
  <c r="J180" i="28"/>
  <c r="K180" i="28"/>
  <c r="L180" i="28"/>
  <c r="H181" i="28"/>
  <c r="I181" i="28"/>
  <c r="J181" i="28"/>
  <c r="K181" i="28"/>
  <c r="L181" i="28"/>
  <c r="H182" i="28"/>
  <c r="I182" i="28"/>
  <c r="J182" i="28"/>
  <c r="K182" i="28"/>
  <c r="L182" i="28"/>
  <c r="H183" i="28"/>
  <c r="I183" i="28"/>
  <c r="J183" i="28"/>
  <c r="K183" i="28"/>
  <c r="L183" i="28"/>
  <c r="H184" i="28"/>
  <c r="I184" i="28"/>
  <c r="J184" i="28"/>
  <c r="K184" i="28"/>
  <c r="L184" i="28"/>
  <c r="H185" i="28"/>
  <c r="I185" i="28"/>
  <c r="J185" i="28"/>
  <c r="K185" i="28"/>
  <c r="L185" i="28"/>
  <c r="H186" i="28"/>
  <c r="I186" i="28"/>
  <c r="J186" i="28"/>
  <c r="K186" i="28"/>
  <c r="L186" i="28"/>
  <c r="H187" i="28"/>
  <c r="I187" i="28"/>
  <c r="J187" i="28"/>
  <c r="K187" i="28"/>
  <c r="L187" i="28"/>
  <c r="H188" i="28"/>
  <c r="I188" i="28"/>
  <c r="J188" i="28"/>
  <c r="K188" i="28"/>
  <c r="L188" i="28"/>
  <c r="H189" i="28"/>
  <c r="I189" i="28"/>
  <c r="J189" i="28"/>
  <c r="K189" i="28"/>
  <c r="L189" i="28"/>
  <c r="H190" i="28"/>
  <c r="I190" i="28"/>
  <c r="J190" i="28"/>
  <c r="K190" i="28"/>
  <c r="L190" i="28"/>
  <c r="H191" i="28"/>
  <c r="I191" i="28"/>
  <c r="J191" i="28"/>
  <c r="K191" i="28"/>
  <c r="L191" i="28"/>
  <c r="H192" i="28"/>
  <c r="I192" i="28"/>
  <c r="J192" i="28"/>
  <c r="K192" i="28"/>
  <c r="L192" i="28"/>
  <c r="H193" i="28"/>
  <c r="I193" i="28"/>
  <c r="J193" i="28"/>
  <c r="K193" i="28"/>
  <c r="L193" i="28"/>
  <c r="H194" i="28"/>
  <c r="I194" i="28"/>
  <c r="J194" i="28"/>
  <c r="K194" i="28"/>
  <c r="L194" i="28"/>
  <c r="H195" i="28"/>
  <c r="I195" i="28"/>
  <c r="J195" i="28"/>
  <c r="K195" i="28"/>
  <c r="L195" i="28"/>
  <c r="H196" i="28"/>
  <c r="I196" i="28"/>
  <c r="J196" i="28"/>
  <c r="K196" i="28"/>
  <c r="L196" i="28"/>
  <c r="H197" i="28"/>
  <c r="I197" i="28"/>
  <c r="J197" i="28"/>
  <c r="K197" i="28"/>
  <c r="L197" i="28"/>
  <c r="H198" i="28"/>
  <c r="I198" i="28"/>
  <c r="J198" i="28"/>
  <c r="K198" i="28"/>
  <c r="L198" i="28"/>
  <c r="H199" i="28"/>
  <c r="I199" i="28"/>
  <c r="J199" i="28"/>
  <c r="K199" i="28"/>
  <c r="L199" i="28"/>
  <c r="H200" i="28"/>
  <c r="I200" i="28"/>
  <c r="J200" i="28"/>
  <c r="K200" i="28"/>
  <c r="L200" i="28"/>
  <c r="H201" i="28"/>
  <c r="I201" i="28"/>
  <c r="J201" i="28"/>
  <c r="K201" i="28"/>
  <c r="L201" i="28"/>
  <c r="H202" i="28"/>
  <c r="I202" i="28"/>
  <c r="J202" i="28"/>
  <c r="K202" i="28"/>
  <c r="L202" i="28"/>
  <c r="H203" i="28"/>
  <c r="I203" i="28"/>
  <c r="J203" i="28"/>
  <c r="K203" i="28"/>
  <c r="L203" i="28"/>
  <c r="H204" i="28"/>
  <c r="I204" i="28"/>
  <c r="J204" i="28"/>
  <c r="K204" i="28"/>
  <c r="L204" i="28"/>
  <c r="H205" i="28"/>
  <c r="I205" i="28"/>
  <c r="J205" i="28"/>
  <c r="K205" i="28"/>
  <c r="L205" i="28"/>
  <c r="H206" i="28"/>
  <c r="I206" i="28"/>
  <c r="J206" i="28"/>
  <c r="K206" i="28"/>
  <c r="L206" i="28"/>
  <c r="H207" i="28"/>
  <c r="I207" i="28"/>
  <c r="J207" i="28"/>
  <c r="K207" i="28"/>
  <c r="L207" i="28"/>
  <c r="H208" i="28"/>
  <c r="I208" i="28"/>
  <c r="J208" i="28"/>
  <c r="K208" i="28"/>
  <c r="L208" i="28"/>
  <c r="H209" i="28"/>
  <c r="I209" i="28"/>
  <c r="J209" i="28"/>
  <c r="K209" i="28"/>
  <c r="L209" i="28"/>
  <c r="H210" i="28"/>
  <c r="I210" i="28"/>
  <c r="J210" i="28"/>
  <c r="K210" i="28"/>
  <c r="L210" i="28"/>
  <c r="H211" i="28"/>
  <c r="I211" i="28"/>
  <c r="J211" i="28"/>
  <c r="K211" i="28"/>
  <c r="L211" i="28"/>
  <c r="H212" i="28"/>
  <c r="I212" i="28"/>
  <c r="J212" i="28"/>
  <c r="K212" i="28"/>
  <c r="L212" i="28"/>
  <c r="H213" i="28"/>
  <c r="I213" i="28"/>
  <c r="J213" i="28"/>
  <c r="K213" i="28"/>
  <c r="L213" i="28"/>
  <c r="H214" i="28"/>
  <c r="I214" i="28"/>
  <c r="J214" i="28"/>
  <c r="K214" i="28"/>
  <c r="L214" i="28"/>
  <c r="H215" i="28"/>
  <c r="I215" i="28"/>
  <c r="J215" i="28"/>
  <c r="K215" i="28"/>
  <c r="L215" i="28"/>
  <c r="H216" i="28"/>
  <c r="I216" i="28"/>
  <c r="J216" i="28"/>
  <c r="K216" i="28"/>
  <c r="L216" i="28"/>
  <c r="H217" i="28"/>
  <c r="I217" i="28"/>
  <c r="J217" i="28"/>
  <c r="K217" i="28"/>
  <c r="L217" i="28"/>
  <c r="H218" i="28"/>
  <c r="I218" i="28"/>
  <c r="J218" i="28"/>
  <c r="K218" i="28"/>
  <c r="L218" i="28"/>
  <c r="H219" i="28"/>
  <c r="I219" i="28"/>
  <c r="J219" i="28"/>
  <c r="K219" i="28"/>
  <c r="L219" i="28"/>
  <c r="H220" i="28"/>
  <c r="I220" i="28"/>
  <c r="J220" i="28"/>
  <c r="K220" i="28"/>
  <c r="L220" i="28"/>
  <c r="H221" i="28"/>
  <c r="I221" i="28"/>
  <c r="J221" i="28"/>
  <c r="K221" i="28"/>
  <c r="L221" i="28"/>
  <c r="H222" i="28"/>
  <c r="I222" i="28"/>
  <c r="J222" i="28"/>
  <c r="K222" i="28"/>
  <c r="L222" i="28"/>
  <c r="H223" i="28"/>
  <c r="I223" i="28"/>
  <c r="J223" i="28"/>
  <c r="K223" i="28"/>
  <c r="L223" i="28"/>
  <c r="H224" i="28"/>
  <c r="I224" i="28"/>
  <c r="J224" i="28"/>
  <c r="K224" i="28"/>
  <c r="L224" i="28"/>
  <c r="H225" i="28"/>
  <c r="I225" i="28"/>
  <c r="J225" i="28"/>
  <c r="K225" i="28"/>
  <c r="L225" i="28"/>
  <c r="H226" i="28"/>
  <c r="I226" i="28"/>
  <c r="J226" i="28"/>
  <c r="K226" i="28"/>
  <c r="L226" i="28"/>
  <c r="H227" i="28"/>
  <c r="I227" i="28"/>
  <c r="J227" i="28"/>
  <c r="K227" i="28"/>
  <c r="L227" i="28"/>
  <c r="H228" i="28"/>
  <c r="I228" i="28"/>
  <c r="J228" i="28"/>
  <c r="K228" i="28"/>
  <c r="L228" i="28"/>
  <c r="H229" i="28"/>
  <c r="I229" i="28"/>
  <c r="J229" i="28"/>
  <c r="K229" i="28"/>
  <c r="L229" i="28"/>
  <c r="H230" i="28"/>
  <c r="I230" i="28"/>
  <c r="J230" i="28"/>
  <c r="K230" i="28"/>
  <c r="L230" i="28"/>
  <c r="H231" i="28"/>
  <c r="I231" i="28"/>
  <c r="J231" i="28"/>
  <c r="K231" i="28"/>
  <c r="L231" i="28"/>
  <c r="H232" i="28"/>
  <c r="I232" i="28"/>
  <c r="J232" i="28"/>
  <c r="K232" i="28"/>
  <c r="L232" i="28"/>
  <c r="H233" i="28"/>
  <c r="I233" i="28"/>
  <c r="J233" i="28"/>
  <c r="K233" i="28"/>
  <c r="L233" i="28"/>
  <c r="H234" i="28"/>
  <c r="I234" i="28"/>
  <c r="J234" i="28"/>
  <c r="K234" i="28"/>
  <c r="L234" i="28"/>
  <c r="H235" i="28"/>
  <c r="I235" i="28"/>
  <c r="J235" i="28"/>
  <c r="K235" i="28"/>
  <c r="L235" i="28"/>
  <c r="H236" i="28"/>
  <c r="I236" i="28"/>
  <c r="J236" i="28"/>
  <c r="K236" i="28"/>
  <c r="L236" i="28"/>
  <c r="H237" i="28"/>
  <c r="I237" i="28"/>
  <c r="J237" i="28"/>
  <c r="K237" i="28"/>
  <c r="L237" i="28"/>
  <c r="H238" i="28"/>
  <c r="I238" i="28"/>
  <c r="J238" i="28"/>
  <c r="K238" i="28"/>
  <c r="L238" i="28"/>
  <c r="H239" i="28"/>
  <c r="I239" i="28"/>
  <c r="J239" i="28"/>
  <c r="K239" i="28"/>
  <c r="L239" i="28"/>
  <c r="H240" i="28"/>
  <c r="I240" i="28"/>
  <c r="J240" i="28"/>
  <c r="K240" i="28"/>
  <c r="L240" i="28"/>
  <c r="H241" i="28"/>
  <c r="I241" i="28"/>
  <c r="J241" i="28"/>
  <c r="K241" i="28"/>
  <c r="L241" i="28"/>
  <c r="H242" i="28"/>
  <c r="I242" i="28"/>
  <c r="J242" i="28"/>
  <c r="K242" i="28"/>
  <c r="L242" i="28"/>
  <c r="H243" i="28"/>
  <c r="I243" i="28"/>
  <c r="J243" i="28"/>
  <c r="K243" i="28"/>
  <c r="L243" i="28"/>
  <c r="H244" i="28"/>
  <c r="I244" i="28"/>
  <c r="J244" i="28"/>
  <c r="K244" i="28"/>
  <c r="L244" i="28"/>
  <c r="H245" i="28"/>
  <c r="I245" i="28"/>
  <c r="J245" i="28"/>
  <c r="K245" i="28"/>
  <c r="L245" i="28"/>
  <c r="H246" i="28"/>
  <c r="I246" i="28"/>
  <c r="J246" i="28"/>
  <c r="K246" i="28"/>
  <c r="L246" i="28"/>
  <c r="H247" i="28"/>
  <c r="I247" i="28"/>
  <c r="J247" i="28"/>
  <c r="K247" i="28"/>
  <c r="L247" i="28"/>
  <c r="H248" i="28"/>
  <c r="I248" i="28"/>
  <c r="J248" i="28"/>
  <c r="K248" i="28"/>
  <c r="L248" i="28"/>
  <c r="H249" i="28"/>
  <c r="I249" i="28"/>
  <c r="J249" i="28"/>
  <c r="K249" i="28"/>
  <c r="L249" i="28"/>
  <c r="H250" i="28"/>
  <c r="I250" i="28"/>
  <c r="J250" i="28"/>
  <c r="K250" i="28"/>
  <c r="L250" i="28"/>
  <c r="H251" i="28"/>
  <c r="I251" i="28"/>
  <c r="J251" i="28"/>
  <c r="K251" i="28"/>
  <c r="L251" i="28"/>
  <c r="H252" i="28"/>
  <c r="I252" i="28"/>
  <c r="J252" i="28"/>
  <c r="K252" i="28"/>
  <c r="L252" i="28"/>
  <c r="H253" i="28"/>
  <c r="I253" i="28"/>
  <c r="J253" i="28"/>
  <c r="K253" i="28"/>
  <c r="L253" i="28"/>
  <c r="H254" i="28"/>
  <c r="I254" i="28"/>
  <c r="J254" i="28"/>
  <c r="K254" i="28"/>
  <c r="L254" i="28"/>
  <c r="H255" i="28"/>
  <c r="I255" i="28"/>
  <c r="J255" i="28"/>
  <c r="K255" i="28"/>
  <c r="L255" i="28"/>
  <c r="H256" i="28"/>
  <c r="I256" i="28"/>
  <c r="J256" i="28"/>
  <c r="K256" i="28"/>
  <c r="L256" i="28"/>
  <c r="H257" i="28"/>
  <c r="I257" i="28"/>
  <c r="J257" i="28"/>
  <c r="K257" i="28"/>
  <c r="L257" i="28"/>
  <c r="H258" i="28"/>
  <c r="I258" i="28"/>
  <c r="J258" i="28"/>
  <c r="K258" i="28"/>
  <c r="L258" i="28"/>
  <c r="H259" i="28"/>
  <c r="I259" i="28"/>
  <c r="J259" i="28"/>
  <c r="K259" i="28"/>
  <c r="L259" i="28"/>
  <c r="H260" i="28"/>
  <c r="I260" i="28"/>
  <c r="J260" i="28"/>
  <c r="K260" i="28"/>
  <c r="L260" i="28"/>
  <c r="H261" i="28"/>
  <c r="I261" i="28"/>
  <c r="J261" i="28"/>
  <c r="K261" i="28"/>
  <c r="L261" i="28"/>
  <c r="H262" i="28"/>
  <c r="I262" i="28"/>
  <c r="J262" i="28"/>
  <c r="K262" i="28"/>
  <c r="L262" i="28"/>
  <c r="H263" i="28"/>
  <c r="I263" i="28"/>
  <c r="J263" i="28"/>
  <c r="K263" i="28"/>
  <c r="L263" i="28"/>
  <c r="H264" i="28"/>
  <c r="I264" i="28"/>
  <c r="J264" i="28"/>
  <c r="K264" i="28"/>
  <c r="L264" i="28"/>
  <c r="H265" i="28"/>
  <c r="I265" i="28"/>
  <c r="J265" i="28"/>
  <c r="K265" i="28"/>
  <c r="L265" i="28"/>
  <c r="H266" i="28"/>
  <c r="I266" i="28"/>
  <c r="J266" i="28"/>
  <c r="K266" i="28"/>
  <c r="L266" i="28"/>
  <c r="H267" i="28"/>
  <c r="I267" i="28"/>
  <c r="J267" i="28"/>
  <c r="K267" i="28"/>
  <c r="L267" i="28"/>
  <c r="H268" i="28"/>
  <c r="I268" i="28"/>
  <c r="J268" i="28"/>
  <c r="K268" i="28"/>
  <c r="L268" i="28"/>
  <c r="H269" i="28"/>
  <c r="I269" i="28"/>
  <c r="J269" i="28"/>
  <c r="K269" i="28"/>
  <c r="L269" i="28"/>
  <c r="H270" i="28"/>
  <c r="I270" i="28"/>
  <c r="J270" i="28"/>
  <c r="K270" i="28"/>
  <c r="L270" i="28"/>
  <c r="H271" i="28"/>
  <c r="I271" i="28"/>
  <c r="J271" i="28"/>
  <c r="K271" i="28"/>
  <c r="L271" i="28"/>
  <c r="H272" i="28"/>
  <c r="I272" i="28"/>
  <c r="J272" i="28"/>
  <c r="K272" i="28"/>
  <c r="L272" i="28"/>
  <c r="H273" i="28"/>
  <c r="I273" i="28"/>
  <c r="J273" i="28"/>
  <c r="K273" i="28"/>
  <c r="L273" i="28"/>
  <c r="H274" i="28"/>
  <c r="I274" i="28"/>
  <c r="J274" i="28"/>
  <c r="K274" i="28"/>
  <c r="L274" i="28"/>
  <c r="H275" i="28"/>
  <c r="I275" i="28"/>
  <c r="J275" i="28"/>
  <c r="K275" i="28"/>
  <c r="L275" i="28"/>
  <c r="H276" i="28"/>
  <c r="I276" i="28"/>
  <c r="J276" i="28"/>
  <c r="K276" i="28"/>
  <c r="L276" i="28"/>
  <c r="H277" i="28"/>
  <c r="I277" i="28"/>
  <c r="J277" i="28"/>
  <c r="K277" i="28"/>
  <c r="L277" i="28"/>
  <c r="H278" i="28"/>
  <c r="I278" i="28"/>
  <c r="J278" i="28"/>
  <c r="K278" i="28"/>
  <c r="L278" i="28"/>
  <c r="H279" i="28"/>
  <c r="I279" i="28"/>
  <c r="J279" i="28"/>
  <c r="K279" i="28"/>
  <c r="L279" i="28"/>
  <c r="H280" i="28"/>
  <c r="I280" i="28"/>
  <c r="J280" i="28"/>
  <c r="K280" i="28"/>
  <c r="L280" i="28"/>
  <c r="H281" i="28"/>
  <c r="I281" i="28"/>
  <c r="J281" i="28"/>
  <c r="K281" i="28"/>
  <c r="L281" i="28"/>
  <c r="H282" i="28"/>
  <c r="I282" i="28"/>
  <c r="J282" i="28"/>
  <c r="K282" i="28"/>
  <c r="L282" i="28"/>
  <c r="H283" i="28"/>
  <c r="I283" i="28"/>
  <c r="J283" i="28"/>
  <c r="K283" i="28"/>
  <c r="L283" i="28"/>
  <c r="H284" i="28"/>
  <c r="I284" i="28"/>
  <c r="J284" i="28"/>
  <c r="K284" i="28"/>
  <c r="L284" i="28"/>
  <c r="H285" i="28"/>
  <c r="I285" i="28"/>
  <c r="J285" i="28"/>
  <c r="K285" i="28"/>
  <c r="L285" i="28"/>
  <c r="H286" i="28"/>
  <c r="I286" i="28"/>
  <c r="J286" i="28"/>
  <c r="K286" i="28"/>
  <c r="L286" i="28"/>
  <c r="H287" i="28"/>
  <c r="I287" i="28"/>
  <c r="J287" i="28"/>
  <c r="K287" i="28"/>
  <c r="L287" i="28"/>
  <c r="H288" i="28"/>
  <c r="I288" i="28"/>
  <c r="J288" i="28"/>
  <c r="K288" i="28"/>
  <c r="L288" i="28"/>
  <c r="H289" i="28"/>
  <c r="I289" i="28"/>
  <c r="J289" i="28"/>
  <c r="K289" i="28"/>
  <c r="L289" i="28"/>
  <c r="H290" i="28"/>
  <c r="I290" i="28"/>
  <c r="J290" i="28"/>
  <c r="K290" i="28"/>
  <c r="L290" i="28"/>
  <c r="H291" i="28"/>
  <c r="I291" i="28"/>
  <c r="J291" i="28"/>
  <c r="K291" i="28"/>
  <c r="L291" i="28"/>
  <c r="H292" i="28"/>
  <c r="I292" i="28"/>
  <c r="J292" i="28"/>
  <c r="K292" i="28"/>
  <c r="L292" i="28"/>
  <c r="H293" i="28"/>
  <c r="I293" i="28"/>
  <c r="J293" i="28"/>
  <c r="K293" i="28"/>
  <c r="L293" i="28"/>
  <c r="H294" i="28"/>
  <c r="I294" i="28"/>
  <c r="J294" i="28"/>
  <c r="K294" i="28"/>
  <c r="L294" i="28"/>
  <c r="H295" i="28"/>
  <c r="I295" i="28"/>
  <c r="J295" i="28"/>
  <c r="K295" i="28"/>
  <c r="L295" i="28"/>
  <c r="H296" i="28"/>
  <c r="I296" i="28"/>
  <c r="J296" i="28"/>
  <c r="K296" i="28"/>
  <c r="L296" i="28"/>
  <c r="H297" i="28"/>
  <c r="I297" i="28"/>
  <c r="J297" i="28"/>
  <c r="K297" i="28"/>
  <c r="L297" i="28"/>
  <c r="H298" i="28"/>
  <c r="I298" i="28"/>
  <c r="J298" i="28"/>
  <c r="K298" i="28"/>
  <c r="L298" i="28"/>
  <c r="H299" i="28"/>
  <c r="I299" i="28"/>
  <c r="J299" i="28"/>
  <c r="K299" i="28"/>
  <c r="L299" i="28"/>
  <c r="K4" i="28"/>
  <c r="C4" i="28"/>
  <c r="D4" i="28"/>
  <c r="J4" i="28"/>
  <c r="E4" i="28"/>
  <c r="F4" i="28"/>
  <c r="L4" i="28"/>
  <c r="B4" i="28"/>
  <c r="H4" i="28"/>
  <c r="J5" i="28"/>
  <c r="K5" i="28"/>
  <c r="L5" i="28"/>
  <c r="I5" i="28"/>
  <c r="H5" i="28"/>
  <c r="B29" i="5"/>
  <c r="B24" i="5"/>
  <c r="D24" i="5" s="1"/>
  <c r="B27" i="5"/>
  <c r="D27" i="5" s="1"/>
  <c r="B26" i="5"/>
  <c r="D26" i="5" s="1"/>
  <c r="B25" i="5"/>
  <c r="D25" i="5" s="1"/>
  <c r="B23" i="5"/>
  <c r="B22" i="5" s="1"/>
  <c r="B14" i="6"/>
  <c r="D14" i="6" s="1"/>
  <c r="B15" i="6"/>
  <c r="D15" i="6" s="1"/>
  <c r="B24" i="6"/>
  <c r="D24" i="6" s="1"/>
  <c r="B25" i="6"/>
  <c r="D25" i="6" s="1"/>
  <c r="B23" i="6"/>
  <c r="D23" i="6" s="1"/>
  <c r="B21" i="6"/>
  <c r="D21" i="6" s="1"/>
  <c r="B20" i="6"/>
  <c r="B13" i="6"/>
  <c r="Q300" i="26"/>
  <c r="P300" i="26"/>
  <c r="E300" i="26"/>
  <c r="F300" i="26"/>
  <c r="G300" i="26"/>
  <c r="H300" i="26"/>
  <c r="I300" i="26"/>
  <c r="J300" i="26"/>
  <c r="K300" i="26"/>
  <c r="L300" i="26"/>
  <c r="M300" i="26"/>
  <c r="N300" i="26"/>
  <c r="O300" i="26"/>
  <c r="D300" i="26"/>
  <c r="R300" i="26"/>
  <c r="C21" i="3"/>
  <c r="C20" i="3" s="1"/>
  <c r="B28" i="11"/>
  <c r="A6" i="6"/>
  <c r="B10" i="6"/>
  <c r="D28" i="6"/>
  <c r="D27" i="6"/>
  <c r="D29" i="6"/>
  <c r="D30" i="6"/>
  <c r="D31" i="6"/>
  <c r="D9" i="5"/>
  <c r="D10" i="5"/>
  <c r="D8" i="5"/>
  <c r="D11" i="5"/>
  <c r="D14" i="5"/>
  <c r="D15" i="5"/>
  <c r="D16" i="5"/>
  <c r="D17" i="5"/>
  <c r="D18" i="5"/>
  <c r="D19" i="5"/>
  <c r="D30" i="5"/>
  <c r="D31" i="5"/>
  <c r="D29" i="5"/>
  <c r="D32" i="5"/>
  <c r="D36" i="5"/>
  <c r="D37" i="5"/>
  <c r="D38" i="5"/>
  <c r="D39" i="5"/>
  <c r="D40" i="5"/>
  <c r="D44" i="5"/>
  <c r="D45" i="5"/>
  <c r="D46" i="5"/>
  <c r="D47" i="5"/>
  <c r="D50" i="5"/>
  <c r="D51" i="5"/>
  <c r="D52" i="5"/>
  <c r="D53" i="5"/>
  <c r="D56" i="5"/>
  <c r="D57" i="5"/>
  <c r="D58" i="5"/>
  <c r="D59" i="5"/>
  <c r="D61" i="5"/>
  <c r="D112" i="5"/>
  <c r="D68" i="5"/>
  <c r="D69" i="5"/>
  <c r="D70" i="5"/>
  <c r="D71" i="5"/>
  <c r="D67" i="5"/>
  <c r="D72" i="5"/>
  <c r="D75" i="5"/>
  <c r="D76" i="5"/>
  <c r="D74" i="5"/>
  <c r="D79" i="5"/>
  <c r="D78" i="5"/>
  <c r="D80" i="5"/>
  <c r="D83" i="5"/>
  <c r="D84" i="5"/>
  <c r="D82" i="5"/>
  <c r="D85" i="5"/>
  <c r="D89" i="5"/>
  <c r="D90" i="5"/>
  <c r="D91" i="5"/>
  <c r="D92" i="5"/>
  <c r="D93" i="5"/>
  <c r="D94" i="5"/>
  <c r="D95" i="5"/>
  <c r="D96" i="5"/>
  <c r="D99" i="5"/>
  <c r="D98" i="5"/>
  <c r="D100" i="5"/>
  <c r="D101" i="5"/>
  <c r="D102" i="5"/>
  <c r="D103" i="5"/>
  <c r="D104" i="5"/>
  <c r="D105" i="5"/>
  <c r="D106" i="5"/>
  <c r="C12" i="3"/>
  <c r="B12" i="3"/>
  <c r="B11" i="3" s="1"/>
  <c r="B3" i="11"/>
  <c r="A6" i="5"/>
  <c r="D10" i="6"/>
  <c r="B112" i="5"/>
  <c r="B8" i="5"/>
  <c r="B74" i="5"/>
  <c r="B82" i="5"/>
  <c r="B43" i="5"/>
  <c r="D43" i="5"/>
  <c r="B78" i="5"/>
  <c r="B88" i="5"/>
  <c r="B87" i="5"/>
  <c r="B115" i="5"/>
  <c r="B35" i="5"/>
  <c r="D35" i="5"/>
  <c r="D34" i="5"/>
  <c r="B13" i="5"/>
  <c r="B67" i="5"/>
  <c r="B55" i="5"/>
  <c r="D55" i="5"/>
  <c r="B98" i="5"/>
  <c r="B108" i="5"/>
  <c r="B110" i="5"/>
  <c r="B49" i="5"/>
  <c r="D49" i="5"/>
  <c r="B27" i="6"/>
  <c r="B54" i="3"/>
  <c r="P90" i="29"/>
  <c r="Y206" i="29"/>
  <c r="P210" i="29"/>
  <c r="Y194" i="29"/>
  <c r="Y254" i="29"/>
  <c r="P96" i="29"/>
  <c r="Y107" i="29"/>
  <c r="D13" i="5"/>
  <c r="B34" i="5"/>
  <c r="I4" i="28"/>
  <c r="Y66" i="29"/>
  <c r="D88" i="5"/>
  <c r="D87" i="5"/>
  <c r="D115" i="5"/>
  <c r="D108" i="5"/>
  <c r="D110" i="5"/>
  <c r="AA45" i="29"/>
  <c r="AB45" i="29" s="1"/>
  <c r="P309" i="29"/>
  <c r="AA109" i="29"/>
  <c r="AB109" i="29" s="1"/>
  <c r="Y287" i="29"/>
  <c r="Y259" i="29"/>
  <c r="AA227" i="29"/>
  <c r="AB227" i="29" s="1"/>
  <c r="AA83" i="29"/>
  <c r="AB83" i="29"/>
  <c r="AA271" i="29"/>
  <c r="AB271" i="29" s="1"/>
  <c r="P261" i="29"/>
  <c r="AA53" i="29"/>
  <c r="AB53" i="29" s="1"/>
  <c r="AA310" i="29"/>
  <c r="AB310" i="29" s="1"/>
  <c r="AA42" i="29"/>
  <c r="AB42" i="29"/>
  <c r="P136" i="29"/>
  <c r="P111" i="29"/>
  <c r="P168" i="29"/>
  <c r="P188" i="29"/>
  <c r="P92" i="29"/>
  <c r="P175" i="29"/>
  <c r="P119" i="29"/>
  <c r="P128" i="29"/>
  <c r="AA79" i="29"/>
  <c r="AB79" i="29" s="1"/>
  <c r="AA47" i="29"/>
  <c r="AB47" i="29" s="1"/>
  <c r="AA301" i="29"/>
  <c r="AB301" i="29"/>
  <c r="AA300" i="29"/>
  <c r="AB300" i="29" s="1"/>
  <c r="P223" i="29"/>
  <c r="P42" i="29"/>
  <c r="Y169" i="29"/>
  <c r="Y76" i="29"/>
  <c r="Y47" i="29"/>
  <c r="P254" i="29"/>
  <c r="AA254" i="29"/>
  <c r="AB254" i="29" s="1"/>
  <c r="P247" i="29"/>
  <c r="P275" i="29"/>
  <c r="P48" i="29"/>
  <c r="P172" i="29"/>
  <c r="P70" i="29"/>
  <c r="P94" i="29"/>
  <c r="P120" i="29"/>
  <c r="AA311" i="29"/>
  <c r="AB311" i="29"/>
  <c r="P276" i="29"/>
  <c r="P243" i="29"/>
  <c r="AA64" i="29"/>
  <c r="AB64" i="29" s="1"/>
  <c r="AA259" i="29"/>
  <c r="AB259" i="29" s="1"/>
  <c r="AA257" i="29"/>
  <c r="AB257" i="29" s="1"/>
  <c r="P253" i="29"/>
  <c r="P208" i="29"/>
  <c r="P26" i="29"/>
  <c r="AA181" i="29"/>
  <c r="AB181" i="29"/>
  <c r="P29" i="29"/>
  <c r="P52" i="29"/>
  <c r="AA137" i="29"/>
  <c r="AB137" i="29"/>
  <c r="P114" i="29"/>
  <c r="P230" i="29"/>
  <c r="P196" i="29"/>
  <c r="AA69" i="29"/>
  <c r="AB69" i="29" s="1"/>
  <c r="AA57" i="29"/>
  <c r="AB57" i="29"/>
  <c r="P81" i="29"/>
  <c r="AA190" i="29"/>
  <c r="AB190" i="29" s="1"/>
  <c r="AA262" i="29"/>
  <c r="AB262" i="29"/>
  <c r="P31" i="29"/>
  <c r="AA264" i="29"/>
  <c r="AB264" i="29"/>
  <c r="AA122" i="29"/>
  <c r="AB122" i="29" s="1"/>
  <c r="AA120" i="29"/>
  <c r="AB120" i="29" s="1"/>
  <c r="AA192" i="29"/>
  <c r="AB192" i="29" s="1"/>
  <c r="AA43" i="29"/>
  <c r="AB43" i="29"/>
  <c r="AA96" i="29"/>
  <c r="AB96" i="29"/>
  <c r="AA77" i="29"/>
  <c r="AB77" i="29" s="1"/>
  <c r="Y297" i="29"/>
  <c r="Y35" i="29"/>
  <c r="Y308" i="29"/>
  <c r="Y124" i="29"/>
  <c r="AA290" i="29"/>
  <c r="AB290" i="29" s="1"/>
  <c r="AA223" i="29"/>
  <c r="AB223" i="29"/>
  <c r="AA31" i="29"/>
  <c r="AB31" i="29" s="1"/>
  <c r="AA204" i="29"/>
  <c r="AB204" i="29" s="1"/>
  <c r="AA240" i="29"/>
  <c r="AB240" i="29" s="1"/>
  <c r="Y234" i="29"/>
  <c r="Y59" i="29"/>
  <c r="Y233" i="29"/>
  <c r="AA173" i="29"/>
  <c r="AB173" i="29" s="1"/>
  <c r="AA178" i="29"/>
  <c r="AB178" i="29" s="1"/>
  <c r="AA198" i="29"/>
  <c r="AB198" i="29"/>
  <c r="AA146" i="29"/>
  <c r="AB146" i="29"/>
  <c r="Y156" i="29"/>
  <c r="AA195" i="29"/>
  <c r="AB195" i="29"/>
  <c r="AA136" i="29"/>
  <c r="AB136" i="29" s="1"/>
  <c r="AA172" i="29"/>
  <c r="AB172" i="29" s="1"/>
  <c r="AA250" i="29"/>
  <c r="AB250" i="29" s="1"/>
  <c r="AA188" i="29"/>
  <c r="AB188" i="29"/>
  <c r="AA253" i="29"/>
  <c r="AB253" i="29" s="1"/>
  <c r="AA51" i="29"/>
  <c r="AB51" i="29" s="1"/>
  <c r="Y210" i="29"/>
  <c r="AA247" i="29"/>
  <c r="AB247" i="29"/>
  <c r="AA148" i="29"/>
  <c r="AB148" i="29" s="1"/>
  <c r="AA144" i="29"/>
  <c r="AB144" i="29"/>
  <c r="AA29" i="29"/>
  <c r="AB29" i="29" s="1"/>
  <c r="AA105" i="29"/>
  <c r="AB105" i="29"/>
  <c r="AA48" i="29"/>
  <c r="AB48" i="29" s="1"/>
  <c r="Y272" i="29"/>
  <c r="Y141" i="29"/>
  <c r="AA40" i="29"/>
  <c r="AB40" i="29" s="1"/>
  <c r="AA200" i="29"/>
  <c r="AB200" i="29" s="1"/>
  <c r="AA82" i="29"/>
  <c r="AB82" i="29" s="1"/>
  <c r="Y212" i="29"/>
  <c r="AA81" i="29"/>
  <c r="AB81" i="29"/>
  <c r="AA61" i="29"/>
  <c r="AB61" i="29" s="1"/>
  <c r="AA282" i="29"/>
  <c r="AB282" i="29"/>
  <c r="AA80" i="29"/>
  <c r="AB80" i="29"/>
  <c r="AA60" i="29"/>
  <c r="AB60" i="29"/>
  <c r="AA261" i="29"/>
  <c r="AB261" i="29" s="1"/>
  <c r="Y309" i="29"/>
  <c r="AA256" i="29"/>
  <c r="AB256" i="29" s="1"/>
  <c r="AA28" i="29"/>
  <c r="AB28" i="29" s="1"/>
  <c r="AA30" i="29"/>
  <c r="AB30" i="29"/>
  <c r="AA155" i="29"/>
  <c r="AB155" i="29" s="1"/>
  <c r="AA100" i="29"/>
  <c r="AB100" i="29"/>
  <c r="AA38" i="29"/>
  <c r="AB38" i="29"/>
  <c r="AA114" i="29"/>
  <c r="AB114" i="29"/>
  <c r="AA92" i="29"/>
  <c r="AB92" i="29"/>
  <c r="AA41" i="29"/>
  <c r="AB41" i="29" s="1"/>
  <c r="AA113" i="29"/>
  <c r="AB113" i="29" s="1"/>
  <c r="AA91" i="29"/>
  <c r="AB91" i="29" s="1"/>
  <c r="AA93" i="29"/>
  <c r="AB93" i="29" s="1"/>
  <c r="AA274" i="29"/>
  <c r="AB274" i="29" s="1"/>
  <c r="AA90" i="29"/>
  <c r="AB90" i="29" s="1"/>
  <c r="AA71" i="29"/>
  <c r="AB71" i="29" s="1"/>
  <c r="AA237" i="29"/>
  <c r="AB237" i="29"/>
  <c r="P105" i="29"/>
  <c r="AA216" i="29"/>
  <c r="AB216" i="29" s="1"/>
  <c r="P252" i="29"/>
  <c r="AA32" i="29"/>
  <c r="AB32" i="29" s="1"/>
  <c r="AA283" i="29"/>
  <c r="AB283" i="29" s="1"/>
  <c r="AA63" i="29"/>
  <c r="AB63" i="29"/>
  <c r="P148" i="29"/>
  <c r="AA143" i="29"/>
  <c r="AB143" i="29" s="1"/>
  <c r="AA302" i="29"/>
  <c r="AB302" i="29" s="1"/>
  <c r="P144" i="29"/>
  <c r="AA107" i="29"/>
  <c r="AB107" i="29"/>
  <c r="AA265" i="29"/>
  <c r="AB265" i="29" s="1"/>
  <c r="AA224" i="29"/>
  <c r="AB224" i="29"/>
  <c r="P184" i="29"/>
  <c r="AA171" i="29"/>
  <c r="AB171" i="29" s="1"/>
  <c r="AA149" i="29"/>
  <c r="AB149" i="29"/>
  <c r="P195" i="29"/>
  <c r="AA110" i="29"/>
  <c r="AB110" i="29" s="1"/>
  <c r="AA304" i="29"/>
  <c r="AB304" i="29" s="1"/>
  <c r="P60" i="29"/>
  <c r="AA166" i="29"/>
  <c r="AB166" i="29" s="1"/>
  <c r="P222" i="29"/>
  <c r="AA179" i="29"/>
  <c r="AB179" i="29" s="1"/>
  <c r="P68" i="29"/>
  <c r="P211" i="29"/>
  <c r="AA89" i="29"/>
  <c r="AB89" i="29" s="1"/>
  <c r="AA27" i="29"/>
  <c r="AB27" i="29"/>
  <c r="P167" i="29"/>
  <c r="AA214" i="29"/>
  <c r="AB214" i="29"/>
  <c r="AA134" i="29"/>
  <c r="AB134" i="29"/>
  <c r="AA232" i="29"/>
  <c r="AB232" i="29" s="1"/>
  <c r="AA215" i="29"/>
  <c r="AB215" i="29" s="1"/>
  <c r="P138" i="29"/>
  <c r="AA104" i="29"/>
  <c r="AB104" i="29"/>
  <c r="AA202" i="29"/>
  <c r="AB202" i="29" s="1"/>
  <c r="P267" i="29"/>
  <c r="AA165" i="29"/>
  <c r="AB165" i="29" s="1"/>
  <c r="AA235" i="29"/>
  <c r="AB235" i="29"/>
  <c r="P113" i="29"/>
  <c r="AA126" i="29"/>
  <c r="AB126" i="29"/>
  <c r="AA263" i="29"/>
  <c r="AB263" i="29" s="1"/>
  <c r="P240" i="29"/>
  <c r="P155" i="29"/>
  <c r="AA78" i="29"/>
  <c r="AB78" i="29"/>
  <c r="P77" i="29"/>
  <c r="P299" i="29"/>
  <c r="P151" i="29"/>
  <c r="AA226" i="29"/>
  <c r="AB226" i="29"/>
  <c r="AA213" i="29"/>
  <c r="AB213" i="29"/>
  <c r="AA145" i="29"/>
  <c r="AB145" i="29"/>
  <c r="P221" i="29"/>
  <c r="AA279" i="29"/>
  <c r="AB279" i="29" s="1"/>
  <c r="AA133" i="29"/>
  <c r="AB133" i="29"/>
  <c r="P80" i="29"/>
  <c r="P158" i="29"/>
  <c r="AA118" i="29"/>
  <c r="AB118" i="29" s="1"/>
  <c r="AA160" i="29"/>
  <c r="AB160" i="29"/>
  <c r="P282" i="29"/>
  <c r="AT9" i="11"/>
  <c r="P100" i="29"/>
  <c r="AA201" i="29"/>
  <c r="AB201" i="29" s="1"/>
  <c r="P229" i="29"/>
  <c r="AA76" i="29"/>
  <c r="AB76" i="29" s="1"/>
  <c r="AA157" i="29"/>
  <c r="AB157" i="29" s="1"/>
  <c r="P273" i="29"/>
  <c r="P244" i="29"/>
  <c r="AA236" i="29"/>
  <c r="AB236" i="29"/>
  <c r="P189" i="29"/>
  <c r="P38" i="29"/>
  <c r="AA154" i="29"/>
  <c r="AB154" i="29" s="1"/>
  <c r="P231" i="29"/>
  <c r="P44" i="29"/>
  <c r="AA180" i="29"/>
  <c r="AB180" i="29"/>
  <c r="P91" i="29"/>
  <c r="AA33" i="29"/>
  <c r="AB33" i="29" s="1"/>
  <c r="AA97" i="29"/>
  <c r="AB97" i="29" s="1"/>
  <c r="P71" i="29"/>
  <c r="P289" i="29"/>
  <c r="P203" i="29"/>
  <c r="P162" i="29"/>
  <c r="P82" i="29"/>
  <c r="P65" i="29"/>
  <c r="P25" i="29"/>
  <c r="AA241" i="29"/>
  <c r="AB241" i="29"/>
  <c r="AA278" i="29"/>
  <c r="AB278" i="29" s="1"/>
  <c r="P102" i="29"/>
  <c r="P250" i="29"/>
  <c r="P187" i="29"/>
  <c r="P178" i="29"/>
  <c r="AA108" i="29"/>
  <c r="AB108" i="29" s="1"/>
  <c r="P274" i="29"/>
  <c r="AA39" i="29"/>
  <c r="AB39" i="29"/>
  <c r="AA121" i="29"/>
  <c r="AB121" i="29" s="1"/>
  <c r="AA270" i="29"/>
  <c r="AB270" i="29"/>
  <c r="AA183" i="29"/>
  <c r="AB183" i="29"/>
  <c r="AA131" i="29"/>
  <c r="AB131" i="29"/>
  <c r="CC39" i="29" l="1"/>
  <c r="CD39" i="29" s="1"/>
  <c r="CC59" i="29"/>
  <c r="CD59" i="29" s="1"/>
  <c r="CC79" i="29"/>
  <c r="CD79" i="29" s="1"/>
  <c r="CC99" i="29"/>
  <c r="CD99" i="29" s="1"/>
  <c r="CC119" i="29"/>
  <c r="CD119" i="29" s="1"/>
  <c r="CC139" i="29"/>
  <c r="CD139" i="29" s="1"/>
  <c r="CC159" i="29"/>
  <c r="CD159" i="29" s="1"/>
  <c r="CC179" i="29"/>
  <c r="CD179" i="29" s="1"/>
  <c r="CC199" i="29"/>
  <c r="CD199" i="29" s="1"/>
  <c r="CC219" i="29"/>
  <c r="CD219" i="29" s="1"/>
  <c r="CC239" i="29"/>
  <c r="CD239" i="29" s="1"/>
  <c r="CC259" i="29"/>
  <c r="CD259" i="29" s="1"/>
  <c r="CC279" i="29"/>
  <c r="CD279" i="29" s="1"/>
  <c r="CC299" i="29"/>
  <c r="CD299" i="29" s="1"/>
  <c r="CC197" i="29"/>
  <c r="CD197" i="29" s="1"/>
  <c r="CC40" i="29"/>
  <c r="CD40" i="29" s="1"/>
  <c r="CC60" i="29"/>
  <c r="CD60" i="29" s="1"/>
  <c r="CC80" i="29"/>
  <c r="CD80" i="29" s="1"/>
  <c r="CC100" i="29"/>
  <c r="CD100" i="29" s="1"/>
  <c r="CC120" i="29"/>
  <c r="CD120" i="29" s="1"/>
  <c r="CC140" i="29"/>
  <c r="CD140" i="29" s="1"/>
  <c r="CC160" i="29"/>
  <c r="CD160" i="29" s="1"/>
  <c r="CC180" i="29"/>
  <c r="CD180" i="29" s="1"/>
  <c r="CC200" i="29"/>
  <c r="CD200" i="29" s="1"/>
  <c r="CC220" i="29"/>
  <c r="CD220" i="29" s="1"/>
  <c r="CC240" i="29"/>
  <c r="CD240" i="29" s="1"/>
  <c r="CC260" i="29"/>
  <c r="CD260" i="29" s="1"/>
  <c r="CC280" i="29"/>
  <c r="CD280" i="29" s="1"/>
  <c r="CC300" i="29"/>
  <c r="CD300" i="29" s="1"/>
  <c r="CC177" i="29"/>
  <c r="CD177" i="29" s="1"/>
  <c r="CC198" i="29"/>
  <c r="CD198" i="29" s="1"/>
  <c r="CC21" i="29"/>
  <c r="CD21" i="29" s="1"/>
  <c r="CC41" i="29"/>
  <c r="CD41" i="29" s="1"/>
  <c r="CC61" i="29"/>
  <c r="CD61" i="29" s="1"/>
  <c r="CC81" i="29"/>
  <c r="CD81" i="29" s="1"/>
  <c r="CC101" i="29"/>
  <c r="CD101" i="29" s="1"/>
  <c r="CC121" i="29"/>
  <c r="CD121" i="29" s="1"/>
  <c r="CC141" i="29"/>
  <c r="CD141" i="29" s="1"/>
  <c r="CC161" i="29"/>
  <c r="CD161" i="29" s="1"/>
  <c r="CC181" i="29"/>
  <c r="CD181" i="29" s="1"/>
  <c r="CC201" i="29"/>
  <c r="CD201" i="29" s="1"/>
  <c r="CC221" i="29"/>
  <c r="CD221" i="29" s="1"/>
  <c r="CC241" i="29"/>
  <c r="CD241" i="29" s="1"/>
  <c r="CC261" i="29"/>
  <c r="CD261" i="29" s="1"/>
  <c r="CC281" i="29"/>
  <c r="CD281" i="29" s="1"/>
  <c r="CC301" i="29"/>
  <c r="CD301" i="29" s="1"/>
  <c r="CC257" i="29"/>
  <c r="CD257" i="29" s="1"/>
  <c r="CC118" i="29"/>
  <c r="CD118" i="29" s="1"/>
  <c r="CC22" i="29"/>
  <c r="CD22" i="29" s="1"/>
  <c r="CC42" i="29"/>
  <c r="CD42" i="29" s="1"/>
  <c r="CC62" i="29"/>
  <c r="CD62" i="29" s="1"/>
  <c r="CC82" i="29"/>
  <c r="CD82" i="29" s="1"/>
  <c r="CC102" i="29"/>
  <c r="CD102" i="29" s="1"/>
  <c r="CC122" i="29"/>
  <c r="CD122" i="29" s="1"/>
  <c r="CC142" i="29"/>
  <c r="CD142" i="29" s="1"/>
  <c r="CC162" i="29"/>
  <c r="CD162" i="29" s="1"/>
  <c r="CC182" i="29"/>
  <c r="CD182" i="29" s="1"/>
  <c r="CC202" i="29"/>
  <c r="CD202" i="29" s="1"/>
  <c r="CC222" i="29"/>
  <c r="CD222" i="29" s="1"/>
  <c r="CC242" i="29"/>
  <c r="CD242" i="29" s="1"/>
  <c r="CC262" i="29"/>
  <c r="CD262" i="29" s="1"/>
  <c r="CC282" i="29"/>
  <c r="CD282" i="29" s="1"/>
  <c r="CC302" i="29"/>
  <c r="CD302" i="29" s="1"/>
  <c r="CC137" i="29"/>
  <c r="CD137" i="29" s="1"/>
  <c r="CC23" i="29"/>
  <c r="CD23" i="29" s="1"/>
  <c r="CC43" i="29"/>
  <c r="CD43" i="29" s="1"/>
  <c r="CC63" i="29"/>
  <c r="CD63" i="29" s="1"/>
  <c r="CC83" i="29"/>
  <c r="CD83" i="29" s="1"/>
  <c r="CC103" i="29"/>
  <c r="CD103" i="29" s="1"/>
  <c r="CC123" i="29"/>
  <c r="CD123" i="29" s="1"/>
  <c r="CC143" i="29"/>
  <c r="CD143" i="29" s="1"/>
  <c r="CC163" i="29"/>
  <c r="CD163" i="29" s="1"/>
  <c r="CC183" i="29"/>
  <c r="CD183" i="29" s="1"/>
  <c r="CC203" i="29"/>
  <c r="CD203" i="29" s="1"/>
  <c r="CC223" i="29"/>
  <c r="CD223" i="29" s="1"/>
  <c r="CC243" i="29"/>
  <c r="CD243" i="29" s="1"/>
  <c r="CC263" i="29"/>
  <c r="CD263" i="29" s="1"/>
  <c r="CC283" i="29"/>
  <c r="CD283" i="29" s="1"/>
  <c r="CC303" i="29"/>
  <c r="CD303" i="29" s="1"/>
  <c r="CC97" i="29"/>
  <c r="CD97" i="29" s="1"/>
  <c r="CC278" i="29"/>
  <c r="CD278" i="29" s="1"/>
  <c r="CC24" i="29"/>
  <c r="CD24" i="29" s="1"/>
  <c r="CC44" i="29"/>
  <c r="CD44" i="29" s="1"/>
  <c r="CC64" i="29"/>
  <c r="CD64" i="29" s="1"/>
  <c r="CC84" i="29"/>
  <c r="CD84" i="29" s="1"/>
  <c r="CC104" i="29"/>
  <c r="CD104" i="29" s="1"/>
  <c r="CC124" i="29"/>
  <c r="CD124" i="29" s="1"/>
  <c r="CC144" i="29"/>
  <c r="CD144" i="29" s="1"/>
  <c r="CC164" i="29"/>
  <c r="CD164" i="29" s="1"/>
  <c r="CC184" i="29"/>
  <c r="CD184" i="29" s="1"/>
  <c r="CC204" i="29"/>
  <c r="CD204" i="29" s="1"/>
  <c r="CC224" i="29"/>
  <c r="CD224" i="29" s="1"/>
  <c r="CC244" i="29"/>
  <c r="CD244" i="29" s="1"/>
  <c r="CC264" i="29"/>
  <c r="CD264" i="29" s="1"/>
  <c r="CC284" i="29"/>
  <c r="CD284" i="29" s="1"/>
  <c r="CC304" i="29"/>
  <c r="CD304" i="29" s="1"/>
  <c r="CC25" i="29"/>
  <c r="CD25" i="29" s="1"/>
  <c r="CC45" i="29"/>
  <c r="CD45" i="29" s="1"/>
  <c r="CC65" i="29"/>
  <c r="CD65" i="29" s="1"/>
  <c r="CC85" i="29"/>
  <c r="CD85" i="29" s="1"/>
  <c r="CC105" i="29"/>
  <c r="CD105" i="29" s="1"/>
  <c r="CC125" i="29"/>
  <c r="CD125" i="29" s="1"/>
  <c r="CC145" i="29"/>
  <c r="CD145" i="29" s="1"/>
  <c r="CC165" i="29"/>
  <c r="CD165" i="29" s="1"/>
  <c r="CC185" i="29"/>
  <c r="CD185" i="29" s="1"/>
  <c r="CC205" i="29"/>
  <c r="CD205" i="29" s="1"/>
  <c r="CC225" i="29"/>
  <c r="CD225" i="29" s="1"/>
  <c r="CC245" i="29"/>
  <c r="CD245" i="29" s="1"/>
  <c r="CC265" i="29"/>
  <c r="CD265" i="29" s="1"/>
  <c r="CC285" i="29"/>
  <c r="CD285" i="29" s="1"/>
  <c r="CC305" i="29"/>
  <c r="CD305" i="29" s="1"/>
  <c r="CC238" i="29"/>
  <c r="CD238" i="29" s="1"/>
  <c r="CC26" i="29"/>
  <c r="CD26" i="29" s="1"/>
  <c r="CC46" i="29"/>
  <c r="CD46" i="29" s="1"/>
  <c r="CC66" i="29"/>
  <c r="CD66" i="29" s="1"/>
  <c r="CC86" i="29"/>
  <c r="CD86" i="29" s="1"/>
  <c r="CC106" i="29"/>
  <c r="CD106" i="29" s="1"/>
  <c r="CC126" i="29"/>
  <c r="CD126" i="29" s="1"/>
  <c r="CC146" i="29"/>
  <c r="CD146" i="29" s="1"/>
  <c r="CC166" i="29"/>
  <c r="CD166" i="29" s="1"/>
  <c r="CC186" i="29"/>
  <c r="CD186" i="29" s="1"/>
  <c r="CC206" i="29"/>
  <c r="CD206" i="29" s="1"/>
  <c r="CC226" i="29"/>
  <c r="CD226" i="29" s="1"/>
  <c r="CC246" i="29"/>
  <c r="CD246" i="29" s="1"/>
  <c r="CC266" i="29"/>
  <c r="CD266" i="29" s="1"/>
  <c r="CC286" i="29"/>
  <c r="CD286" i="29" s="1"/>
  <c r="CC306" i="29"/>
  <c r="CD306" i="29" s="1"/>
  <c r="CC218" i="29"/>
  <c r="CD218" i="29" s="1"/>
  <c r="CC27" i="29"/>
  <c r="CD27" i="29" s="1"/>
  <c r="CC47" i="29"/>
  <c r="CD47" i="29" s="1"/>
  <c r="CC67" i="29"/>
  <c r="CD67" i="29" s="1"/>
  <c r="CC87" i="29"/>
  <c r="CD87" i="29" s="1"/>
  <c r="CC107" i="29"/>
  <c r="CD107" i="29" s="1"/>
  <c r="CC127" i="29"/>
  <c r="CD127" i="29" s="1"/>
  <c r="CC147" i="29"/>
  <c r="CD147" i="29" s="1"/>
  <c r="CC167" i="29"/>
  <c r="CD167" i="29" s="1"/>
  <c r="CC187" i="29"/>
  <c r="CD187" i="29" s="1"/>
  <c r="CC207" i="29"/>
  <c r="CD207" i="29" s="1"/>
  <c r="CC227" i="29"/>
  <c r="CD227" i="29" s="1"/>
  <c r="CC247" i="29"/>
  <c r="CD247" i="29" s="1"/>
  <c r="CC267" i="29"/>
  <c r="CD267" i="29" s="1"/>
  <c r="CC287" i="29"/>
  <c r="CD287" i="29" s="1"/>
  <c r="CC307" i="29"/>
  <c r="CD307" i="29" s="1"/>
  <c r="CC98" i="29"/>
  <c r="CD98" i="29" s="1"/>
  <c r="CC28" i="29"/>
  <c r="CD28" i="29" s="1"/>
  <c r="CC48" i="29"/>
  <c r="CD48" i="29" s="1"/>
  <c r="CC68" i="29"/>
  <c r="CD68" i="29" s="1"/>
  <c r="CC88" i="29"/>
  <c r="CD88" i="29" s="1"/>
  <c r="CC108" i="29"/>
  <c r="CD108" i="29" s="1"/>
  <c r="CC128" i="29"/>
  <c r="CD128" i="29" s="1"/>
  <c r="CC148" i="29"/>
  <c r="CD148" i="29" s="1"/>
  <c r="CC168" i="29"/>
  <c r="CD168" i="29" s="1"/>
  <c r="CC188" i="29"/>
  <c r="CD188" i="29" s="1"/>
  <c r="CC208" i="29"/>
  <c r="CD208" i="29" s="1"/>
  <c r="CC228" i="29"/>
  <c r="CD228" i="29" s="1"/>
  <c r="CC248" i="29"/>
  <c r="CD248" i="29" s="1"/>
  <c r="CC268" i="29"/>
  <c r="CD268" i="29" s="1"/>
  <c r="CC288" i="29"/>
  <c r="CD288" i="29" s="1"/>
  <c r="CC308" i="29"/>
  <c r="CD308" i="29" s="1"/>
  <c r="CC29" i="29"/>
  <c r="CD29" i="29" s="1"/>
  <c r="CC49" i="29"/>
  <c r="CD49" i="29" s="1"/>
  <c r="CC69" i="29"/>
  <c r="CD69" i="29" s="1"/>
  <c r="CC89" i="29"/>
  <c r="CD89" i="29" s="1"/>
  <c r="CC109" i="29"/>
  <c r="CD109" i="29" s="1"/>
  <c r="CC129" i="29"/>
  <c r="CD129" i="29" s="1"/>
  <c r="CC149" i="29"/>
  <c r="CD149" i="29" s="1"/>
  <c r="CC169" i="29"/>
  <c r="CD169" i="29" s="1"/>
  <c r="CC189" i="29"/>
  <c r="CD189" i="29" s="1"/>
  <c r="CC209" i="29"/>
  <c r="CD209" i="29" s="1"/>
  <c r="CC229" i="29"/>
  <c r="CD229" i="29" s="1"/>
  <c r="CC249" i="29"/>
  <c r="CD249" i="29" s="1"/>
  <c r="CC269" i="29"/>
  <c r="CD269" i="29" s="1"/>
  <c r="CC289" i="29"/>
  <c r="CD289" i="29" s="1"/>
  <c r="CC309" i="29"/>
  <c r="CD309" i="29" s="1"/>
  <c r="CC237" i="29"/>
  <c r="CD237" i="29" s="1"/>
  <c r="CC138" i="29"/>
  <c r="CD138" i="29" s="1"/>
  <c r="CC30" i="29"/>
  <c r="CD30" i="29" s="1"/>
  <c r="CC50" i="29"/>
  <c r="CD50" i="29" s="1"/>
  <c r="CC70" i="29"/>
  <c r="CD70" i="29" s="1"/>
  <c r="CC90" i="29"/>
  <c r="CD90" i="29" s="1"/>
  <c r="CC110" i="29"/>
  <c r="CD110" i="29" s="1"/>
  <c r="CC130" i="29"/>
  <c r="CD130" i="29" s="1"/>
  <c r="CC150" i="29"/>
  <c r="CD150" i="29" s="1"/>
  <c r="CC170" i="29"/>
  <c r="CD170" i="29" s="1"/>
  <c r="CC190" i="29"/>
  <c r="CD190" i="29" s="1"/>
  <c r="CC210" i="29"/>
  <c r="CD210" i="29" s="1"/>
  <c r="CC230" i="29"/>
  <c r="CD230" i="29" s="1"/>
  <c r="CC250" i="29"/>
  <c r="CD250" i="29" s="1"/>
  <c r="CC270" i="29"/>
  <c r="CD270" i="29" s="1"/>
  <c r="CC290" i="29"/>
  <c r="CD290" i="29" s="1"/>
  <c r="CC310" i="29"/>
  <c r="CD310" i="29" s="1"/>
  <c r="CC297" i="29"/>
  <c r="CD297" i="29" s="1"/>
  <c r="CC158" i="29"/>
  <c r="CD158" i="29" s="1"/>
  <c r="CC31" i="29"/>
  <c r="CD31" i="29" s="1"/>
  <c r="CC51" i="29"/>
  <c r="CD51" i="29" s="1"/>
  <c r="CC71" i="29"/>
  <c r="CD71" i="29" s="1"/>
  <c r="CC91" i="29"/>
  <c r="CD91" i="29" s="1"/>
  <c r="CC111" i="29"/>
  <c r="CD111" i="29" s="1"/>
  <c r="CC131" i="29"/>
  <c r="CD131" i="29" s="1"/>
  <c r="CC151" i="29"/>
  <c r="CD151" i="29" s="1"/>
  <c r="CC171" i="29"/>
  <c r="CD171" i="29" s="1"/>
  <c r="CC191" i="29"/>
  <c r="CD191" i="29" s="1"/>
  <c r="CC211" i="29"/>
  <c r="CD211" i="29" s="1"/>
  <c r="CC231" i="29"/>
  <c r="CD231" i="29" s="1"/>
  <c r="CC251" i="29"/>
  <c r="CD251" i="29" s="1"/>
  <c r="CC271" i="29"/>
  <c r="CD271" i="29" s="1"/>
  <c r="CC291" i="29"/>
  <c r="CD291" i="29" s="1"/>
  <c r="CC311" i="29"/>
  <c r="CD311" i="29" s="1"/>
  <c r="CC117" i="29"/>
  <c r="CD117" i="29" s="1"/>
  <c r="CC258" i="29"/>
  <c r="CD258" i="29" s="1"/>
  <c r="CC32" i="29"/>
  <c r="CD32" i="29" s="1"/>
  <c r="CC52" i="29"/>
  <c r="CD52" i="29" s="1"/>
  <c r="CC72" i="29"/>
  <c r="CD72" i="29" s="1"/>
  <c r="CC92" i="29"/>
  <c r="CD92" i="29" s="1"/>
  <c r="CC112" i="29"/>
  <c r="CD112" i="29" s="1"/>
  <c r="CC132" i="29"/>
  <c r="CD132" i="29" s="1"/>
  <c r="CC152" i="29"/>
  <c r="CD152" i="29" s="1"/>
  <c r="CC172" i="29"/>
  <c r="CD172" i="29" s="1"/>
  <c r="CC192" i="29"/>
  <c r="CD192" i="29" s="1"/>
  <c r="CC212" i="29"/>
  <c r="CD212" i="29" s="1"/>
  <c r="CC232" i="29"/>
  <c r="CD232" i="29" s="1"/>
  <c r="CC252" i="29"/>
  <c r="CD252" i="29" s="1"/>
  <c r="CC272" i="29"/>
  <c r="CD272" i="29" s="1"/>
  <c r="CC292" i="29"/>
  <c r="CD292" i="29" s="1"/>
  <c r="CC312" i="29"/>
  <c r="CD312" i="29" s="1"/>
  <c r="CC277" i="29"/>
  <c r="CD277" i="29" s="1"/>
  <c r="CC78" i="29"/>
  <c r="CD78" i="29" s="1"/>
  <c r="CC33" i="29"/>
  <c r="CD33" i="29" s="1"/>
  <c r="CC53" i="29"/>
  <c r="CD53" i="29" s="1"/>
  <c r="CC73" i="29"/>
  <c r="CD73" i="29" s="1"/>
  <c r="CC93" i="29"/>
  <c r="CD93" i="29" s="1"/>
  <c r="CC113" i="29"/>
  <c r="CD113" i="29" s="1"/>
  <c r="CC133" i="29"/>
  <c r="CD133" i="29" s="1"/>
  <c r="CC153" i="29"/>
  <c r="CD153" i="29" s="1"/>
  <c r="CC173" i="29"/>
  <c r="CD173" i="29" s="1"/>
  <c r="CC193" i="29"/>
  <c r="CD193" i="29" s="1"/>
  <c r="CC213" i="29"/>
  <c r="CD213" i="29" s="1"/>
  <c r="CC233" i="29"/>
  <c r="CD233" i="29" s="1"/>
  <c r="CC253" i="29"/>
  <c r="CD253" i="29" s="1"/>
  <c r="CC273" i="29"/>
  <c r="CD273" i="29" s="1"/>
  <c r="CC293" i="29"/>
  <c r="CD293" i="29" s="1"/>
  <c r="CC298" i="29"/>
  <c r="CD298" i="29" s="1"/>
  <c r="CC34" i="29"/>
  <c r="CD34" i="29" s="1"/>
  <c r="CC54" i="29"/>
  <c r="CD54" i="29" s="1"/>
  <c r="CC74" i="29"/>
  <c r="CD74" i="29" s="1"/>
  <c r="CC94" i="29"/>
  <c r="CD94" i="29" s="1"/>
  <c r="CC114" i="29"/>
  <c r="CD114" i="29" s="1"/>
  <c r="CC134" i="29"/>
  <c r="CD134" i="29" s="1"/>
  <c r="CC154" i="29"/>
  <c r="CD154" i="29" s="1"/>
  <c r="CC174" i="29"/>
  <c r="CD174" i="29" s="1"/>
  <c r="CC194" i="29"/>
  <c r="CD194" i="29" s="1"/>
  <c r="CC214" i="29"/>
  <c r="CD214" i="29" s="1"/>
  <c r="CC234" i="29"/>
  <c r="CD234" i="29" s="1"/>
  <c r="CC254" i="29"/>
  <c r="CD254" i="29" s="1"/>
  <c r="CC274" i="29"/>
  <c r="CD274" i="29" s="1"/>
  <c r="CC294" i="29"/>
  <c r="CD294" i="29" s="1"/>
  <c r="CC217" i="29"/>
  <c r="CD217" i="29" s="1"/>
  <c r="CC35" i="29"/>
  <c r="CD35" i="29" s="1"/>
  <c r="CC55" i="29"/>
  <c r="CD55" i="29" s="1"/>
  <c r="CC75" i="29"/>
  <c r="CD75" i="29" s="1"/>
  <c r="CC95" i="29"/>
  <c r="CD95" i="29" s="1"/>
  <c r="CC115" i="29"/>
  <c r="CD115" i="29" s="1"/>
  <c r="CC135" i="29"/>
  <c r="CD135" i="29" s="1"/>
  <c r="CC155" i="29"/>
  <c r="CD155" i="29" s="1"/>
  <c r="CC175" i="29"/>
  <c r="CD175" i="29" s="1"/>
  <c r="CC195" i="29"/>
  <c r="CD195" i="29" s="1"/>
  <c r="CC215" i="29"/>
  <c r="CD215" i="29" s="1"/>
  <c r="CC235" i="29"/>
  <c r="CD235" i="29" s="1"/>
  <c r="CC255" i="29"/>
  <c r="CD255" i="29" s="1"/>
  <c r="CC275" i="29"/>
  <c r="CD275" i="29" s="1"/>
  <c r="CC295" i="29"/>
  <c r="CD295" i="29" s="1"/>
  <c r="CC157" i="29"/>
  <c r="CD157" i="29" s="1"/>
  <c r="CC178" i="29"/>
  <c r="CD178" i="29" s="1"/>
  <c r="CC36" i="29"/>
  <c r="CD36" i="29" s="1"/>
  <c r="CC56" i="29"/>
  <c r="CD56" i="29" s="1"/>
  <c r="CC76" i="29"/>
  <c r="CD76" i="29" s="1"/>
  <c r="CC96" i="29"/>
  <c r="CD96" i="29" s="1"/>
  <c r="CC116" i="29"/>
  <c r="CD116" i="29" s="1"/>
  <c r="CC136" i="29"/>
  <c r="CD136" i="29" s="1"/>
  <c r="CC156" i="29"/>
  <c r="CD156" i="29" s="1"/>
  <c r="CC176" i="29"/>
  <c r="CD176" i="29" s="1"/>
  <c r="CC196" i="29"/>
  <c r="CD196" i="29" s="1"/>
  <c r="CC216" i="29"/>
  <c r="CD216" i="29" s="1"/>
  <c r="CC236" i="29"/>
  <c r="CD236" i="29" s="1"/>
  <c r="CC256" i="29"/>
  <c r="CD256" i="29" s="1"/>
  <c r="CC276" i="29"/>
  <c r="CD276" i="29" s="1"/>
  <c r="CC296" i="29"/>
  <c r="CD296" i="29" s="1"/>
  <c r="CC37" i="29"/>
  <c r="CD37" i="29" s="1"/>
  <c r="CC77" i="29"/>
  <c r="CD77" i="29" s="1"/>
  <c r="CC38" i="29"/>
  <c r="CD38" i="29" s="1"/>
  <c r="CC57" i="29"/>
  <c r="CD57" i="29" s="1"/>
  <c r="CC58" i="29"/>
  <c r="CD58" i="29" s="1"/>
  <c r="AA242" i="29"/>
  <c r="AB242" i="29" s="1"/>
  <c r="AJ18" i="29"/>
  <c r="P34" i="29"/>
  <c r="O18" i="29"/>
  <c r="P18" i="29" s="1"/>
  <c r="AK18" i="29"/>
  <c r="AA294" i="29"/>
  <c r="AB294" i="29" s="1"/>
  <c r="AA49" i="29"/>
  <c r="AB49" i="29" s="1"/>
  <c r="AA218" i="29"/>
  <c r="AB218" i="29" s="1"/>
  <c r="AA128" i="29"/>
  <c r="AB128" i="29" s="1"/>
  <c r="P98" i="29"/>
  <c r="AA229" i="29"/>
  <c r="AB229" i="29" s="1"/>
  <c r="AA125" i="29"/>
  <c r="AB125" i="29" s="1"/>
  <c r="AA84" i="29"/>
  <c r="AB84" i="29" s="1"/>
  <c r="AA153" i="29"/>
  <c r="AB153" i="29" s="1"/>
  <c r="AA129" i="29"/>
  <c r="AB129" i="29" s="1"/>
  <c r="AA243" i="29"/>
  <c r="AB243" i="29" s="1"/>
  <c r="AA124" i="29"/>
  <c r="AB124" i="29" s="1"/>
  <c r="AM18" i="29"/>
  <c r="AA289" i="29"/>
  <c r="AB289" i="29" s="1"/>
  <c r="AA95" i="29"/>
  <c r="AB95" i="29" s="1"/>
  <c r="AA24" i="29"/>
  <c r="AB24" i="29" s="1"/>
  <c r="AA163" i="29"/>
  <c r="AB163" i="29" s="1"/>
  <c r="P228" i="29"/>
  <c r="AA299" i="29"/>
  <c r="AB299" i="29" s="1"/>
  <c r="AA199" i="29"/>
  <c r="AB199" i="29" s="1"/>
  <c r="AA191" i="29"/>
  <c r="AB191" i="29" s="1"/>
  <c r="AA284" i="29"/>
  <c r="AB284" i="29" s="1"/>
  <c r="AA102" i="29"/>
  <c r="AB102" i="29" s="1"/>
  <c r="AA251" i="29"/>
  <c r="AB251" i="29" s="1"/>
  <c r="AA220" i="29"/>
  <c r="AB220" i="29" s="1"/>
  <c r="P293" i="29"/>
  <c r="AA187" i="29"/>
  <c r="AB187" i="29" s="1"/>
  <c r="AA174" i="29"/>
  <c r="AB174" i="29" s="1"/>
  <c r="P59" i="29"/>
  <c r="P182" i="29"/>
  <c r="AA58" i="29"/>
  <c r="AB58" i="29" s="1"/>
  <c r="P286" i="29"/>
  <c r="P123" i="29"/>
  <c r="AA168" i="29"/>
  <c r="AB168" i="29" s="1"/>
  <c r="AA162" i="29"/>
  <c r="AB162" i="29" s="1"/>
  <c r="Y208" i="29"/>
  <c r="AA280" i="29"/>
  <c r="AB280" i="29" s="1"/>
  <c r="AA73" i="29"/>
  <c r="AB73" i="29" s="1"/>
  <c r="AA86" i="29"/>
  <c r="AB86" i="29" s="1"/>
  <c r="AA269" i="29"/>
  <c r="AB269" i="29" s="1"/>
  <c r="P308" i="29"/>
  <c r="P238" i="29"/>
  <c r="P212" i="29"/>
  <c r="P132" i="29"/>
  <c r="AA217" i="29"/>
  <c r="AB217" i="29" s="1"/>
  <c r="AN18" i="29"/>
  <c r="AA62" i="29"/>
  <c r="AB62" i="29" s="1"/>
  <c r="AA177" i="29"/>
  <c r="AB177" i="29" s="1"/>
  <c r="AA65" i="29"/>
  <c r="AB65" i="29" s="1"/>
  <c r="AL18" i="29"/>
  <c r="AO18" i="29"/>
  <c r="AP18" i="29"/>
  <c r="AQ18" i="29"/>
  <c r="AR18" i="29"/>
  <c r="P281" i="29"/>
  <c r="AA50" i="29"/>
  <c r="AB50" i="29" s="1"/>
  <c r="AA127" i="29"/>
  <c r="AB127" i="29" s="1"/>
  <c r="AA117" i="29"/>
  <c r="AB117" i="29" s="1"/>
  <c r="AA139" i="29"/>
  <c r="AB139" i="29" s="1"/>
  <c r="AA296" i="29"/>
  <c r="AB296" i="29" s="1"/>
  <c r="AA248" i="29"/>
  <c r="AB248" i="29" s="1"/>
  <c r="AA189" i="29"/>
  <c r="AB189" i="29" s="1"/>
  <c r="AA119" i="29"/>
  <c r="AB119" i="29" s="1"/>
  <c r="AA37" i="29"/>
  <c r="AB37" i="29" s="1"/>
  <c r="AA305" i="29"/>
  <c r="AB305" i="29" s="1"/>
  <c r="AA252" i="29"/>
  <c r="AB252" i="29" s="1"/>
  <c r="AA267" i="29"/>
  <c r="AB267" i="29" s="1"/>
  <c r="AA205" i="29"/>
  <c r="AB205" i="29" s="1"/>
  <c r="P87" i="29"/>
  <c r="Y268" i="29"/>
  <c r="AA141" i="29"/>
  <c r="AB141" i="29" s="1"/>
  <c r="AA85" i="29"/>
  <c r="AB85" i="29" s="1"/>
  <c r="P296" i="29"/>
  <c r="P285" i="29"/>
  <c r="AA292" i="29"/>
  <c r="AB292" i="29" s="1"/>
  <c r="P225" i="29"/>
  <c r="AA185" i="29"/>
  <c r="AB185" i="29" s="1"/>
  <c r="AA99" i="29"/>
  <c r="AB99" i="29" s="1"/>
  <c r="AA176" i="29"/>
  <c r="AB176" i="29" s="1"/>
  <c r="P75" i="29"/>
  <c r="P170" i="29"/>
  <c r="AA207" i="29"/>
  <c r="AB207" i="29" s="1"/>
  <c r="AA159" i="29"/>
  <c r="AB159" i="29" s="1"/>
  <c r="P260" i="29"/>
  <c r="AA197" i="29"/>
  <c r="AB197" i="29" s="1"/>
  <c r="AA258" i="29"/>
  <c r="AB258" i="29" s="1"/>
  <c r="AA266" i="29"/>
  <c r="AB266" i="29" s="1"/>
  <c r="AA22" i="29"/>
  <c r="AB22" i="29" s="1"/>
  <c r="AA306" i="29"/>
  <c r="AB306" i="29" s="1"/>
  <c r="AA239" i="29"/>
  <c r="AB239" i="29" s="1"/>
  <c r="P298" i="29"/>
  <c r="AA101" i="29"/>
  <c r="AB101" i="29" s="1"/>
  <c r="Y152" i="29"/>
  <c r="AA67" i="29"/>
  <c r="AB67" i="29" s="1"/>
  <c r="AA36" i="29"/>
  <c r="AB36" i="29" s="1"/>
  <c r="AA56" i="29"/>
  <c r="AB56" i="29" s="1"/>
  <c r="AA209" i="29"/>
  <c r="AB209" i="29" s="1"/>
  <c r="P291" i="29"/>
  <c r="AA164" i="29"/>
  <c r="AB164" i="29" s="1"/>
  <c r="AA112" i="29"/>
  <c r="AB112" i="29" s="1"/>
  <c r="P21" i="29"/>
  <c r="P233" i="29"/>
  <c r="AA26" i="29"/>
  <c r="AB26" i="29" s="1"/>
  <c r="Y95" i="29"/>
  <c r="AA277" i="29"/>
  <c r="AB277" i="29" s="1"/>
  <c r="P135" i="29"/>
  <c r="H84" i="3"/>
  <c r="G84" i="3"/>
  <c r="F84" i="3"/>
  <c r="E84" i="3"/>
  <c r="D84" i="3"/>
  <c r="AA106" i="29"/>
  <c r="AB106" i="29" s="1"/>
  <c r="P54" i="29"/>
  <c r="P312" i="29"/>
  <c r="Y299" i="29"/>
  <c r="AA219" i="29"/>
  <c r="AB219" i="29" s="1"/>
  <c r="AA46" i="29"/>
  <c r="AB46" i="29" s="1"/>
  <c r="X18" i="29"/>
  <c r="Y18" i="29" s="1"/>
  <c r="AA116" i="29"/>
  <c r="AB116" i="29" s="1"/>
  <c r="AA161" i="29"/>
  <c r="AB161" i="29" s="1"/>
  <c r="AA230" i="29"/>
  <c r="AB230" i="29" s="1"/>
  <c r="Y20" i="29"/>
  <c r="P23" i="29"/>
  <c r="AA88" i="29"/>
  <c r="AB88" i="29" s="1"/>
  <c r="AA249" i="29"/>
  <c r="AB249" i="29" s="1"/>
  <c r="AA287" i="29"/>
  <c r="AB287" i="29" s="1"/>
  <c r="P11" i="30"/>
  <c r="AT11" i="11"/>
  <c r="E60" i="3"/>
  <c r="AZ11" i="11" s="1"/>
  <c r="AS12" i="11"/>
  <c r="B51" i="3"/>
  <c r="B91" i="3" s="1"/>
  <c r="B92" i="3" s="1"/>
  <c r="B93" i="3" s="1"/>
  <c r="E58" i="3"/>
  <c r="E46" i="3"/>
  <c r="H57" i="3"/>
  <c r="G57" i="3"/>
  <c r="F57" i="3"/>
  <c r="F58" i="3" s="1"/>
  <c r="F52" i="3"/>
  <c r="G52" i="3" s="1"/>
  <c r="B116" i="5"/>
  <c r="D116" i="5"/>
  <c r="D113" i="5"/>
  <c r="B113" i="5"/>
  <c r="C11" i="3"/>
  <c r="D12" i="3"/>
  <c r="D11" i="3" s="1"/>
  <c r="B19" i="3"/>
  <c r="D20" i="3"/>
  <c r="D19" i="3" s="1"/>
  <c r="C19" i="3"/>
  <c r="AV11" i="11"/>
  <c r="P10" i="30"/>
  <c r="C53" i="3"/>
  <c r="P12" i="30" s="1"/>
  <c r="AV6" i="11"/>
  <c r="AS11" i="11"/>
  <c r="D23" i="5"/>
  <c r="BH11" i="11"/>
  <c r="B46" i="3"/>
  <c r="AT7" i="11" s="1"/>
  <c r="AW8" i="11"/>
  <c r="B22" i="6"/>
  <c r="F49" i="3"/>
  <c r="AZ9" i="11"/>
  <c r="B19" i="6"/>
  <c r="D22" i="6"/>
  <c r="AW9" i="11"/>
  <c r="AZ7" i="11"/>
  <c r="BE11" i="11"/>
  <c r="F47" i="3"/>
  <c r="D20" i="6"/>
  <c r="D19" i="6" s="1"/>
  <c r="D46" i="3"/>
  <c r="E53" i="3"/>
  <c r="B21" i="5"/>
  <c r="B7" i="5" s="1"/>
  <c r="B63" i="5" s="1"/>
  <c r="D22" i="5"/>
  <c r="D21" i="5" s="1"/>
  <c r="D7" i="5" s="1"/>
  <c r="D63" i="5" s="1"/>
  <c r="D13" i="6"/>
  <c r="BB18" i="29" l="1"/>
  <c r="CE247" i="29"/>
  <c r="CF247" i="29"/>
  <c r="CG247" i="29"/>
  <c r="CH247" i="29"/>
  <c r="CE116" i="29"/>
  <c r="CF116" i="29"/>
  <c r="CG116" i="29"/>
  <c r="CH116" i="29"/>
  <c r="CH35" i="29"/>
  <c r="CE35" i="29"/>
  <c r="CF35" i="29"/>
  <c r="CG35" i="29"/>
  <c r="CE233" i="29"/>
  <c r="CF233" i="29"/>
  <c r="CG233" i="29"/>
  <c r="CH233" i="29"/>
  <c r="CE192" i="29"/>
  <c r="CF192" i="29"/>
  <c r="CJ192" i="29" s="1"/>
  <c r="CG192" i="29"/>
  <c r="CH192" i="29"/>
  <c r="CL192" i="29" s="1"/>
  <c r="CE131" i="29"/>
  <c r="CF131" i="29"/>
  <c r="CG131" i="29"/>
  <c r="CH131" i="29"/>
  <c r="CE70" i="29"/>
  <c r="CH70" i="29"/>
  <c r="CF70" i="29"/>
  <c r="CG70" i="29"/>
  <c r="CE308" i="29"/>
  <c r="CF308" i="29"/>
  <c r="CG308" i="29"/>
  <c r="CH308" i="29"/>
  <c r="CE227" i="29"/>
  <c r="CF227" i="29"/>
  <c r="CG227" i="29"/>
  <c r="CH227" i="29"/>
  <c r="CE146" i="29"/>
  <c r="CF146" i="29"/>
  <c r="CJ146" i="29" s="1"/>
  <c r="CG146" i="29"/>
  <c r="CH146" i="29"/>
  <c r="CL146" i="29" s="1"/>
  <c r="CH65" i="29"/>
  <c r="CE65" i="29"/>
  <c r="CF65" i="29"/>
  <c r="CG65" i="29"/>
  <c r="CE303" i="29"/>
  <c r="CF303" i="29"/>
  <c r="CG303" i="29"/>
  <c r="CH303" i="29"/>
  <c r="CE222" i="29"/>
  <c r="CF222" i="29"/>
  <c r="CG222" i="29"/>
  <c r="CH222" i="29"/>
  <c r="CE161" i="29"/>
  <c r="CF161" i="29"/>
  <c r="CG161" i="29"/>
  <c r="CH161" i="29"/>
  <c r="CH100" i="29"/>
  <c r="CE100" i="29"/>
  <c r="CI100" i="29" s="1"/>
  <c r="CF100" i="29"/>
  <c r="CG100" i="29"/>
  <c r="CK100" i="29" s="1"/>
  <c r="CE217" i="29"/>
  <c r="CF217" i="29"/>
  <c r="CG217" i="29"/>
  <c r="CH217" i="29"/>
  <c r="CE213" i="29"/>
  <c r="CF213" i="29"/>
  <c r="CG213" i="29"/>
  <c r="CH213" i="29"/>
  <c r="CE172" i="29"/>
  <c r="CF172" i="29"/>
  <c r="CG172" i="29"/>
  <c r="CH172" i="29"/>
  <c r="CE111" i="29"/>
  <c r="CF111" i="29"/>
  <c r="CG111" i="29"/>
  <c r="CH111" i="29"/>
  <c r="CH50" i="29"/>
  <c r="CE50" i="29"/>
  <c r="CI50" i="29" s="1"/>
  <c r="CF50" i="29"/>
  <c r="CG50" i="29"/>
  <c r="CK50" i="29" s="1"/>
  <c r="CE288" i="29"/>
  <c r="CF288" i="29"/>
  <c r="CG288" i="29"/>
  <c r="CH288" i="29"/>
  <c r="CE207" i="29"/>
  <c r="CF207" i="29"/>
  <c r="CG207" i="29"/>
  <c r="CH207" i="29"/>
  <c r="CE126" i="29"/>
  <c r="CF126" i="29"/>
  <c r="CG126" i="29"/>
  <c r="CH126" i="29"/>
  <c r="CH45" i="29"/>
  <c r="CE45" i="29"/>
  <c r="CF45" i="29"/>
  <c r="CG45" i="29"/>
  <c r="CE283" i="29"/>
  <c r="CF283" i="29"/>
  <c r="CJ283" i="29" s="1"/>
  <c r="CG283" i="29"/>
  <c r="CH283" i="29"/>
  <c r="CL283" i="29" s="1"/>
  <c r="CE202" i="29"/>
  <c r="CF202" i="29"/>
  <c r="CG202" i="29"/>
  <c r="CH202" i="29"/>
  <c r="CE141" i="29"/>
  <c r="CF141" i="29"/>
  <c r="CG141" i="29"/>
  <c r="CH141" i="29"/>
  <c r="CH80" i="29"/>
  <c r="CE80" i="29"/>
  <c r="CF80" i="29"/>
  <c r="CG80" i="29"/>
  <c r="CH55" i="29"/>
  <c r="CE55" i="29"/>
  <c r="CF55" i="29"/>
  <c r="CG55" i="29"/>
  <c r="CE76" i="29"/>
  <c r="CF76" i="29"/>
  <c r="CJ76" i="29" s="1"/>
  <c r="CG76" i="29"/>
  <c r="CH76" i="29"/>
  <c r="CL76" i="29" s="1"/>
  <c r="CE294" i="29"/>
  <c r="CF294" i="29"/>
  <c r="CG294" i="29"/>
  <c r="CH294" i="29"/>
  <c r="CE193" i="29"/>
  <c r="CF193" i="29"/>
  <c r="CG193" i="29"/>
  <c r="CH193" i="29"/>
  <c r="CE152" i="29"/>
  <c r="CF152" i="29"/>
  <c r="CG152" i="29"/>
  <c r="CH152" i="29"/>
  <c r="CE91" i="29"/>
  <c r="CF91" i="29"/>
  <c r="CG91" i="29"/>
  <c r="CH91" i="29"/>
  <c r="CH30" i="29"/>
  <c r="CE30" i="29"/>
  <c r="CI30" i="29" s="1"/>
  <c r="CF30" i="29"/>
  <c r="CG30" i="29"/>
  <c r="CK30" i="29" s="1"/>
  <c r="CE268" i="29"/>
  <c r="CF268" i="29"/>
  <c r="CG268" i="29"/>
  <c r="CH268" i="29"/>
  <c r="CE187" i="29"/>
  <c r="CF187" i="29"/>
  <c r="CG187" i="29"/>
  <c r="CH187" i="29"/>
  <c r="CE106" i="29"/>
  <c r="CF106" i="29"/>
  <c r="CG106" i="29"/>
  <c r="CH106" i="29"/>
  <c r="CH25" i="29"/>
  <c r="CE25" i="29"/>
  <c r="CF25" i="29"/>
  <c r="CG25" i="29"/>
  <c r="CE263" i="29"/>
  <c r="CF263" i="29"/>
  <c r="CJ263" i="29" s="1"/>
  <c r="CG263" i="29"/>
  <c r="CH263" i="29"/>
  <c r="CL263" i="29" s="1"/>
  <c r="CE182" i="29"/>
  <c r="CF182" i="29"/>
  <c r="CG182" i="29"/>
  <c r="CH182" i="29"/>
  <c r="CE121" i="29"/>
  <c r="CF121" i="29"/>
  <c r="CG121" i="29"/>
  <c r="CH121" i="29"/>
  <c r="CE60" i="29"/>
  <c r="CF60" i="29"/>
  <c r="CH60" i="29"/>
  <c r="CG60" i="29"/>
  <c r="CE166" i="29"/>
  <c r="CF166" i="29"/>
  <c r="CG166" i="29"/>
  <c r="CH166" i="29"/>
  <c r="CE56" i="29"/>
  <c r="CF56" i="29"/>
  <c r="CJ56" i="29" s="1"/>
  <c r="CG56" i="29"/>
  <c r="CH56" i="29"/>
  <c r="CL56" i="29" s="1"/>
  <c r="CE274" i="29"/>
  <c r="CF274" i="29"/>
  <c r="CG274" i="29"/>
  <c r="CH274" i="29"/>
  <c r="CE173" i="29"/>
  <c r="CF173" i="29"/>
  <c r="CG173" i="29"/>
  <c r="CH173" i="29"/>
  <c r="CE132" i="29"/>
  <c r="CF132" i="29"/>
  <c r="CG132" i="29"/>
  <c r="CH132" i="29"/>
  <c r="CE71" i="29"/>
  <c r="CF71" i="29"/>
  <c r="CG71" i="29"/>
  <c r="CH71" i="29"/>
  <c r="CE138" i="29"/>
  <c r="CF138" i="29"/>
  <c r="CJ138" i="29" s="1"/>
  <c r="CG138" i="29"/>
  <c r="CH138" i="29"/>
  <c r="CL138" i="29" s="1"/>
  <c r="CE248" i="29"/>
  <c r="CF248" i="29"/>
  <c r="CG248" i="29"/>
  <c r="CH248" i="29"/>
  <c r="CE167" i="29"/>
  <c r="CF167" i="29"/>
  <c r="CG167" i="29"/>
  <c r="CH167" i="29"/>
  <c r="CE86" i="29"/>
  <c r="CF86" i="29"/>
  <c r="CG86" i="29"/>
  <c r="CH86" i="29"/>
  <c r="CE304" i="29"/>
  <c r="CF304" i="29"/>
  <c r="CG304" i="29"/>
  <c r="CH304" i="29"/>
  <c r="CE243" i="29"/>
  <c r="CF243" i="29"/>
  <c r="CG243" i="29"/>
  <c r="CH243" i="29"/>
  <c r="CL243" i="29" s="1"/>
  <c r="CE162" i="29"/>
  <c r="CF162" i="29"/>
  <c r="CG162" i="29"/>
  <c r="CH162" i="29"/>
  <c r="CE101" i="29"/>
  <c r="CF101" i="29"/>
  <c r="CG101" i="29"/>
  <c r="CH101" i="29"/>
  <c r="CE40" i="29"/>
  <c r="CF40" i="29"/>
  <c r="CG40" i="29"/>
  <c r="CH40" i="29"/>
  <c r="CE242" i="29"/>
  <c r="CF242" i="29"/>
  <c r="CG242" i="29"/>
  <c r="CH242" i="29"/>
  <c r="CE36" i="29"/>
  <c r="CF36" i="29"/>
  <c r="CJ36" i="29" s="1"/>
  <c r="CG36" i="29"/>
  <c r="CH36" i="29"/>
  <c r="CL36" i="29" s="1"/>
  <c r="CE254" i="29"/>
  <c r="CF254" i="29"/>
  <c r="CG254" i="29"/>
  <c r="CH254" i="29"/>
  <c r="CE153" i="29"/>
  <c r="CF153" i="29"/>
  <c r="CG153" i="29"/>
  <c r="CH153" i="29"/>
  <c r="CE112" i="29"/>
  <c r="CF112" i="29"/>
  <c r="CG112" i="29"/>
  <c r="CH112" i="29"/>
  <c r="CE51" i="29"/>
  <c r="CF51" i="29"/>
  <c r="CG51" i="29"/>
  <c r="CH51" i="29"/>
  <c r="CE237" i="29"/>
  <c r="CF237" i="29"/>
  <c r="CJ237" i="29" s="1"/>
  <c r="CG237" i="29"/>
  <c r="CH237" i="29"/>
  <c r="CL237" i="29" s="1"/>
  <c r="CE228" i="29"/>
  <c r="CF228" i="29"/>
  <c r="CG228" i="29"/>
  <c r="CH228" i="29"/>
  <c r="CE147" i="29"/>
  <c r="CF147" i="29"/>
  <c r="CG147" i="29"/>
  <c r="CH147" i="29"/>
  <c r="CE66" i="29"/>
  <c r="CI66" i="29" s="1"/>
  <c r="CF66" i="29"/>
  <c r="CG66" i="29"/>
  <c r="CH66" i="29"/>
  <c r="CE284" i="29"/>
  <c r="CF284" i="29"/>
  <c r="CG284" i="29"/>
  <c r="CH284" i="29"/>
  <c r="CE223" i="29"/>
  <c r="CF223" i="29"/>
  <c r="CJ223" i="29" s="1"/>
  <c r="CG223" i="29"/>
  <c r="CH223" i="29"/>
  <c r="CL223" i="29" s="1"/>
  <c r="CE142" i="29"/>
  <c r="CF142" i="29"/>
  <c r="CG142" i="29"/>
  <c r="CH142" i="29"/>
  <c r="CE81" i="29"/>
  <c r="CF81" i="29"/>
  <c r="CG81" i="29"/>
  <c r="CH81" i="29"/>
  <c r="CE197" i="29"/>
  <c r="CF197" i="29"/>
  <c r="CG197" i="29"/>
  <c r="CH197" i="29"/>
  <c r="CE253" i="29"/>
  <c r="CF253" i="29"/>
  <c r="CG253" i="29"/>
  <c r="CH253" i="29"/>
  <c r="CE178" i="29"/>
  <c r="CF178" i="29"/>
  <c r="CJ178" i="29" s="1"/>
  <c r="CG178" i="29"/>
  <c r="CH178" i="29"/>
  <c r="CL178" i="29" s="1"/>
  <c r="CE234" i="29"/>
  <c r="CF234" i="29"/>
  <c r="CG234" i="29"/>
  <c r="CH234" i="29"/>
  <c r="CE133" i="29"/>
  <c r="CF133" i="29"/>
  <c r="CJ133" i="29" s="1"/>
  <c r="CG133" i="29"/>
  <c r="CK133" i="29" s="1"/>
  <c r="CH133" i="29"/>
  <c r="CL133" i="29" s="1"/>
  <c r="CE92" i="29"/>
  <c r="CF92" i="29"/>
  <c r="CG92" i="29"/>
  <c r="CH92" i="29"/>
  <c r="CE31" i="29"/>
  <c r="CF31" i="29"/>
  <c r="CG31" i="29"/>
  <c r="CH31" i="29"/>
  <c r="CE309" i="29"/>
  <c r="CF309" i="29"/>
  <c r="CJ309" i="29" s="1"/>
  <c r="CG309" i="29"/>
  <c r="CH309" i="29"/>
  <c r="CL309" i="29" s="1"/>
  <c r="CE208" i="29"/>
  <c r="CF208" i="29"/>
  <c r="CG208" i="29"/>
  <c r="CH208" i="29"/>
  <c r="CE127" i="29"/>
  <c r="CF127" i="29"/>
  <c r="CG127" i="29"/>
  <c r="CH127" i="29"/>
  <c r="CE46" i="29"/>
  <c r="CF46" i="29"/>
  <c r="CG46" i="29"/>
  <c r="CH46" i="29"/>
  <c r="CL46" i="29" s="1"/>
  <c r="CE264" i="29"/>
  <c r="CF264" i="29"/>
  <c r="CG264" i="29"/>
  <c r="CH264" i="29"/>
  <c r="CE203" i="29"/>
  <c r="CF203" i="29"/>
  <c r="CJ203" i="29" s="1"/>
  <c r="CG203" i="29"/>
  <c r="CH203" i="29"/>
  <c r="CL203" i="29" s="1"/>
  <c r="CE122" i="29"/>
  <c r="CF122" i="29"/>
  <c r="CG122" i="29"/>
  <c r="CH122" i="29"/>
  <c r="CE61" i="29"/>
  <c r="CF61" i="29"/>
  <c r="CG61" i="29"/>
  <c r="CH61" i="29"/>
  <c r="CE299" i="29"/>
  <c r="CF299" i="29"/>
  <c r="CG299" i="29"/>
  <c r="CH299" i="29"/>
  <c r="CE96" i="29"/>
  <c r="CF96" i="29"/>
  <c r="CG96" i="29"/>
  <c r="CH96" i="29"/>
  <c r="CE58" i="29"/>
  <c r="CF58" i="29"/>
  <c r="CJ58" i="29" s="1"/>
  <c r="CG58" i="29"/>
  <c r="CK58" i="29" s="1"/>
  <c r="CH58" i="29"/>
  <c r="CL58" i="29" s="1"/>
  <c r="CE157" i="29"/>
  <c r="CF157" i="29"/>
  <c r="CG157" i="29"/>
  <c r="CH157" i="29"/>
  <c r="CE214" i="29"/>
  <c r="CF214" i="29"/>
  <c r="CG214" i="29"/>
  <c r="CH214" i="29"/>
  <c r="CE113" i="29"/>
  <c r="CF113" i="29"/>
  <c r="CJ113" i="29" s="1"/>
  <c r="CG113" i="29"/>
  <c r="CK113" i="29" s="1"/>
  <c r="CH113" i="29"/>
  <c r="CL113" i="29" s="1"/>
  <c r="CE72" i="29"/>
  <c r="CF72" i="29"/>
  <c r="CG72" i="29"/>
  <c r="CH72" i="29"/>
  <c r="CL72" i="29" s="1"/>
  <c r="CE158" i="29"/>
  <c r="CI158" i="29" s="1"/>
  <c r="CF158" i="29"/>
  <c r="CJ158" i="29" s="1"/>
  <c r="CG158" i="29"/>
  <c r="CH158" i="29"/>
  <c r="CL158" i="29" s="1"/>
  <c r="CE289" i="29"/>
  <c r="CF289" i="29"/>
  <c r="CG289" i="29"/>
  <c r="CH289" i="29"/>
  <c r="CE188" i="29"/>
  <c r="CF188" i="29"/>
  <c r="CG188" i="29"/>
  <c r="CH188" i="29"/>
  <c r="CE107" i="29"/>
  <c r="CF107" i="29"/>
  <c r="CG107" i="29"/>
  <c r="CH107" i="29"/>
  <c r="CE26" i="29"/>
  <c r="CF26" i="29"/>
  <c r="CG26" i="29"/>
  <c r="CH26" i="29"/>
  <c r="CE244" i="29"/>
  <c r="CF244" i="29"/>
  <c r="CJ244" i="29" s="1"/>
  <c r="CG244" i="29"/>
  <c r="CH244" i="29"/>
  <c r="CL244" i="29" s="1"/>
  <c r="CE183" i="29"/>
  <c r="CF183" i="29"/>
  <c r="CG183" i="29"/>
  <c r="CH183" i="29"/>
  <c r="CE102" i="29"/>
  <c r="CF102" i="29"/>
  <c r="CG102" i="29"/>
  <c r="CH102" i="29"/>
  <c r="CE41" i="29"/>
  <c r="CF41" i="29"/>
  <c r="CG41" i="29"/>
  <c r="CH41" i="29"/>
  <c r="CE279" i="29"/>
  <c r="CF279" i="29"/>
  <c r="CG279" i="29"/>
  <c r="CH279" i="29"/>
  <c r="CH295" i="29"/>
  <c r="CE295" i="29"/>
  <c r="CI295" i="29" s="1"/>
  <c r="CF295" i="29"/>
  <c r="CG295" i="29"/>
  <c r="CK295" i="29" s="1"/>
  <c r="CE93" i="29"/>
  <c r="CF93" i="29"/>
  <c r="CG93" i="29"/>
  <c r="CH93" i="29"/>
  <c r="CE52" i="29"/>
  <c r="CF52" i="29"/>
  <c r="CG52" i="29"/>
  <c r="CH52" i="29"/>
  <c r="CE297" i="29"/>
  <c r="CI297" i="29" s="1"/>
  <c r="CF297" i="29"/>
  <c r="CG297" i="29"/>
  <c r="CH297" i="29"/>
  <c r="CE269" i="29"/>
  <c r="CF269" i="29"/>
  <c r="CG269" i="29"/>
  <c r="CH269" i="29"/>
  <c r="CE168" i="29"/>
  <c r="CF168" i="29"/>
  <c r="CJ168" i="29" s="1"/>
  <c r="CG168" i="29"/>
  <c r="CK168" i="29" s="1"/>
  <c r="CH168" i="29"/>
  <c r="CL168" i="29" s="1"/>
  <c r="CE87" i="29"/>
  <c r="CF87" i="29"/>
  <c r="CG87" i="29"/>
  <c r="CH87" i="29"/>
  <c r="CE238" i="29"/>
  <c r="CF238" i="29"/>
  <c r="CG238" i="29"/>
  <c r="CH238" i="29"/>
  <c r="CL238" i="29" s="1"/>
  <c r="CE224" i="29"/>
  <c r="CF224" i="29"/>
  <c r="CJ224" i="29" s="1"/>
  <c r="CG224" i="29"/>
  <c r="CK224" i="29" s="1"/>
  <c r="CH224" i="29"/>
  <c r="CL224" i="29" s="1"/>
  <c r="CE163" i="29"/>
  <c r="CF163" i="29"/>
  <c r="CJ163" i="29" s="1"/>
  <c r="CG163" i="29"/>
  <c r="CK163" i="29" s="1"/>
  <c r="CH163" i="29"/>
  <c r="CL163" i="29" s="1"/>
  <c r="CE82" i="29"/>
  <c r="CF82" i="29"/>
  <c r="CJ82" i="29" s="1"/>
  <c r="CG82" i="29"/>
  <c r="CK82" i="29" s="1"/>
  <c r="CH82" i="29"/>
  <c r="CL82" i="29" s="1"/>
  <c r="CE21" i="29"/>
  <c r="CF21" i="29"/>
  <c r="CJ21" i="29" s="1"/>
  <c r="CG21" i="29"/>
  <c r="CK21" i="29" s="1"/>
  <c r="CH21" i="29"/>
  <c r="CL21" i="29" s="1"/>
  <c r="CE259" i="29"/>
  <c r="CF259" i="29"/>
  <c r="CJ259" i="29" s="1"/>
  <c r="CG259" i="29"/>
  <c r="CK259" i="29" s="1"/>
  <c r="CH259" i="29"/>
  <c r="CL259" i="29" s="1"/>
  <c r="CE275" i="29"/>
  <c r="CF275" i="29"/>
  <c r="CG275" i="29"/>
  <c r="CH275" i="29"/>
  <c r="CE73" i="29"/>
  <c r="CF73" i="29"/>
  <c r="CJ73" i="29" s="1"/>
  <c r="CG73" i="29"/>
  <c r="CK73" i="29" s="1"/>
  <c r="CH73" i="29"/>
  <c r="CL73" i="29" s="1"/>
  <c r="CE32" i="29"/>
  <c r="CF32" i="29"/>
  <c r="CJ32" i="29" s="1"/>
  <c r="CG32" i="29"/>
  <c r="CK32" i="29" s="1"/>
  <c r="CH32" i="29"/>
  <c r="CL32" i="29" s="1"/>
  <c r="CH310" i="29"/>
  <c r="CE310" i="29"/>
  <c r="CF310" i="29"/>
  <c r="CG310" i="29"/>
  <c r="CE249" i="29"/>
  <c r="CF249" i="29"/>
  <c r="CG249" i="29"/>
  <c r="CH249" i="29"/>
  <c r="CE148" i="29"/>
  <c r="CF148" i="29"/>
  <c r="CG148" i="29"/>
  <c r="CK148" i="29" s="1"/>
  <c r="CH148" i="29"/>
  <c r="CL148" i="29" s="1"/>
  <c r="CE67" i="29"/>
  <c r="CF67" i="29"/>
  <c r="CJ67" i="29" s="1"/>
  <c r="CG67" i="29"/>
  <c r="CK67" i="29" s="1"/>
  <c r="CH67" i="29"/>
  <c r="CL67" i="29" s="1"/>
  <c r="CH305" i="29"/>
  <c r="CL305" i="29" s="1"/>
  <c r="CE305" i="29"/>
  <c r="CI305" i="29" s="1"/>
  <c r="CF305" i="29"/>
  <c r="CJ305" i="29" s="1"/>
  <c r="CG305" i="29"/>
  <c r="CK305" i="29" s="1"/>
  <c r="CE204" i="29"/>
  <c r="CF204" i="29"/>
  <c r="CG204" i="29"/>
  <c r="CH204" i="29"/>
  <c r="CE143" i="29"/>
  <c r="CI143" i="29" s="1"/>
  <c r="CF143" i="29"/>
  <c r="CG143" i="29"/>
  <c r="CK143" i="29" s="1"/>
  <c r="CH143" i="29"/>
  <c r="CE62" i="29"/>
  <c r="CI62" i="29" s="1"/>
  <c r="CF62" i="29"/>
  <c r="CJ62" i="29" s="1"/>
  <c r="CG62" i="29"/>
  <c r="CK62" i="29" s="1"/>
  <c r="CH62" i="29"/>
  <c r="CL62" i="29" s="1"/>
  <c r="CE198" i="29"/>
  <c r="CF198" i="29"/>
  <c r="CG198" i="29"/>
  <c r="CH198" i="29"/>
  <c r="CE239" i="29"/>
  <c r="CI239" i="29" s="1"/>
  <c r="CF239" i="29"/>
  <c r="CJ239" i="29" s="1"/>
  <c r="CG239" i="29"/>
  <c r="CK239" i="29" s="1"/>
  <c r="CH239" i="29"/>
  <c r="CL239" i="29" s="1"/>
  <c r="CH85" i="29"/>
  <c r="CE85" i="29"/>
  <c r="CF85" i="29"/>
  <c r="CG85" i="29"/>
  <c r="CH255" i="29"/>
  <c r="CE255" i="29"/>
  <c r="CF255" i="29"/>
  <c r="CG255" i="29"/>
  <c r="CE53" i="29"/>
  <c r="CI53" i="29" s="1"/>
  <c r="CF53" i="29"/>
  <c r="CJ53" i="29" s="1"/>
  <c r="CG53" i="29"/>
  <c r="CK53" i="29" s="1"/>
  <c r="CH53" i="29"/>
  <c r="CL53" i="29" s="1"/>
  <c r="CE258" i="29"/>
  <c r="CF258" i="29"/>
  <c r="CG258" i="29"/>
  <c r="CH258" i="29"/>
  <c r="CH290" i="29"/>
  <c r="CL290" i="29" s="1"/>
  <c r="CE290" i="29"/>
  <c r="CI290" i="29" s="1"/>
  <c r="CF290" i="29"/>
  <c r="CJ290" i="29" s="1"/>
  <c r="CG290" i="29"/>
  <c r="CK290" i="29" s="1"/>
  <c r="CE229" i="29"/>
  <c r="CF229" i="29"/>
  <c r="CG229" i="29"/>
  <c r="CH229" i="29"/>
  <c r="CE128" i="29"/>
  <c r="CF128" i="29"/>
  <c r="CJ128" i="29" s="1"/>
  <c r="CG128" i="29"/>
  <c r="CK128" i="29" s="1"/>
  <c r="CH128" i="29"/>
  <c r="CL128" i="29" s="1"/>
  <c r="CE47" i="29"/>
  <c r="CF47" i="29"/>
  <c r="CJ47" i="29" s="1"/>
  <c r="CG47" i="29"/>
  <c r="CK47" i="29" s="1"/>
  <c r="CH47" i="29"/>
  <c r="CL47" i="29" s="1"/>
  <c r="CE285" i="29"/>
  <c r="CF285" i="29"/>
  <c r="CH285" i="29"/>
  <c r="CG285" i="29"/>
  <c r="CE184" i="29"/>
  <c r="CI184" i="29" s="1"/>
  <c r="CF184" i="29"/>
  <c r="CJ184" i="29" s="1"/>
  <c r="CG184" i="29"/>
  <c r="CK184" i="29" s="1"/>
  <c r="CH184" i="29"/>
  <c r="CL184" i="29" s="1"/>
  <c r="CE123" i="29"/>
  <c r="CF123" i="29"/>
  <c r="CG123" i="29"/>
  <c r="CH123" i="29"/>
  <c r="CE42" i="29"/>
  <c r="CF42" i="29"/>
  <c r="CJ42" i="29" s="1"/>
  <c r="CG42" i="29"/>
  <c r="CK42" i="29" s="1"/>
  <c r="CH42" i="29"/>
  <c r="CL42" i="29" s="1"/>
  <c r="CE177" i="29"/>
  <c r="CF177" i="29"/>
  <c r="CG177" i="29"/>
  <c r="CH177" i="29"/>
  <c r="CE219" i="29"/>
  <c r="CF219" i="29"/>
  <c r="CJ219" i="29" s="1"/>
  <c r="CG219" i="29"/>
  <c r="CK219" i="29" s="1"/>
  <c r="CH219" i="29"/>
  <c r="CL219" i="29" s="1"/>
  <c r="CE33" i="29"/>
  <c r="CI33" i="29" s="1"/>
  <c r="CF33" i="29"/>
  <c r="CJ33" i="29" s="1"/>
  <c r="CG33" i="29"/>
  <c r="CK33" i="29" s="1"/>
  <c r="CH33" i="29"/>
  <c r="CL33" i="29" s="1"/>
  <c r="CE117" i="29"/>
  <c r="CF117" i="29"/>
  <c r="CG117" i="29"/>
  <c r="CH117" i="29"/>
  <c r="CH270" i="29"/>
  <c r="CL270" i="29" s="1"/>
  <c r="CE270" i="29"/>
  <c r="CF270" i="29"/>
  <c r="CJ270" i="29" s="1"/>
  <c r="CG270" i="29"/>
  <c r="CK270" i="29" s="1"/>
  <c r="CE209" i="29"/>
  <c r="CI209" i="29" s="1"/>
  <c r="CF209" i="29"/>
  <c r="CJ209" i="29" s="1"/>
  <c r="CG209" i="29"/>
  <c r="CK209" i="29" s="1"/>
  <c r="CH209" i="29"/>
  <c r="CL209" i="29" s="1"/>
  <c r="CE108" i="29"/>
  <c r="CF108" i="29"/>
  <c r="CJ108" i="29" s="1"/>
  <c r="CG108" i="29"/>
  <c r="CK108" i="29" s="1"/>
  <c r="CH108" i="29"/>
  <c r="CL108" i="29" s="1"/>
  <c r="CE27" i="29"/>
  <c r="CI27" i="29" s="1"/>
  <c r="CF27" i="29"/>
  <c r="CJ27" i="29" s="1"/>
  <c r="CG27" i="29"/>
  <c r="CK27" i="29" s="1"/>
  <c r="CH27" i="29"/>
  <c r="CL27" i="29" s="1"/>
  <c r="CH265" i="29"/>
  <c r="CE265" i="29"/>
  <c r="CF265" i="29"/>
  <c r="CG265" i="29"/>
  <c r="CE164" i="29"/>
  <c r="CF164" i="29"/>
  <c r="CG164" i="29"/>
  <c r="CK164" i="29" s="1"/>
  <c r="CH164" i="29"/>
  <c r="CL164" i="29" s="1"/>
  <c r="CE103" i="29"/>
  <c r="CF103" i="29"/>
  <c r="CJ103" i="29" s="1"/>
  <c r="CG103" i="29"/>
  <c r="CH103" i="29"/>
  <c r="CL103" i="29" s="1"/>
  <c r="CE22" i="29"/>
  <c r="CF22" i="29"/>
  <c r="CG22" i="29"/>
  <c r="CH22" i="29"/>
  <c r="CH300" i="29"/>
  <c r="CL300" i="29" s="1"/>
  <c r="CE300" i="29"/>
  <c r="CI300" i="29" s="1"/>
  <c r="CF300" i="29"/>
  <c r="CJ300" i="29" s="1"/>
  <c r="CG300" i="29"/>
  <c r="CK300" i="29" s="1"/>
  <c r="CE199" i="29"/>
  <c r="CF199" i="29"/>
  <c r="CG199" i="29"/>
  <c r="CH199" i="29"/>
  <c r="CE136" i="29"/>
  <c r="CF136" i="29"/>
  <c r="CJ136" i="29" s="1"/>
  <c r="CG136" i="29"/>
  <c r="CK136" i="29" s="1"/>
  <c r="CH136" i="29"/>
  <c r="CL136" i="29" s="1"/>
  <c r="CE37" i="29"/>
  <c r="CF37" i="29"/>
  <c r="CJ37" i="29" s="1"/>
  <c r="CG37" i="29"/>
  <c r="CK37" i="29" s="1"/>
  <c r="CH37" i="29"/>
  <c r="CL37" i="29" s="1"/>
  <c r="CE311" i="29"/>
  <c r="CI311" i="29" s="1"/>
  <c r="CF311" i="29"/>
  <c r="CG311" i="29"/>
  <c r="CK311" i="29" s="1"/>
  <c r="CH311" i="29"/>
  <c r="CL311" i="29" s="1"/>
  <c r="CH250" i="29"/>
  <c r="CL250" i="29" s="1"/>
  <c r="CE250" i="29"/>
  <c r="CI250" i="29" s="1"/>
  <c r="CF250" i="29"/>
  <c r="CJ250" i="29" s="1"/>
  <c r="CG250" i="29"/>
  <c r="CK250" i="29" s="1"/>
  <c r="CE189" i="29"/>
  <c r="CF189" i="29"/>
  <c r="CG189" i="29"/>
  <c r="CH189" i="29"/>
  <c r="CE88" i="29"/>
  <c r="CF88" i="29"/>
  <c r="CJ88" i="29" s="1"/>
  <c r="CG88" i="29"/>
  <c r="CH88" i="29"/>
  <c r="CL88" i="29" s="1"/>
  <c r="CE218" i="29"/>
  <c r="CF218" i="29"/>
  <c r="CJ218" i="29" s="1"/>
  <c r="CG218" i="29"/>
  <c r="CK218" i="29" s="1"/>
  <c r="CH218" i="29"/>
  <c r="CL218" i="29" s="1"/>
  <c r="CH245" i="29"/>
  <c r="CE245" i="29"/>
  <c r="CF245" i="29"/>
  <c r="CJ245" i="29" s="1"/>
  <c r="CG245" i="29"/>
  <c r="CK245" i="29" s="1"/>
  <c r="CE144" i="29"/>
  <c r="CF144" i="29"/>
  <c r="CJ144" i="29" s="1"/>
  <c r="CG144" i="29"/>
  <c r="CK144" i="29" s="1"/>
  <c r="CH144" i="29"/>
  <c r="CL144" i="29" s="1"/>
  <c r="CE83" i="29"/>
  <c r="CF83" i="29"/>
  <c r="CG83" i="29"/>
  <c r="CH83" i="29"/>
  <c r="CE118" i="29"/>
  <c r="CF118" i="29"/>
  <c r="CG118" i="29"/>
  <c r="CK118" i="29" s="1"/>
  <c r="CH118" i="29"/>
  <c r="CH280" i="29"/>
  <c r="CL280" i="29" s="1"/>
  <c r="CE280" i="29"/>
  <c r="CI280" i="29" s="1"/>
  <c r="CF280" i="29"/>
  <c r="CJ280" i="29" s="1"/>
  <c r="CG280" i="29"/>
  <c r="CK280" i="29" s="1"/>
  <c r="CE179" i="29"/>
  <c r="CF179" i="29"/>
  <c r="CG179" i="29"/>
  <c r="CH179" i="29"/>
  <c r="CE97" i="29"/>
  <c r="CI97" i="29" s="1"/>
  <c r="CF97" i="29"/>
  <c r="CJ97" i="29" s="1"/>
  <c r="CG97" i="29"/>
  <c r="CK97" i="29" s="1"/>
  <c r="CH97" i="29"/>
  <c r="CL97" i="29" s="1"/>
  <c r="CE134" i="29"/>
  <c r="CF134" i="29"/>
  <c r="CG134" i="29"/>
  <c r="CH134" i="29"/>
  <c r="CL134" i="29" s="1"/>
  <c r="CE276" i="29"/>
  <c r="CI276" i="29" s="1"/>
  <c r="CF276" i="29"/>
  <c r="CG276" i="29"/>
  <c r="CK276" i="29" s="1"/>
  <c r="CH276" i="29"/>
  <c r="CL276" i="29" s="1"/>
  <c r="CH230" i="29"/>
  <c r="CL230" i="29" s="1"/>
  <c r="CE230" i="29"/>
  <c r="CF230" i="29"/>
  <c r="CJ230" i="29" s="1"/>
  <c r="CG230" i="29"/>
  <c r="CK230" i="29" s="1"/>
  <c r="CE169" i="29"/>
  <c r="CF169" i="29"/>
  <c r="CJ169" i="29" s="1"/>
  <c r="CG169" i="29"/>
  <c r="CK169" i="29" s="1"/>
  <c r="CH169" i="29"/>
  <c r="CL169" i="29" s="1"/>
  <c r="CE68" i="29"/>
  <c r="CF68" i="29"/>
  <c r="CJ68" i="29" s="1"/>
  <c r="CG68" i="29"/>
  <c r="CK68" i="29" s="1"/>
  <c r="CH68" i="29"/>
  <c r="CL68" i="29" s="1"/>
  <c r="CE306" i="29"/>
  <c r="CF306" i="29"/>
  <c r="CG306" i="29"/>
  <c r="CH306" i="29"/>
  <c r="CH225" i="29"/>
  <c r="CE225" i="29"/>
  <c r="CF225" i="29"/>
  <c r="CJ225" i="29" s="1"/>
  <c r="CG225" i="29"/>
  <c r="CK225" i="29" s="1"/>
  <c r="CE124" i="29"/>
  <c r="CI124" i="29" s="1"/>
  <c r="CF124" i="29"/>
  <c r="CJ124" i="29" s="1"/>
  <c r="CG124" i="29"/>
  <c r="CK124" i="29" s="1"/>
  <c r="CH124" i="29"/>
  <c r="CL124" i="29" s="1"/>
  <c r="CE63" i="29"/>
  <c r="CF63" i="29"/>
  <c r="CG63" i="29"/>
  <c r="CK63" i="29" s="1"/>
  <c r="CH63" i="29"/>
  <c r="CL63" i="29" s="1"/>
  <c r="CE257" i="29"/>
  <c r="CF257" i="29"/>
  <c r="CJ257" i="29" s="1"/>
  <c r="CG257" i="29"/>
  <c r="CK257" i="29" s="1"/>
  <c r="CH257" i="29"/>
  <c r="CL257" i="29" s="1"/>
  <c r="CE260" i="29"/>
  <c r="CH260" i="29"/>
  <c r="CF260" i="29"/>
  <c r="CG260" i="29"/>
  <c r="CE159" i="29"/>
  <c r="CF159" i="29"/>
  <c r="CJ159" i="29" s="1"/>
  <c r="CG159" i="29"/>
  <c r="CK159" i="29" s="1"/>
  <c r="CH159" i="29"/>
  <c r="CL159" i="29" s="1"/>
  <c r="CE181" i="29"/>
  <c r="CI181" i="29" s="1"/>
  <c r="CF181" i="29"/>
  <c r="CJ181" i="29" s="1"/>
  <c r="CG181" i="29"/>
  <c r="CK181" i="29" s="1"/>
  <c r="CH181" i="29"/>
  <c r="CE174" i="29"/>
  <c r="CF174" i="29"/>
  <c r="CJ174" i="29" s="1"/>
  <c r="CG174" i="29"/>
  <c r="CK174" i="29" s="1"/>
  <c r="CH174" i="29"/>
  <c r="CL174" i="29" s="1"/>
  <c r="CE215" i="29"/>
  <c r="CI215" i="29" s="1"/>
  <c r="CF215" i="29"/>
  <c r="CJ215" i="29" s="1"/>
  <c r="CG215" i="29"/>
  <c r="CK215" i="29" s="1"/>
  <c r="CH215" i="29"/>
  <c r="CL215" i="29" s="1"/>
  <c r="CE149" i="29"/>
  <c r="CF149" i="29"/>
  <c r="CG149" i="29"/>
  <c r="CH149" i="29"/>
  <c r="CL149" i="29" s="1"/>
  <c r="CE48" i="29"/>
  <c r="CF48" i="29"/>
  <c r="CJ48" i="29" s="1"/>
  <c r="CG48" i="29"/>
  <c r="CK48" i="29" s="1"/>
  <c r="CH48" i="29"/>
  <c r="CL48" i="29" s="1"/>
  <c r="CE286" i="29"/>
  <c r="CF286" i="29"/>
  <c r="CJ286" i="29" s="1"/>
  <c r="CG286" i="29"/>
  <c r="CK286" i="29" s="1"/>
  <c r="CH286" i="29"/>
  <c r="CL286" i="29" s="1"/>
  <c r="CH205" i="29"/>
  <c r="CL205" i="29" s="1"/>
  <c r="CE205" i="29"/>
  <c r="CF205" i="29"/>
  <c r="CJ205" i="29" s="1"/>
  <c r="CG205" i="29"/>
  <c r="CK205" i="29" s="1"/>
  <c r="CE104" i="29"/>
  <c r="CI104" i="29" s="1"/>
  <c r="CF104" i="29"/>
  <c r="CJ104" i="29" s="1"/>
  <c r="CG104" i="29"/>
  <c r="CK104" i="29" s="1"/>
  <c r="CH104" i="29"/>
  <c r="CE43" i="29"/>
  <c r="CF43" i="29"/>
  <c r="CG43" i="29"/>
  <c r="CH43" i="29"/>
  <c r="CE301" i="29"/>
  <c r="CI301" i="29" s="1"/>
  <c r="CF301" i="29"/>
  <c r="CG301" i="29"/>
  <c r="CK301" i="29" s="1"/>
  <c r="CH301" i="29"/>
  <c r="CL301" i="29" s="1"/>
  <c r="CH240" i="29"/>
  <c r="CL240" i="29" s="1"/>
  <c r="CE240" i="29"/>
  <c r="CI240" i="29" s="1"/>
  <c r="CF240" i="29"/>
  <c r="CJ240" i="29" s="1"/>
  <c r="CG240" i="29"/>
  <c r="CE139" i="29"/>
  <c r="CF139" i="29"/>
  <c r="CG139" i="29"/>
  <c r="CK139" i="29" s="1"/>
  <c r="CH139" i="29"/>
  <c r="CL139" i="29" s="1"/>
  <c r="CE29" i="29"/>
  <c r="CI29" i="29" s="1"/>
  <c r="CF29" i="29"/>
  <c r="CJ29" i="29" s="1"/>
  <c r="CG29" i="29"/>
  <c r="CK29" i="29" s="1"/>
  <c r="CH29" i="29"/>
  <c r="CE38" i="29"/>
  <c r="CF38" i="29"/>
  <c r="CG38" i="29"/>
  <c r="CH38" i="29"/>
  <c r="CL38" i="29" s="1"/>
  <c r="CE235" i="29"/>
  <c r="CI235" i="29" s="1"/>
  <c r="CF235" i="29"/>
  <c r="CJ235" i="29" s="1"/>
  <c r="CH235" i="29"/>
  <c r="CL235" i="29" s="1"/>
  <c r="CG235" i="29"/>
  <c r="CK235" i="29" s="1"/>
  <c r="CE296" i="29"/>
  <c r="CI296" i="29" s="1"/>
  <c r="CF296" i="29"/>
  <c r="CJ296" i="29" s="1"/>
  <c r="CG296" i="29"/>
  <c r="CK296" i="29" s="1"/>
  <c r="CH296" i="29"/>
  <c r="CL296" i="29" s="1"/>
  <c r="CE195" i="29"/>
  <c r="CH195" i="29"/>
  <c r="CF195" i="29"/>
  <c r="CJ195" i="29" s="1"/>
  <c r="CG195" i="29"/>
  <c r="CK195" i="29" s="1"/>
  <c r="CH175" i="29"/>
  <c r="CL175" i="29" s="1"/>
  <c r="CE175" i="29"/>
  <c r="CI175" i="29" s="1"/>
  <c r="CF175" i="29"/>
  <c r="CJ175" i="29" s="1"/>
  <c r="CG175" i="29"/>
  <c r="CE312" i="29"/>
  <c r="CI312" i="29" s="1"/>
  <c r="CF312" i="29"/>
  <c r="CG312" i="29"/>
  <c r="CH312" i="29"/>
  <c r="CE129" i="29"/>
  <c r="CI129" i="29" s="1"/>
  <c r="CF129" i="29"/>
  <c r="CJ129" i="29" s="1"/>
  <c r="CG129" i="29"/>
  <c r="CK129" i="29" s="1"/>
  <c r="CH129" i="29"/>
  <c r="CL129" i="29" s="1"/>
  <c r="CH185" i="29"/>
  <c r="CL185" i="29" s="1"/>
  <c r="CE185" i="29"/>
  <c r="CF185" i="29"/>
  <c r="CJ185" i="29" s="1"/>
  <c r="CG185" i="29"/>
  <c r="CE84" i="29"/>
  <c r="CF84" i="29"/>
  <c r="CJ84" i="29" s="1"/>
  <c r="CG84" i="29"/>
  <c r="CK84" i="29" s="1"/>
  <c r="CH84" i="29"/>
  <c r="CL84" i="29" s="1"/>
  <c r="CE23" i="29"/>
  <c r="CI23" i="29" s="1"/>
  <c r="CF23" i="29"/>
  <c r="CJ23" i="29" s="1"/>
  <c r="CG23" i="29"/>
  <c r="CK23" i="29" s="1"/>
  <c r="CH23" i="29"/>
  <c r="CE281" i="29"/>
  <c r="CF281" i="29"/>
  <c r="CG281" i="29"/>
  <c r="CH281" i="29"/>
  <c r="CL281" i="29" s="1"/>
  <c r="CH220" i="29"/>
  <c r="CE220" i="29"/>
  <c r="CI220" i="29" s="1"/>
  <c r="CF220" i="29"/>
  <c r="CJ220" i="29" s="1"/>
  <c r="CG220" i="29"/>
  <c r="CK220" i="29" s="1"/>
  <c r="CE119" i="29"/>
  <c r="CI119" i="29" s="1"/>
  <c r="CF119" i="29"/>
  <c r="CG119" i="29"/>
  <c r="CH119" i="29"/>
  <c r="CE212" i="29"/>
  <c r="CF212" i="29"/>
  <c r="CG212" i="29"/>
  <c r="CH212" i="29"/>
  <c r="CL212" i="29" s="1"/>
  <c r="CE154" i="29"/>
  <c r="CI154" i="29" s="1"/>
  <c r="CF154" i="29"/>
  <c r="CJ154" i="29" s="1"/>
  <c r="CG154" i="29"/>
  <c r="CK154" i="29" s="1"/>
  <c r="CH154" i="29"/>
  <c r="CE114" i="29"/>
  <c r="CF114" i="29"/>
  <c r="CG114" i="29"/>
  <c r="CH114" i="29"/>
  <c r="CL114" i="29" s="1"/>
  <c r="CE94" i="29"/>
  <c r="CI94" i="29" s="1"/>
  <c r="CF94" i="29"/>
  <c r="CJ94" i="29" s="1"/>
  <c r="CG94" i="29"/>
  <c r="CK94" i="29" s="1"/>
  <c r="CH94" i="29"/>
  <c r="CL94" i="29" s="1"/>
  <c r="CE251" i="29"/>
  <c r="CI251" i="29" s="1"/>
  <c r="CF251" i="29"/>
  <c r="CJ251" i="29" s="1"/>
  <c r="CG251" i="29"/>
  <c r="CK251" i="29" s="1"/>
  <c r="CH251" i="29"/>
  <c r="CL251" i="29" s="1"/>
  <c r="CE216" i="29"/>
  <c r="CF216" i="29"/>
  <c r="CJ216" i="29" s="1"/>
  <c r="CG216" i="29"/>
  <c r="CK216" i="29" s="1"/>
  <c r="CH216" i="29"/>
  <c r="CL216" i="29" s="1"/>
  <c r="CE135" i="29"/>
  <c r="CI135" i="29" s="1"/>
  <c r="CH135" i="29"/>
  <c r="CL135" i="29" s="1"/>
  <c r="CF135" i="29"/>
  <c r="CJ135" i="29" s="1"/>
  <c r="CG135" i="29"/>
  <c r="CE34" i="29"/>
  <c r="CF34" i="29"/>
  <c r="CG34" i="29"/>
  <c r="CK34" i="29" s="1"/>
  <c r="CH34" i="29"/>
  <c r="CE292" i="29"/>
  <c r="CI292" i="29" s="1"/>
  <c r="CF292" i="29"/>
  <c r="CJ292" i="29" s="1"/>
  <c r="CG292" i="29"/>
  <c r="CK292" i="29" s="1"/>
  <c r="CH292" i="29"/>
  <c r="CL292" i="29" s="1"/>
  <c r="CE231" i="29"/>
  <c r="CI231" i="29" s="1"/>
  <c r="CF231" i="29"/>
  <c r="CJ231" i="29" s="1"/>
  <c r="CG231" i="29"/>
  <c r="CK231" i="29" s="1"/>
  <c r="CH231" i="29"/>
  <c r="CL231" i="29" s="1"/>
  <c r="CH170" i="29"/>
  <c r="CL170" i="29" s="1"/>
  <c r="CE170" i="29"/>
  <c r="CI170" i="29" s="1"/>
  <c r="CF170" i="29"/>
  <c r="CG170" i="29"/>
  <c r="CK170" i="29" s="1"/>
  <c r="CE109" i="29"/>
  <c r="CI109" i="29" s="1"/>
  <c r="CF109" i="29"/>
  <c r="CJ109" i="29" s="1"/>
  <c r="CG109" i="29"/>
  <c r="CK109" i="29" s="1"/>
  <c r="CH109" i="29"/>
  <c r="CE98" i="29"/>
  <c r="CF98" i="29"/>
  <c r="CG98" i="29"/>
  <c r="CH98" i="29"/>
  <c r="CL98" i="29" s="1"/>
  <c r="CE246" i="29"/>
  <c r="CI246" i="29" s="1"/>
  <c r="CF246" i="29"/>
  <c r="CJ246" i="29" s="1"/>
  <c r="CG246" i="29"/>
  <c r="CK246" i="29" s="1"/>
  <c r="CH246" i="29"/>
  <c r="CL246" i="29" s="1"/>
  <c r="CH165" i="29"/>
  <c r="CL165" i="29" s="1"/>
  <c r="CE165" i="29"/>
  <c r="CI165" i="29" s="1"/>
  <c r="CF165" i="29"/>
  <c r="CJ165" i="29" s="1"/>
  <c r="CG165" i="29"/>
  <c r="CK165" i="29" s="1"/>
  <c r="CE64" i="29"/>
  <c r="CF64" i="29"/>
  <c r="CJ64" i="29" s="1"/>
  <c r="CG64" i="29"/>
  <c r="CK64" i="29" s="1"/>
  <c r="CH64" i="29"/>
  <c r="CL64" i="29" s="1"/>
  <c r="CE137" i="29"/>
  <c r="CI137" i="29" s="1"/>
  <c r="CF137" i="29"/>
  <c r="CJ137" i="29" s="1"/>
  <c r="CG137" i="29"/>
  <c r="CK137" i="29" s="1"/>
  <c r="CH137" i="29"/>
  <c r="CE261" i="29"/>
  <c r="CF261" i="29"/>
  <c r="CG261" i="29"/>
  <c r="CH261" i="29"/>
  <c r="CL261" i="29" s="1"/>
  <c r="CH200" i="29"/>
  <c r="CL200" i="29" s="1"/>
  <c r="CE200" i="29"/>
  <c r="CI200" i="29" s="1"/>
  <c r="CF200" i="29"/>
  <c r="CJ200" i="29" s="1"/>
  <c r="CG200" i="29"/>
  <c r="CK200" i="29" s="1"/>
  <c r="CE99" i="29"/>
  <c r="CI99" i="29" s="1"/>
  <c r="CF99" i="29"/>
  <c r="CJ99" i="29" s="1"/>
  <c r="CG99" i="29"/>
  <c r="CK99" i="29" s="1"/>
  <c r="CH99" i="29"/>
  <c r="CL99" i="29" s="1"/>
  <c r="CH90" i="29"/>
  <c r="CL90" i="29" s="1"/>
  <c r="CE90" i="29"/>
  <c r="CI90" i="29" s="1"/>
  <c r="CF90" i="29"/>
  <c r="CJ90" i="29" s="1"/>
  <c r="CG90" i="29"/>
  <c r="CK90" i="29" s="1"/>
  <c r="CE291" i="29"/>
  <c r="CI291" i="29" s="1"/>
  <c r="CF291" i="29"/>
  <c r="CJ291" i="29" s="1"/>
  <c r="CG291" i="29"/>
  <c r="CK291" i="29" s="1"/>
  <c r="CH291" i="29"/>
  <c r="CE256" i="29"/>
  <c r="CF256" i="29"/>
  <c r="CG256" i="29"/>
  <c r="CK256" i="29" s="1"/>
  <c r="CH256" i="29"/>
  <c r="CL256" i="29" s="1"/>
  <c r="CE271" i="29"/>
  <c r="CF271" i="29"/>
  <c r="CJ271" i="29" s="1"/>
  <c r="CG271" i="29"/>
  <c r="CK271" i="29" s="1"/>
  <c r="CH271" i="29"/>
  <c r="CL271" i="29" s="1"/>
  <c r="CE54" i="29"/>
  <c r="CI54" i="29" s="1"/>
  <c r="CF54" i="29"/>
  <c r="CJ54" i="29" s="1"/>
  <c r="CG54" i="29"/>
  <c r="CK54" i="29" s="1"/>
  <c r="CH54" i="29"/>
  <c r="CL54" i="29" s="1"/>
  <c r="CH190" i="29"/>
  <c r="CL190" i="29" s="1"/>
  <c r="CE190" i="29"/>
  <c r="CI190" i="29" s="1"/>
  <c r="CF190" i="29"/>
  <c r="CG190" i="29"/>
  <c r="CK190" i="29" s="1"/>
  <c r="CE196" i="29"/>
  <c r="CI196" i="29" s="1"/>
  <c r="CF196" i="29"/>
  <c r="CJ196" i="29" s="1"/>
  <c r="CG196" i="29"/>
  <c r="CK196" i="29" s="1"/>
  <c r="CH196" i="29"/>
  <c r="CH115" i="29"/>
  <c r="CE115" i="29"/>
  <c r="CF115" i="29"/>
  <c r="CG115" i="29"/>
  <c r="CK115" i="29" s="1"/>
  <c r="CE298" i="29"/>
  <c r="CI298" i="29" s="1"/>
  <c r="CF298" i="29"/>
  <c r="CJ298" i="29" s="1"/>
  <c r="CG298" i="29"/>
  <c r="CK298" i="29" s="1"/>
  <c r="CH298" i="29"/>
  <c r="CL298" i="29" s="1"/>
  <c r="CE272" i="29"/>
  <c r="CI272" i="29" s="1"/>
  <c r="CF272" i="29"/>
  <c r="CJ272" i="29" s="1"/>
  <c r="CG272" i="29"/>
  <c r="CK272" i="29" s="1"/>
  <c r="CH272" i="29"/>
  <c r="CL272" i="29" s="1"/>
  <c r="CE211" i="29"/>
  <c r="CI211" i="29" s="1"/>
  <c r="CF211" i="29"/>
  <c r="CJ211" i="29" s="1"/>
  <c r="CG211" i="29"/>
  <c r="CK211" i="29" s="1"/>
  <c r="CH211" i="29"/>
  <c r="CL211" i="29" s="1"/>
  <c r="CH150" i="29"/>
  <c r="CL150" i="29" s="1"/>
  <c r="CE150" i="29"/>
  <c r="CI150" i="29" s="1"/>
  <c r="CF150" i="29"/>
  <c r="CJ150" i="29" s="1"/>
  <c r="CG150" i="29"/>
  <c r="CE89" i="29"/>
  <c r="CF89" i="29"/>
  <c r="CG89" i="29"/>
  <c r="CK89" i="29" s="1"/>
  <c r="CH89" i="29"/>
  <c r="CL89" i="29" s="1"/>
  <c r="CE307" i="29"/>
  <c r="CF307" i="29"/>
  <c r="CJ307" i="29" s="1"/>
  <c r="CG307" i="29"/>
  <c r="CK307" i="29" s="1"/>
  <c r="CH307" i="29"/>
  <c r="CL307" i="29" s="1"/>
  <c r="CE226" i="29"/>
  <c r="CI226" i="29" s="1"/>
  <c r="CF226" i="29"/>
  <c r="CJ226" i="29" s="1"/>
  <c r="CG226" i="29"/>
  <c r="CK226" i="29" s="1"/>
  <c r="CH226" i="29"/>
  <c r="CL226" i="29" s="1"/>
  <c r="CH145" i="29"/>
  <c r="CL145" i="29" s="1"/>
  <c r="CE145" i="29"/>
  <c r="CI145" i="29" s="1"/>
  <c r="CF145" i="29"/>
  <c r="CJ145" i="29" s="1"/>
  <c r="CG145" i="29"/>
  <c r="CK145" i="29" s="1"/>
  <c r="CE44" i="29"/>
  <c r="CI44" i="29" s="1"/>
  <c r="CF44" i="29"/>
  <c r="CJ44" i="29" s="1"/>
  <c r="CG44" i="29"/>
  <c r="CK44" i="29" s="1"/>
  <c r="CH44" i="29"/>
  <c r="CE302" i="29"/>
  <c r="CF302" i="29"/>
  <c r="CG302" i="29"/>
  <c r="CH302" i="29"/>
  <c r="CL302" i="29" s="1"/>
  <c r="CE241" i="29"/>
  <c r="CI241" i="29" s="1"/>
  <c r="CF241" i="29"/>
  <c r="CJ241" i="29" s="1"/>
  <c r="CG241" i="29"/>
  <c r="CK241" i="29" s="1"/>
  <c r="CH241" i="29"/>
  <c r="CL241" i="29" s="1"/>
  <c r="CE180" i="29"/>
  <c r="CI180" i="29" s="1"/>
  <c r="CF180" i="29"/>
  <c r="CJ180" i="29" s="1"/>
  <c r="CH180" i="29"/>
  <c r="CL180" i="29" s="1"/>
  <c r="CG180" i="29"/>
  <c r="CK180" i="29" s="1"/>
  <c r="CE79" i="29"/>
  <c r="CF79" i="29"/>
  <c r="CJ79" i="29" s="1"/>
  <c r="CG79" i="29"/>
  <c r="CK79" i="29" s="1"/>
  <c r="CH79" i="29"/>
  <c r="CL79" i="29" s="1"/>
  <c r="CH120" i="29"/>
  <c r="CL120" i="29" s="1"/>
  <c r="CE120" i="29"/>
  <c r="CI120" i="29" s="1"/>
  <c r="CF120" i="29"/>
  <c r="CJ120" i="29" s="1"/>
  <c r="CG120" i="29"/>
  <c r="CE194" i="29"/>
  <c r="CF194" i="29"/>
  <c r="CG194" i="29"/>
  <c r="CH194" i="29"/>
  <c r="CL194" i="29" s="1"/>
  <c r="CE77" i="29"/>
  <c r="CI77" i="29" s="1"/>
  <c r="CF77" i="29"/>
  <c r="CJ77" i="29" s="1"/>
  <c r="CG77" i="29"/>
  <c r="CK77" i="29" s="1"/>
  <c r="CH77" i="29"/>
  <c r="CL77" i="29" s="1"/>
  <c r="CE78" i="29"/>
  <c r="CI78" i="29" s="1"/>
  <c r="CF78" i="29"/>
  <c r="CJ78" i="29" s="1"/>
  <c r="CG78" i="29"/>
  <c r="CK78" i="29" s="1"/>
  <c r="CH78" i="29"/>
  <c r="CL78" i="29" s="1"/>
  <c r="CH210" i="29"/>
  <c r="CL210" i="29" s="1"/>
  <c r="CE210" i="29"/>
  <c r="CF210" i="29"/>
  <c r="CJ210" i="29" s="1"/>
  <c r="CG210" i="29"/>
  <c r="CK210" i="29" s="1"/>
  <c r="CE155" i="29"/>
  <c r="CI155" i="29" s="1"/>
  <c r="CF155" i="29"/>
  <c r="CJ155" i="29" s="1"/>
  <c r="CG155" i="29"/>
  <c r="CK155" i="29" s="1"/>
  <c r="CH155" i="29"/>
  <c r="CE266" i="29"/>
  <c r="CF266" i="29"/>
  <c r="CJ266" i="29" s="1"/>
  <c r="CG266" i="29"/>
  <c r="CK266" i="29" s="1"/>
  <c r="CH266" i="29"/>
  <c r="CL266" i="29" s="1"/>
  <c r="CE176" i="29"/>
  <c r="CI176" i="29" s="1"/>
  <c r="CF176" i="29"/>
  <c r="CJ176" i="29" s="1"/>
  <c r="CG176" i="29"/>
  <c r="CK176" i="29" s="1"/>
  <c r="CH176" i="29"/>
  <c r="CL176" i="29" s="1"/>
  <c r="CH95" i="29"/>
  <c r="CL95" i="29" s="1"/>
  <c r="CE95" i="29"/>
  <c r="CI95" i="29" s="1"/>
  <c r="CF95" i="29"/>
  <c r="CJ95" i="29" s="1"/>
  <c r="CG95" i="29"/>
  <c r="CK95" i="29" s="1"/>
  <c r="CE293" i="29"/>
  <c r="CI293" i="29" s="1"/>
  <c r="CF293" i="29"/>
  <c r="CJ293" i="29" s="1"/>
  <c r="CG293" i="29"/>
  <c r="CK293" i="29" s="1"/>
  <c r="CH293" i="29"/>
  <c r="CL293" i="29" s="1"/>
  <c r="CE252" i="29"/>
  <c r="CI252" i="29" s="1"/>
  <c r="CF252" i="29"/>
  <c r="CJ252" i="29" s="1"/>
  <c r="CG252" i="29"/>
  <c r="CK252" i="29" s="1"/>
  <c r="CH252" i="29"/>
  <c r="CE191" i="29"/>
  <c r="CF191" i="29"/>
  <c r="CG191" i="29"/>
  <c r="CH191" i="29"/>
  <c r="CL191" i="29" s="1"/>
  <c r="CH130" i="29"/>
  <c r="CL130" i="29" s="1"/>
  <c r="CE130" i="29"/>
  <c r="CI130" i="29" s="1"/>
  <c r="CF130" i="29"/>
  <c r="CJ130" i="29" s="1"/>
  <c r="CG130" i="29"/>
  <c r="CK130" i="29" s="1"/>
  <c r="CE69" i="29"/>
  <c r="CF69" i="29"/>
  <c r="CJ69" i="29" s="1"/>
  <c r="CG69" i="29"/>
  <c r="CK69" i="29" s="1"/>
  <c r="CH69" i="29"/>
  <c r="CL69" i="29" s="1"/>
  <c r="CE287" i="29"/>
  <c r="CF287" i="29"/>
  <c r="CJ287" i="29" s="1"/>
  <c r="CG287" i="29"/>
  <c r="CK287" i="29" s="1"/>
  <c r="CH287" i="29"/>
  <c r="CL287" i="29" s="1"/>
  <c r="CE206" i="29"/>
  <c r="CI206" i="29" s="1"/>
  <c r="CF206" i="29"/>
  <c r="CJ206" i="29" s="1"/>
  <c r="CG206" i="29"/>
  <c r="CK206" i="29" s="1"/>
  <c r="CH206" i="29"/>
  <c r="CE125" i="29"/>
  <c r="CF125" i="29"/>
  <c r="CH125" i="29"/>
  <c r="CL125" i="29" s="1"/>
  <c r="CG125" i="29"/>
  <c r="CK125" i="29" s="1"/>
  <c r="CE24" i="29"/>
  <c r="CI24" i="29" s="1"/>
  <c r="CF24" i="29"/>
  <c r="CJ24" i="29" s="1"/>
  <c r="CG24" i="29"/>
  <c r="CK24" i="29" s="1"/>
  <c r="CH24" i="29"/>
  <c r="CL24" i="29" s="1"/>
  <c r="CE282" i="29"/>
  <c r="CI282" i="29" s="1"/>
  <c r="CF282" i="29"/>
  <c r="CJ282" i="29" s="1"/>
  <c r="CG282" i="29"/>
  <c r="CK282" i="29" s="1"/>
  <c r="CH282" i="29"/>
  <c r="CL282" i="29" s="1"/>
  <c r="CE221" i="29"/>
  <c r="CI221" i="29" s="1"/>
  <c r="CF221" i="29"/>
  <c r="CJ221" i="29" s="1"/>
  <c r="CG221" i="29"/>
  <c r="CK221" i="29" s="1"/>
  <c r="CH221" i="29"/>
  <c r="CL221" i="29" s="1"/>
  <c r="CH160" i="29"/>
  <c r="CL160" i="29" s="1"/>
  <c r="CE160" i="29"/>
  <c r="CI160" i="29" s="1"/>
  <c r="CF160" i="29"/>
  <c r="CJ160" i="29" s="1"/>
  <c r="CG160" i="29"/>
  <c r="CE59" i="29"/>
  <c r="CF59" i="29"/>
  <c r="CG59" i="29"/>
  <c r="CK59" i="29" s="1"/>
  <c r="CH59" i="29"/>
  <c r="CL59" i="29" s="1"/>
  <c r="CE151" i="29"/>
  <c r="CI151" i="29" s="1"/>
  <c r="CF151" i="29"/>
  <c r="CJ151" i="29" s="1"/>
  <c r="CG151" i="29"/>
  <c r="CK151" i="29" s="1"/>
  <c r="CH151" i="29"/>
  <c r="CL151" i="29" s="1"/>
  <c r="CE57" i="29"/>
  <c r="CI57" i="29" s="1"/>
  <c r="CF57" i="29"/>
  <c r="CJ57" i="29" s="1"/>
  <c r="CG57" i="29"/>
  <c r="CK57" i="29" s="1"/>
  <c r="CH57" i="29"/>
  <c r="CL57" i="29" s="1"/>
  <c r="CE277" i="29"/>
  <c r="CI277" i="29" s="1"/>
  <c r="CF277" i="29"/>
  <c r="CJ277" i="29" s="1"/>
  <c r="CG277" i="29"/>
  <c r="CK277" i="29" s="1"/>
  <c r="CH277" i="29"/>
  <c r="CL277" i="29" s="1"/>
  <c r="CE74" i="29"/>
  <c r="CI74" i="29" s="1"/>
  <c r="CF74" i="29"/>
  <c r="CJ74" i="29" s="1"/>
  <c r="CG74" i="29"/>
  <c r="CK74" i="29" s="1"/>
  <c r="CH74" i="29"/>
  <c r="CE236" i="29"/>
  <c r="CF236" i="29"/>
  <c r="CG236" i="29"/>
  <c r="CK236" i="29" s="1"/>
  <c r="CH236" i="29"/>
  <c r="CL236" i="29" s="1"/>
  <c r="CE28" i="29"/>
  <c r="CI28" i="29" s="1"/>
  <c r="CF28" i="29"/>
  <c r="CJ28" i="29" s="1"/>
  <c r="CG28" i="29"/>
  <c r="CK28" i="29" s="1"/>
  <c r="CH28" i="29"/>
  <c r="CL28" i="29" s="1"/>
  <c r="CE156" i="29"/>
  <c r="CF156" i="29"/>
  <c r="CJ156" i="29" s="1"/>
  <c r="CG156" i="29"/>
  <c r="CK156" i="29" s="1"/>
  <c r="CH156" i="29"/>
  <c r="CL156" i="29" s="1"/>
  <c r="CH75" i="29"/>
  <c r="CL75" i="29" s="1"/>
  <c r="CE75" i="29"/>
  <c r="CI75" i="29" s="1"/>
  <c r="CF75" i="29"/>
  <c r="CJ75" i="29" s="1"/>
  <c r="CG75" i="29"/>
  <c r="CK75" i="29" s="1"/>
  <c r="CE273" i="29"/>
  <c r="CI273" i="29" s="1"/>
  <c r="CF273" i="29"/>
  <c r="CJ273" i="29" s="1"/>
  <c r="CG273" i="29"/>
  <c r="CK273" i="29" s="1"/>
  <c r="CH273" i="29"/>
  <c r="CE232" i="29"/>
  <c r="CF232" i="29"/>
  <c r="CG232" i="29"/>
  <c r="CK232" i="29" s="1"/>
  <c r="CH232" i="29"/>
  <c r="CL232" i="29" s="1"/>
  <c r="CE171" i="29"/>
  <c r="CI171" i="29" s="1"/>
  <c r="CF171" i="29"/>
  <c r="CJ171" i="29" s="1"/>
  <c r="CG171" i="29"/>
  <c r="CK171" i="29" s="1"/>
  <c r="CH171" i="29"/>
  <c r="CL171" i="29" s="1"/>
  <c r="CH110" i="29"/>
  <c r="CL110" i="29" s="1"/>
  <c r="CE110" i="29"/>
  <c r="CI110" i="29" s="1"/>
  <c r="CF110" i="29"/>
  <c r="CJ110" i="29" s="1"/>
  <c r="CG110" i="29"/>
  <c r="CK110" i="29" s="1"/>
  <c r="CE49" i="29"/>
  <c r="CI49" i="29" s="1"/>
  <c r="CF49" i="29"/>
  <c r="CJ49" i="29" s="1"/>
  <c r="CG49" i="29"/>
  <c r="CK49" i="29" s="1"/>
  <c r="CH49" i="29"/>
  <c r="CL49" i="29" s="1"/>
  <c r="CE267" i="29"/>
  <c r="CI267" i="29" s="1"/>
  <c r="CF267" i="29"/>
  <c r="CJ267" i="29" s="1"/>
  <c r="CG267" i="29"/>
  <c r="CK267" i="29" s="1"/>
  <c r="CH267" i="29"/>
  <c r="CE186" i="29"/>
  <c r="CF186" i="29"/>
  <c r="CG186" i="29"/>
  <c r="CH186" i="29"/>
  <c r="CL186" i="29" s="1"/>
  <c r="CH105" i="29"/>
  <c r="CL105" i="29" s="1"/>
  <c r="CE105" i="29"/>
  <c r="CI105" i="29" s="1"/>
  <c r="CF105" i="29"/>
  <c r="CJ105" i="29" s="1"/>
  <c r="CG105" i="29"/>
  <c r="CK105" i="29" s="1"/>
  <c r="CE278" i="29"/>
  <c r="CI278" i="29" s="1"/>
  <c r="CF278" i="29"/>
  <c r="CG278" i="29"/>
  <c r="CK278" i="29" s="1"/>
  <c r="CH278" i="29"/>
  <c r="CE262" i="29"/>
  <c r="CI262" i="29" s="1"/>
  <c r="CF262" i="29"/>
  <c r="CJ262" i="29" s="1"/>
  <c r="CG262" i="29"/>
  <c r="CK262" i="29" s="1"/>
  <c r="CH262" i="29"/>
  <c r="CL262" i="29" s="1"/>
  <c r="CE201" i="29"/>
  <c r="CI201" i="29" s="1"/>
  <c r="CF201" i="29"/>
  <c r="CJ201" i="29" s="1"/>
  <c r="CG201" i="29"/>
  <c r="CK201" i="29" s="1"/>
  <c r="CH201" i="29"/>
  <c r="CH140" i="29"/>
  <c r="CE140" i="29"/>
  <c r="CF140" i="29"/>
  <c r="CG140" i="29"/>
  <c r="CK140" i="29" s="1"/>
  <c r="CE39" i="29"/>
  <c r="CI39" i="29" s="1"/>
  <c r="CF39" i="29"/>
  <c r="CJ39" i="29" s="1"/>
  <c r="CG39" i="29"/>
  <c r="CK39" i="29" s="1"/>
  <c r="CH39" i="29"/>
  <c r="CL39" i="29" s="1"/>
  <c r="CJ118" i="29"/>
  <c r="CL118" i="29"/>
  <c r="CI116" i="29"/>
  <c r="CI35" i="29"/>
  <c r="CI233" i="29"/>
  <c r="CI192" i="29"/>
  <c r="CK194" i="29"/>
  <c r="CJ194" i="29"/>
  <c r="CI131" i="29"/>
  <c r="CJ72" i="29"/>
  <c r="CK72" i="29"/>
  <c r="CI70" i="29"/>
  <c r="CJ310" i="29"/>
  <c r="CK310" i="29"/>
  <c r="CI308" i="29"/>
  <c r="CL310" i="29"/>
  <c r="CJ229" i="29"/>
  <c r="CI227" i="29"/>
  <c r="CK229" i="29"/>
  <c r="CL229" i="29"/>
  <c r="CJ148" i="29"/>
  <c r="CI146" i="29"/>
  <c r="CI65" i="29"/>
  <c r="CI303" i="29"/>
  <c r="CI222" i="29"/>
  <c r="CI161" i="29"/>
  <c r="CL102" i="29"/>
  <c r="CK102" i="29"/>
  <c r="CJ102" i="29"/>
  <c r="CI217" i="29"/>
  <c r="CI213" i="29"/>
  <c r="CI172" i="29"/>
  <c r="CI111" i="29"/>
  <c r="CJ52" i="29"/>
  <c r="CK52" i="29"/>
  <c r="CL52" i="29"/>
  <c r="CI288" i="29"/>
  <c r="CI207" i="29"/>
  <c r="CI126" i="29"/>
  <c r="CI45" i="29"/>
  <c r="CJ285" i="29"/>
  <c r="CK285" i="29"/>
  <c r="CL285" i="29"/>
  <c r="CI283" i="29"/>
  <c r="CJ204" i="29"/>
  <c r="CI202" i="29"/>
  <c r="CL204" i="29"/>
  <c r="CK204" i="29"/>
  <c r="CI141" i="29"/>
  <c r="CJ143" i="29"/>
  <c r="CL143" i="29"/>
  <c r="CI80" i="29"/>
  <c r="CI166" i="29"/>
  <c r="CI76" i="29"/>
  <c r="CI294" i="29"/>
  <c r="CL195" i="29"/>
  <c r="CI193" i="29"/>
  <c r="CI152" i="29"/>
  <c r="CL154" i="29"/>
  <c r="CJ93" i="29"/>
  <c r="CK93" i="29"/>
  <c r="CL93" i="29"/>
  <c r="CI91" i="29"/>
  <c r="CI268" i="29"/>
  <c r="CI187" i="29"/>
  <c r="CJ189" i="29"/>
  <c r="CK189" i="29"/>
  <c r="CL189" i="29"/>
  <c r="CI106" i="29"/>
  <c r="CI25" i="29"/>
  <c r="CJ265" i="29"/>
  <c r="CL265" i="29"/>
  <c r="CI263" i="29"/>
  <c r="CK265" i="29"/>
  <c r="CI182" i="29"/>
  <c r="CL123" i="29"/>
  <c r="CI121" i="29"/>
  <c r="CK123" i="29"/>
  <c r="CJ123" i="29"/>
  <c r="CI60" i="29"/>
  <c r="CI55" i="29"/>
  <c r="CI56" i="29"/>
  <c r="CJ276" i="29"/>
  <c r="CI274" i="29"/>
  <c r="CI173" i="29"/>
  <c r="CK175" i="29"/>
  <c r="CI132" i="29"/>
  <c r="CK134" i="29"/>
  <c r="CJ134" i="29"/>
  <c r="CI71" i="29"/>
  <c r="CL140" i="29"/>
  <c r="CI138" i="29"/>
  <c r="CJ140" i="29"/>
  <c r="CI248" i="29"/>
  <c r="CI167" i="29"/>
  <c r="CI86" i="29"/>
  <c r="CK88" i="29"/>
  <c r="CK306" i="29"/>
  <c r="CL306" i="29"/>
  <c r="CI304" i="29"/>
  <c r="CJ306" i="29"/>
  <c r="CL245" i="29"/>
  <c r="CI243" i="29"/>
  <c r="CJ164" i="29"/>
  <c r="CI162" i="29"/>
  <c r="CI101" i="29"/>
  <c r="CK103" i="29"/>
  <c r="CI40" i="29"/>
  <c r="CL183" i="29"/>
  <c r="CK183" i="29"/>
  <c r="CJ183" i="29"/>
  <c r="CJ38" i="29"/>
  <c r="CK38" i="29"/>
  <c r="CI36" i="29"/>
  <c r="CJ256" i="29"/>
  <c r="CI254" i="29"/>
  <c r="CL155" i="29"/>
  <c r="CI153" i="29"/>
  <c r="CI112" i="29"/>
  <c r="CK114" i="29"/>
  <c r="CJ114" i="29"/>
  <c r="CI51" i="29"/>
  <c r="CI237" i="29"/>
  <c r="CI228" i="29"/>
  <c r="CJ149" i="29"/>
  <c r="CI147" i="29"/>
  <c r="CK149" i="29"/>
  <c r="CI284" i="29"/>
  <c r="CL225" i="29"/>
  <c r="CI223" i="29"/>
  <c r="CI142" i="29"/>
  <c r="CL83" i="29"/>
  <c r="CI81" i="29"/>
  <c r="CK83" i="29"/>
  <c r="CJ83" i="29"/>
  <c r="CK199" i="29"/>
  <c r="CL199" i="29"/>
  <c r="CI197" i="29"/>
  <c r="CJ199" i="29"/>
  <c r="CI178" i="29"/>
  <c r="CJ236" i="29"/>
  <c r="CI234" i="29"/>
  <c r="CK135" i="29"/>
  <c r="CI133" i="29"/>
  <c r="CI92" i="29"/>
  <c r="CI31" i="29"/>
  <c r="CJ311" i="29"/>
  <c r="CI309" i="29"/>
  <c r="CI208" i="29"/>
  <c r="CI127" i="29"/>
  <c r="CI46" i="29"/>
  <c r="CI264" i="29"/>
  <c r="CI203" i="29"/>
  <c r="CI122" i="29"/>
  <c r="CI61" i="29"/>
  <c r="CJ63" i="29"/>
  <c r="CJ301" i="29"/>
  <c r="CI299" i="29"/>
  <c r="CJ92" i="29"/>
  <c r="CL92" i="29"/>
  <c r="CK92" i="29"/>
  <c r="CI58" i="29"/>
  <c r="CL60" i="29"/>
  <c r="CJ60" i="29"/>
  <c r="CK60" i="29"/>
  <c r="CI157" i="29"/>
  <c r="CI214" i="29"/>
  <c r="CJ115" i="29"/>
  <c r="CL115" i="29"/>
  <c r="CI113" i="29"/>
  <c r="CI72" i="29"/>
  <c r="CL74" i="29"/>
  <c r="CK160" i="29"/>
  <c r="CI289" i="29"/>
  <c r="CL291" i="29"/>
  <c r="CJ190" i="29"/>
  <c r="CI188" i="29"/>
  <c r="CI107" i="29"/>
  <c r="CL109" i="29"/>
  <c r="CI26" i="29"/>
  <c r="CI244" i="29"/>
  <c r="CK185" i="29"/>
  <c r="CI183" i="29"/>
  <c r="CL104" i="29"/>
  <c r="CI102" i="29"/>
  <c r="CL43" i="29"/>
  <c r="CI41" i="29"/>
  <c r="CK43" i="29"/>
  <c r="CJ43" i="29"/>
  <c r="CJ281" i="29"/>
  <c r="CI279" i="29"/>
  <c r="CK281" i="29"/>
  <c r="CL196" i="29"/>
  <c r="CI194" i="29"/>
  <c r="CI93" i="29"/>
  <c r="CI52" i="29"/>
  <c r="CJ299" i="29"/>
  <c r="CK299" i="29"/>
  <c r="CL299" i="29"/>
  <c r="CI269" i="29"/>
  <c r="CI168" i="29"/>
  <c r="CJ170" i="29"/>
  <c r="CJ89" i="29"/>
  <c r="CI87" i="29"/>
  <c r="CI238" i="29"/>
  <c r="CK240" i="29"/>
  <c r="CI224" i="29"/>
  <c r="CI163" i="29"/>
  <c r="CI82" i="29"/>
  <c r="CI21" i="29"/>
  <c r="CL23" i="29"/>
  <c r="CK261" i="29"/>
  <c r="CJ261" i="29"/>
  <c r="CI259" i="29"/>
  <c r="CI174" i="29"/>
  <c r="CI73" i="29"/>
  <c r="CI32" i="29"/>
  <c r="CJ34" i="29"/>
  <c r="CL34" i="29"/>
  <c r="CJ312" i="29"/>
  <c r="CL312" i="29"/>
  <c r="CI310" i="29"/>
  <c r="CK312" i="29"/>
  <c r="CI249" i="29"/>
  <c r="CK150" i="29"/>
  <c r="CI148" i="29"/>
  <c r="CI67" i="29"/>
  <c r="CL206" i="29"/>
  <c r="CI204" i="29"/>
  <c r="CI198" i="29"/>
  <c r="CJ255" i="29"/>
  <c r="CK255" i="29"/>
  <c r="CL255" i="29"/>
  <c r="CI253" i="29"/>
  <c r="CJ55" i="29"/>
  <c r="CK55" i="29"/>
  <c r="CL55" i="29"/>
  <c r="CL260" i="29"/>
  <c r="CI258" i="29"/>
  <c r="CJ260" i="29"/>
  <c r="CK260" i="29"/>
  <c r="CI229" i="29"/>
  <c r="CI128" i="29"/>
  <c r="CI47" i="29"/>
  <c r="CI285" i="29"/>
  <c r="CK186" i="29"/>
  <c r="CJ186" i="29"/>
  <c r="CJ125" i="29"/>
  <c r="CI123" i="29"/>
  <c r="CL44" i="29"/>
  <c r="CI42" i="29"/>
  <c r="CJ179" i="29"/>
  <c r="CK179" i="29"/>
  <c r="CL179" i="29"/>
  <c r="CI177" i="29"/>
  <c r="CI219" i="29"/>
  <c r="CJ98" i="29"/>
  <c r="CK98" i="29"/>
  <c r="CI96" i="29"/>
  <c r="CK35" i="29"/>
  <c r="CJ35" i="29"/>
  <c r="CL35" i="29"/>
  <c r="CK119" i="29"/>
  <c r="CL119" i="29"/>
  <c r="CI117" i="29"/>
  <c r="CJ119" i="29"/>
  <c r="CI270" i="29"/>
  <c r="CI108" i="29"/>
  <c r="CL29" i="29"/>
  <c r="CL267" i="29"/>
  <c r="CI265" i="29"/>
  <c r="CK166" i="29"/>
  <c r="CL166" i="29"/>
  <c r="CJ166" i="29"/>
  <c r="CI164" i="29"/>
  <c r="CI103" i="29"/>
  <c r="CI22" i="29"/>
  <c r="CK302" i="29"/>
  <c r="CJ302" i="29"/>
  <c r="CI199" i="29"/>
  <c r="CL201" i="29"/>
  <c r="CJ31" i="29"/>
  <c r="CK31" i="29"/>
  <c r="CL31" i="29"/>
  <c r="CJ59" i="29"/>
  <c r="CL252" i="29"/>
  <c r="CI189" i="29"/>
  <c r="CJ191" i="29"/>
  <c r="CK191" i="29"/>
  <c r="CI88" i="29"/>
  <c r="CI218" i="29"/>
  <c r="CL220" i="29"/>
  <c r="CJ247" i="29"/>
  <c r="CK247" i="29"/>
  <c r="CL247" i="29"/>
  <c r="CI245" i="29"/>
  <c r="CI144" i="29"/>
  <c r="CK146" i="29"/>
  <c r="CJ85" i="29"/>
  <c r="CI83" i="29"/>
  <c r="CL85" i="29"/>
  <c r="CK85" i="29"/>
  <c r="CK120" i="29"/>
  <c r="CI118" i="29"/>
  <c r="CI179" i="29"/>
  <c r="CL181" i="29"/>
  <c r="CJ249" i="29"/>
  <c r="CI247" i="29"/>
  <c r="CL249" i="29"/>
  <c r="CK249" i="29"/>
  <c r="CI255" i="29"/>
  <c r="CK96" i="29"/>
  <c r="CL96" i="29"/>
  <c r="CJ96" i="29"/>
  <c r="CI169" i="29"/>
  <c r="CJ70" i="29"/>
  <c r="CI68" i="29"/>
  <c r="CK70" i="29"/>
  <c r="CL70" i="29"/>
  <c r="CJ308" i="29"/>
  <c r="CK308" i="29"/>
  <c r="CL308" i="29"/>
  <c r="CI306" i="29"/>
  <c r="CJ227" i="29"/>
  <c r="CK227" i="29"/>
  <c r="CL227" i="29"/>
  <c r="CI225" i="29"/>
  <c r="CK126" i="29"/>
  <c r="CL126" i="29"/>
  <c r="CJ126" i="29"/>
  <c r="CJ65" i="29"/>
  <c r="CI63" i="29"/>
  <c r="CL65" i="29"/>
  <c r="CK65" i="29"/>
  <c r="CI257" i="29"/>
  <c r="CI260" i="29"/>
  <c r="CJ161" i="29"/>
  <c r="CK161" i="29"/>
  <c r="CI159" i="29"/>
  <c r="CL161" i="29"/>
  <c r="CK138" i="29"/>
  <c r="CI136" i="29"/>
  <c r="CI275" i="29"/>
  <c r="CJ22" i="29"/>
  <c r="CK22" i="29"/>
  <c r="CL22" i="29"/>
  <c r="CJ50" i="29"/>
  <c r="CI48" i="29"/>
  <c r="CL50" i="29"/>
  <c r="CI286" i="29"/>
  <c r="CJ288" i="29"/>
  <c r="CK288" i="29"/>
  <c r="CL288" i="29"/>
  <c r="CJ207" i="29"/>
  <c r="CK207" i="29"/>
  <c r="CL207" i="29"/>
  <c r="CI205" i="29"/>
  <c r="CJ106" i="29"/>
  <c r="CK106" i="29"/>
  <c r="CL106" i="29"/>
  <c r="CJ45" i="29"/>
  <c r="CI43" i="29"/>
  <c r="CL45" i="29"/>
  <c r="CK45" i="29"/>
  <c r="CL303" i="29"/>
  <c r="CK303" i="29"/>
  <c r="CJ303" i="29"/>
  <c r="CK242" i="29"/>
  <c r="CJ242" i="29"/>
  <c r="CL242" i="29"/>
  <c r="CJ141" i="29"/>
  <c r="CI139" i="29"/>
  <c r="CK141" i="29"/>
  <c r="CL141" i="29"/>
  <c r="CJ122" i="29"/>
  <c r="CK122" i="29"/>
  <c r="CL122" i="29"/>
  <c r="CJ232" i="29"/>
  <c r="CI230" i="29"/>
  <c r="CJ253" i="29"/>
  <c r="CK253" i="29"/>
  <c r="CL253" i="29"/>
  <c r="CJ268" i="29"/>
  <c r="CK268" i="29"/>
  <c r="CL268" i="29"/>
  <c r="CI266" i="29"/>
  <c r="CK86" i="29"/>
  <c r="CI84" i="29"/>
  <c r="CJ86" i="29"/>
  <c r="CL86" i="29"/>
  <c r="CJ25" i="29"/>
  <c r="CK25" i="29"/>
  <c r="CL25" i="29"/>
  <c r="CK283" i="29"/>
  <c r="CI281" i="29"/>
  <c r="CJ222" i="29"/>
  <c r="CK222" i="29"/>
  <c r="CL222" i="29"/>
  <c r="CJ121" i="29"/>
  <c r="CK121" i="29"/>
  <c r="CL121" i="29"/>
  <c r="CJ87" i="29"/>
  <c r="CK87" i="29"/>
  <c r="CL87" i="29"/>
  <c r="CI85" i="29"/>
  <c r="CI134" i="29"/>
  <c r="CJ258" i="29"/>
  <c r="CK258" i="29"/>
  <c r="CL258" i="29"/>
  <c r="CI256" i="29"/>
  <c r="CI271" i="29"/>
  <c r="CL273" i="29"/>
  <c r="CK192" i="29"/>
  <c r="CI216" i="29"/>
  <c r="CL137" i="29"/>
  <c r="CK36" i="29"/>
  <c r="CI34" i="29"/>
  <c r="CL294" i="29"/>
  <c r="CJ294" i="29"/>
  <c r="CK294" i="29"/>
  <c r="CJ233" i="29"/>
  <c r="CK233" i="29"/>
  <c r="CL233" i="29"/>
  <c r="CJ172" i="29"/>
  <c r="CL172" i="29"/>
  <c r="CK172" i="29"/>
  <c r="CJ111" i="29"/>
  <c r="CK111" i="29"/>
  <c r="CL111" i="29"/>
  <c r="CI98" i="29"/>
  <c r="CL100" i="29"/>
  <c r="CJ100" i="29"/>
  <c r="CK248" i="29"/>
  <c r="CL248" i="29"/>
  <c r="CJ248" i="29"/>
  <c r="CJ167" i="29"/>
  <c r="CK167" i="29"/>
  <c r="CL167" i="29"/>
  <c r="CK66" i="29"/>
  <c r="CI64" i="29"/>
  <c r="CJ66" i="29"/>
  <c r="CL66" i="29"/>
  <c r="CJ139" i="29"/>
  <c r="CK263" i="29"/>
  <c r="CI261" i="29"/>
  <c r="CJ202" i="29"/>
  <c r="CL202" i="29"/>
  <c r="CK202" i="29"/>
  <c r="CJ101" i="29"/>
  <c r="CK101" i="29"/>
  <c r="CL101" i="29"/>
  <c r="CI212" i="29"/>
  <c r="CJ214" i="29"/>
  <c r="CL214" i="29"/>
  <c r="CK214" i="29"/>
  <c r="CI37" i="29"/>
  <c r="CJ217" i="29"/>
  <c r="CK217" i="29"/>
  <c r="CL217" i="29"/>
  <c r="CI195" i="29"/>
  <c r="CJ197" i="29"/>
  <c r="CK197" i="29"/>
  <c r="CL197" i="29"/>
  <c r="CK238" i="29"/>
  <c r="CJ238" i="29"/>
  <c r="CI236" i="29"/>
  <c r="CJ131" i="29"/>
  <c r="CK131" i="29"/>
  <c r="CL131" i="29"/>
  <c r="CJ198" i="29"/>
  <c r="CK198" i="29"/>
  <c r="CL198" i="29"/>
  <c r="CI115" i="29"/>
  <c r="CJ117" i="29"/>
  <c r="CK117" i="29"/>
  <c r="CL117" i="29"/>
  <c r="CJ274" i="29"/>
  <c r="CL274" i="29"/>
  <c r="CK274" i="29"/>
  <c r="CJ213" i="29"/>
  <c r="CL213" i="29"/>
  <c r="CK213" i="29"/>
  <c r="CJ152" i="29"/>
  <c r="CL152" i="29"/>
  <c r="CK152" i="29"/>
  <c r="CI89" i="29"/>
  <c r="CJ91" i="29"/>
  <c r="CK91" i="29"/>
  <c r="CL91" i="29"/>
  <c r="CK309" i="29"/>
  <c r="CI307" i="29"/>
  <c r="CJ228" i="29"/>
  <c r="CK228" i="29"/>
  <c r="CL228" i="29"/>
  <c r="CJ147" i="29"/>
  <c r="CK147" i="29"/>
  <c r="CL147" i="29"/>
  <c r="CJ46" i="29"/>
  <c r="CK46" i="29"/>
  <c r="CK304" i="29"/>
  <c r="CJ304" i="29"/>
  <c r="CL304" i="29"/>
  <c r="CI302" i="29"/>
  <c r="CK243" i="29"/>
  <c r="CJ243" i="29"/>
  <c r="CJ182" i="29"/>
  <c r="CL182" i="29"/>
  <c r="CK182" i="29"/>
  <c r="CJ81" i="29"/>
  <c r="CK81" i="29"/>
  <c r="CI79" i="29"/>
  <c r="CL81" i="29"/>
  <c r="CK244" i="29"/>
  <c r="CI242" i="29"/>
  <c r="CI38" i="29"/>
  <c r="CJ40" i="29"/>
  <c r="CL40" i="29"/>
  <c r="CK40" i="29"/>
  <c r="CK237" i="29"/>
  <c r="CJ116" i="29"/>
  <c r="CK116" i="29"/>
  <c r="CL116" i="29"/>
  <c r="CI114" i="29"/>
  <c r="CK76" i="29"/>
  <c r="CI149" i="29"/>
  <c r="CK56" i="29"/>
  <c r="CJ30" i="29"/>
  <c r="CL30" i="29"/>
  <c r="CK178" i="29"/>
  <c r="CJ295" i="29"/>
  <c r="CL295" i="29"/>
  <c r="CL254" i="29"/>
  <c r="CJ254" i="29"/>
  <c r="CK254" i="29"/>
  <c r="CJ193" i="29"/>
  <c r="CL193" i="29"/>
  <c r="CI191" i="29"/>
  <c r="CK193" i="29"/>
  <c r="CJ132" i="29"/>
  <c r="CL132" i="29"/>
  <c r="CK132" i="29"/>
  <c r="CI69" i="29"/>
  <c r="CJ71" i="29"/>
  <c r="CK71" i="29"/>
  <c r="CL71" i="29"/>
  <c r="CJ289" i="29"/>
  <c r="CI287" i="29"/>
  <c r="CK289" i="29"/>
  <c r="CL289" i="29"/>
  <c r="CJ208" i="29"/>
  <c r="CK208" i="29"/>
  <c r="CL208" i="29"/>
  <c r="CJ127" i="29"/>
  <c r="CK127" i="29"/>
  <c r="CL127" i="29"/>
  <c r="CI125" i="29"/>
  <c r="CK26" i="29"/>
  <c r="CJ26" i="29"/>
  <c r="CL26" i="29"/>
  <c r="CJ284" i="29"/>
  <c r="CK284" i="29"/>
  <c r="CL284" i="29"/>
  <c r="CK223" i="29"/>
  <c r="CJ162" i="29"/>
  <c r="CL162" i="29"/>
  <c r="CK162" i="29"/>
  <c r="CJ61" i="29"/>
  <c r="CI59" i="29"/>
  <c r="CL61" i="29"/>
  <c r="CK61" i="29"/>
  <c r="CJ153" i="29"/>
  <c r="CL153" i="29"/>
  <c r="CK153" i="29"/>
  <c r="CJ297" i="29"/>
  <c r="CK297" i="29"/>
  <c r="CL297" i="29"/>
  <c r="CL80" i="29"/>
  <c r="CJ80" i="29"/>
  <c r="CK80" i="29"/>
  <c r="CJ278" i="29"/>
  <c r="CL278" i="29"/>
  <c r="CJ279" i="29"/>
  <c r="CK279" i="29"/>
  <c r="CL279" i="29"/>
  <c r="CJ177" i="29"/>
  <c r="CK177" i="29"/>
  <c r="CL177" i="29"/>
  <c r="CJ212" i="29"/>
  <c r="CI210" i="29"/>
  <c r="CK212" i="29"/>
  <c r="CJ157" i="29"/>
  <c r="CK157" i="29"/>
  <c r="CL157" i="29"/>
  <c r="CJ187" i="29"/>
  <c r="CK187" i="29"/>
  <c r="CL187" i="29"/>
  <c r="CI185" i="29"/>
  <c r="CK158" i="29"/>
  <c r="CI156" i="29"/>
  <c r="CJ275" i="29"/>
  <c r="CK275" i="29"/>
  <c r="CL275" i="29"/>
  <c r="CI232" i="29"/>
  <c r="CK234" i="29"/>
  <c r="CJ234" i="29"/>
  <c r="CL234" i="29"/>
  <c r="CJ173" i="29"/>
  <c r="CL173" i="29"/>
  <c r="CK173" i="29"/>
  <c r="CJ112" i="29"/>
  <c r="CL112" i="29"/>
  <c r="CK112" i="29"/>
  <c r="CJ51" i="29"/>
  <c r="CK51" i="29"/>
  <c r="CL51" i="29"/>
  <c r="CJ269" i="29"/>
  <c r="CL269" i="29"/>
  <c r="CK269" i="29"/>
  <c r="CJ188" i="29"/>
  <c r="CK188" i="29"/>
  <c r="CL188" i="29"/>
  <c r="CI186" i="29"/>
  <c r="CJ107" i="29"/>
  <c r="CK107" i="29"/>
  <c r="CL107" i="29"/>
  <c r="CJ264" i="29"/>
  <c r="CK264" i="29"/>
  <c r="CL264" i="29"/>
  <c r="CK203" i="29"/>
  <c r="CK142" i="29"/>
  <c r="CI140" i="29"/>
  <c r="CJ142" i="29"/>
  <c r="CL142" i="29"/>
  <c r="CJ41" i="29"/>
  <c r="CK41" i="29"/>
  <c r="CL41" i="29"/>
  <c r="AA18" i="29"/>
  <c r="AB18" i="29" s="1"/>
  <c r="B67" i="3"/>
  <c r="B73" i="3" s="1"/>
  <c r="AT10" i="11"/>
  <c r="AT13" i="11" s="1"/>
  <c r="AY11" i="11"/>
  <c r="F60" i="3"/>
  <c r="P14" i="30"/>
  <c r="E9" i="30"/>
  <c r="E16" i="30" s="1"/>
  <c r="AY12" i="11"/>
  <c r="AV12" i="11"/>
  <c r="C51" i="3"/>
  <c r="D32" i="6"/>
  <c r="B119" i="5"/>
  <c r="AS6" i="11"/>
  <c r="C46" i="3"/>
  <c r="AS10" i="11"/>
  <c r="AZ8" i="11"/>
  <c r="F48" i="3"/>
  <c r="F46" i="3" s="1"/>
  <c r="B32" i="6"/>
  <c r="P9" i="30"/>
  <c r="H52" i="3"/>
  <c r="G47" i="3"/>
  <c r="BC7" i="11"/>
  <c r="BB12" i="11"/>
  <c r="F53" i="3"/>
  <c r="G49" i="3"/>
  <c r="BC9" i="11"/>
  <c r="P16" i="30" l="1"/>
  <c r="CH20" i="29"/>
  <c r="CL20" i="29" s="1"/>
  <c r="CG20" i="29"/>
  <c r="CK20" i="29" s="1"/>
  <c r="CF20" i="29"/>
  <c r="CJ20" i="29" s="1"/>
  <c r="BB11" i="11"/>
  <c r="BC11" i="11"/>
  <c r="B9" i="6"/>
  <c r="B16" i="6" s="1"/>
  <c r="B34" i="6" s="1"/>
  <c r="B85" i="3"/>
  <c r="B86" i="3" s="1"/>
  <c r="B87" i="3" s="1"/>
  <c r="I23" i="30"/>
  <c r="I25" i="30" s="1"/>
  <c r="AS13" i="11"/>
  <c r="AS5" i="11" s="1"/>
  <c r="P18" i="30"/>
  <c r="P19" i="30" s="1"/>
  <c r="AY6" i="11"/>
  <c r="AR10" i="11"/>
  <c r="AR11" i="11"/>
  <c r="B37" i="6"/>
  <c r="D25" i="11"/>
  <c r="D26" i="11" s="1"/>
  <c r="BC8" i="11"/>
  <c r="G48" i="3"/>
  <c r="G46" i="3" s="1"/>
  <c r="BF7" i="11" s="1"/>
  <c r="AR9" i="11"/>
  <c r="AR8" i="11"/>
  <c r="AR7" i="11"/>
  <c r="H47" i="3"/>
  <c r="BF9" i="11"/>
  <c r="H49" i="3"/>
  <c r="BI9" i="11" s="1"/>
  <c r="G53" i="3"/>
  <c r="BH12" i="11"/>
  <c r="BE12" i="11"/>
  <c r="BB6" i="11"/>
  <c r="E55" i="3" l="1"/>
  <c r="BA18" i="29" s="1"/>
  <c r="AT5" i="11"/>
  <c r="B39" i="6"/>
  <c r="G55" i="3"/>
  <c r="H55" i="3"/>
  <c r="F55" i="3"/>
  <c r="B79" i="3"/>
  <c r="B81" i="3" s="1"/>
  <c r="B3" i="32" s="1"/>
  <c r="BF8" i="11"/>
  <c r="H48" i="3"/>
  <c r="BI8" i="11" s="1"/>
  <c r="H53" i="3"/>
  <c r="BE6" i="11"/>
  <c r="BC18" i="29" l="1"/>
  <c r="BI18" i="29" s="1"/>
  <c r="H46" i="3"/>
  <c r="BI7" i="11" s="1"/>
  <c r="E3" i="32"/>
  <c r="BH6" i="11"/>
  <c r="I29" i="3"/>
  <c r="BL18" i="29" l="1"/>
  <c r="C8" i="32" s="1"/>
  <c r="BK18" i="29"/>
  <c r="C7" i="32" s="1"/>
  <c r="BJ18" i="29"/>
  <c r="C6" i="32" s="1"/>
  <c r="E56" i="3"/>
  <c r="E51" i="3" s="1"/>
  <c r="E67" i="3" s="1"/>
  <c r="D51" i="3"/>
  <c r="D91" i="3" s="1"/>
  <c r="D5" i="32" l="1"/>
  <c r="C5" i="32"/>
  <c r="D7" i="32"/>
  <c r="D8" i="32"/>
  <c r="D6" i="32"/>
  <c r="F56" i="3"/>
  <c r="F51" i="3" s="1"/>
  <c r="F91" i="3" s="1"/>
  <c r="F92" i="3" s="1"/>
  <c r="F93" i="3" s="1"/>
  <c r="AV10" i="11"/>
  <c r="AW10" i="11"/>
  <c r="D119" i="5"/>
  <c r="D67" i="3"/>
  <c r="D73" i="3" s="1"/>
  <c r="H56" i="3"/>
  <c r="H51" i="3" s="1"/>
  <c r="H91" i="3" s="1"/>
  <c r="H92" i="3" s="1"/>
  <c r="H93" i="3" s="1"/>
  <c r="E91" i="3"/>
  <c r="E92" i="3" s="1"/>
  <c r="E93" i="3" s="1"/>
  <c r="G56" i="3"/>
  <c r="G51" i="3" s="1"/>
  <c r="G67" i="3" l="1"/>
  <c r="G91" i="3"/>
  <c r="G92" i="3" s="1"/>
  <c r="G93" i="3" s="1"/>
  <c r="BE10" i="11"/>
  <c r="BF10" i="11"/>
  <c r="BI10" i="11"/>
  <c r="BH10" i="11"/>
  <c r="H67" i="3"/>
  <c r="AV13" i="11"/>
  <c r="AV5" i="11" s="1"/>
  <c r="AY10" i="11"/>
  <c r="AZ10" i="11"/>
  <c r="E73" i="3"/>
  <c r="D9" i="6"/>
  <c r="D85" i="3"/>
  <c r="D37" i="6"/>
  <c r="AW13" i="11"/>
  <c r="AU11" i="11" s="1"/>
  <c r="BC10" i="11"/>
  <c r="BB10" i="11"/>
  <c r="F67" i="3"/>
  <c r="F73" i="3" s="1"/>
  <c r="H73" i="3" l="1"/>
  <c r="H85" i="3" s="1"/>
  <c r="H86" i="3" s="1"/>
  <c r="H87" i="3" s="1"/>
  <c r="G73" i="3"/>
  <c r="G79" i="3" s="1"/>
  <c r="G81" i="3" s="1"/>
  <c r="B7" i="32" s="1"/>
  <c r="E85" i="3"/>
  <c r="E86" i="3" s="1"/>
  <c r="E87" i="3" s="1"/>
  <c r="F85" i="3"/>
  <c r="F86" i="3" s="1"/>
  <c r="F87" i="3" s="1"/>
  <c r="BC13" i="11"/>
  <c r="BA11" i="11" s="1"/>
  <c r="D16" i="6"/>
  <c r="D34" i="6" s="1"/>
  <c r="D39" i="6"/>
  <c r="BB13" i="11"/>
  <c r="AU7" i="11"/>
  <c r="AU8" i="11"/>
  <c r="AU9" i="11"/>
  <c r="AW14" i="11"/>
  <c r="AY13" i="11"/>
  <c r="AY5" i="11" s="1"/>
  <c r="BH13" i="11"/>
  <c r="BH5" i="11" s="1"/>
  <c r="BF13" i="11"/>
  <c r="F79" i="3"/>
  <c r="F81" i="3" s="1"/>
  <c r="Y25" i="11"/>
  <c r="AU10" i="11"/>
  <c r="K25" i="11"/>
  <c r="D79" i="3"/>
  <c r="D81" i="3" s="1"/>
  <c r="AZ13" i="11"/>
  <c r="AX11" i="11" s="1"/>
  <c r="AW5" i="11"/>
  <c r="AV14" i="11"/>
  <c r="AO25" i="11"/>
  <c r="H79" i="3"/>
  <c r="H81" i="3" s="1"/>
  <c r="BI13" i="11"/>
  <c r="BG11" i="11" s="1"/>
  <c r="AG25" i="11"/>
  <c r="BE13" i="11"/>
  <c r="G85" i="3" l="1"/>
  <c r="G86" i="3" s="1"/>
  <c r="G87" i="3" s="1"/>
  <c r="S25" i="11"/>
  <c r="E79" i="3"/>
  <c r="E81" i="3" s="1"/>
  <c r="E6" i="32"/>
  <c r="E8" i="32"/>
  <c r="B8" i="32"/>
  <c r="B4" i="32"/>
  <c r="E4" i="32"/>
  <c r="E7" i="32"/>
  <c r="B6" i="32"/>
  <c r="BD10" i="11"/>
  <c r="BD11" i="11"/>
  <c r="BF5" i="11"/>
  <c r="BE14" i="11"/>
  <c r="Y26" i="11"/>
  <c r="AZ5" i="11"/>
  <c r="AY14" i="11"/>
  <c r="BG8" i="11"/>
  <c r="BI14" i="11"/>
  <c r="BG9" i="11"/>
  <c r="BG7" i="11"/>
  <c r="AO26" i="11"/>
  <c r="AX8" i="11"/>
  <c r="AX7" i="11"/>
  <c r="AX9" i="11"/>
  <c r="AZ14" i="11"/>
  <c r="AX10" i="11"/>
  <c r="BF14" i="11"/>
  <c r="BD8" i="11"/>
  <c r="BD7" i="11"/>
  <c r="BD9" i="11"/>
  <c r="BI5" i="11"/>
  <c r="BH14" i="11"/>
  <c r="BE5" i="11"/>
  <c r="AG26" i="11"/>
  <c r="BG10" i="11"/>
  <c r="BC5" i="11"/>
  <c r="BB14" i="11"/>
  <c r="BB5" i="11"/>
  <c r="K26" i="11"/>
  <c r="BA8" i="11"/>
  <c r="BA7" i="11"/>
  <c r="BC14" i="11"/>
  <c r="BA9" i="11"/>
  <c r="BA10" i="11"/>
  <c r="E5" i="32" l="1"/>
  <c r="B5" i="32"/>
  <c r="S26"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tc={35BA52BF-2B31-4ABB-9471-5DCF2D583485}</author>
    <author>tc={E8874A58-AEE5-4FCD-8E41-BDA49ADA4A3F}</author>
    <author>tc={14F851E8-FB80-460E-86AB-E4139D454765}</author>
    <author>tc={2ACBCEE9-74B4-4D37-9AFB-81C7E81619A7}</author>
    <author>tc={C0175BCE-348E-462C-8221-10F8920F4E0C}</author>
    <author>tc={5018C8E3-3B3C-4E25-803B-D63BC2B78538}</author>
    <author>tc={91904040-C26E-4221-8790-DE2D804778EA}</author>
    <author>tc={B16388A7-B995-4981-820A-DF16E5976BDA}</author>
    <author>tc={5CDCB149-ECAF-45D8-86EB-B0C388B43562}</author>
    <author>tc={340AE68A-C3D7-4804-8BC5-A8BCE5A166FA}</author>
    <author>tc={31F966BE-33A6-46C8-AB2E-7B71FD54C297}</author>
    <author>tc={4E2AF42A-DB62-4C52-A6D5-298EF130EF80}</author>
    <author>tc={2C866C0B-8A80-4825-A873-7176E6441C6D}</author>
    <author>tc={6124946F-6692-4A7F-B28E-7828D381DB0A}</author>
    <author>tc={6BAF4501-4221-4D67-B0F9-D7BD550F7980}</author>
    <author>tc={D869D6A7-600B-41A4-9863-0A668B9812CE}</author>
    <author>tc={73094CF6-B1A2-4B34-835F-4547C3D66280}</author>
    <author>tc={371B32DD-50D1-4A37-9067-7DBDC1128B3F}</author>
    <author>tc={F801E6FE-ECDE-4B3A-A6BB-888CE84AF289}</author>
    <author>tc={33AFAC98-168F-49D4-AAE5-1F009E548B4D}</author>
  </authors>
  <commentList>
    <comment ref="A4" authorId="0" shapeId="0" xr:uid="{35BA52BF-2B31-4ABB-9471-5DCF2D583485}">
      <text>
        <t>[Kommenttiketju]
Excel-versiosi avulla voit lukea tämän kommenttiketjun, mutta siihen tehdyt muutokset poistetaan, jos tiedosto avataan uudemmassa Excel-versiossa. Lisätietoja: https://go.microsoft.com/fwlink/?linkid=870924
Kommentti:
    Lähde: Tilastokeskus (tp- ja väestötiedot), VM(siirtolaskelma marraskuu 2022) ja Kuntaliitto(muut laskelmat)</t>
      </text>
    </comment>
    <comment ref="D8" authorId="1" shapeId="0" xr:uid="{E8874A58-AEE5-4FCD-8E41-BDA49ADA4A3F}">
      <text>
        <t>[Kommenttiketju]
Excel-versiosi avulla voit lukea tämän kommenttiketjun, mutta siihen tehdyt muutokset poistetaan, jos tiedosto avataan uudemmassa Excel-versiossa. Lisätietoja: https://go.microsoft.com/fwlink/?linkid=870924
Kommentti:
    Vuoden 2023 valtionosuusmaksatusta varten laskettu siirtolaskelma, joka ei muutu vuoden 2023 aikana, mutta joka peritään takaisin tai hyvitetään vuosina 2024 ja 2025. Ks. Rivi 58. Lopputarkistus lasketaan koko maan tasoisesti, ei kuntakohtaisesti.</t>
      </text>
    </comment>
    <comment ref="A29" authorId="2" shapeId="0" xr:uid="{14F851E8-FB80-460E-86AB-E4139D454765}">
      <text>
        <t>[Kommenttiketju]
Excel-versiosi avulla voit lukea tämän kommenttiketjun, mutta siihen tehdyt muutokset poistetaan, jos tiedosto avataan uudemmassa Excel-versiossa. Lisätietoja: https://go.microsoft.com/fwlink/?linkid=870924
Kommentti:
    Sisältäen verotuskustannusten alenema vuodesta 2023 alkaen.</t>
      </text>
    </comment>
    <comment ref="C29" authorId="3" shapeId="0" xr:uid="{2ACBCEE9-74B4-4D37-9AFB-81C7E81619A7}">
      <text>
        <t>[Kommenttiketju]
Excel-versiosi avulla voit lukea tämän kommenttiketjun, mutta siihen tehdyt muutokset poistetaan, jos tiedosto avataan uudemmassa Excel-versiossa. Lisätietoja: https://go.microsoft.com/fwlink/?linkid=870924
Kommentti:
    Jakoavain laskee toimintakatteen kahden luvun keskiarvona joka korotetaan vuoden 2022 tasoon kertoimella . Jakoavain laskee keskiarvon alla olevista laatikoista.
Vastaus:
    Siirtyvä toimintakate lasketaan kuntien ilmoittamista tiedoista. Se lasketaan ottamalla siirtyvien tehtävien nettokulujen keskiarvo vuosilta 2021 ja 2022. Keskiarvo kerrotaan korotuskertoimella vuoden 2022 tasoon. Tämä sen vuoksi, että laskelmat on määrätty tehtäväksi vuoden 2022 tasossa. Keskiarvon käyttäminen vähentää kuitenkin yksittäisten kuntien kulujen heilahtelun vaikutuksia. Kunnat ovat ilmoittaneet vuoden 2021 kustannukset KKTPP raportin yhteydessä Valtiokonttorille. Alustavassa laskelmassa vuoden 2022 kulutietona käytetään talousarviotietoa, jonka Tilastokeskus on kerännyt vuoden 2022 alussa. Siirtolaskelmien lopputarkistuksessa TA2022 tieto korvataan TP2022 tiedolla. Voit simuloida lopputarkistuksen vaikutusta syöttämällä soluihin C34 ja C35 tilinpäätöksen 2022 mukaiset nettokulut (toimintakate). Poistot on syötetty riville 68.</t>
      </text>
    </comment>
    <comment ref="C34" authorId="4" shapeId="0" xr:uid="{C0175BCE-348E-462C-8221-10F8920F4E0C}">
      <text>
        <t>[Kommenttiketju]
Excel-versiosi avulla voit lukea tämän kommenttiketjun, mutta siihen tehdyt muutokset poistetaan, jos tiedosto avataan uudemmassa Excel-versiossa. Lisätietoja: https://go.microsoft.com/fwlink/?linkid=870924
Kommentti:
    Voit täyttää tähän vuoden 2022 tilinpäätöstä vastaavan luvun. Jakoavain laskee siirtolaskelmissa käytettävän keskiarvon. Syötä tähän toimintakate + poistot.
Vastaus:
    Esitäytetty tilinpäätösarvio 2022 mukaiset kulut.
Vastaus:
    Muutos: poistoja ei enää eritellä alempana vaan ne sisältyvät tähän.</t>
      </text>
    </comment>
    <comment ref="C35" authorId="5" shapeId="0" xr:uid="{5018C8E3-3B3C-4E25-803B-D63BC2B78538}">
      <text>
        <t>[Kommenttiketju]
Excel-versiosi avulla voit lukea tämän kommenttiketjun, mutta siihen tehdyt muutokset poistetaan, jos tiedosto avataan uudemmassa Excel-versiossa. Lisätietoja: https://go.microsoft.com/fwlink/?linkid=870924
Kommentti:
    Voit täyttää tähän vuoden 2022 tilinpäätöstä vastaavan luvun. Jakoavain laskee siirtolaskelmissa käytettävän keskiarvon. Syötä tähän toimintakate + poistot.
Vastaus:
    Esitäytetty tilinpäätösarvio 2022 mukaiset kulut.
Vastaus:
    Muutos: poistoja ei enää eritellä alempana vaan ne sisältyvät tähän.</t>
      </text>
    </comment>
    <comment ref="B38" authorId="6" shapeId="0" xr:uid="{91904040-C26E-4221-8790-DE2D804778EA}">
      <text>
        <t>[Kommenttiketju]
Excel-versiosi avulla voit lukea tämän kommenttiketjun, mutta siihen tehdyt muutokset poistetaan, jos tiedosto avataan uudemmassa Excel-versiossa. Lisätietoja: https://go.microsoft.com/fwlink/?linkid=870924
Kommentti:
    Siirtolaskelmissa käytetään maksuunpantuja verotuloja. Verotulojen tietopohja lukittiin peruspalveluiden valtionosuusasetuksessa. Maksuunpannut verotulot kuvaavat poikkileikkaustilannetta kuten myös siirrettävät kulut sekä valtionosuudet.
Vastaus:
    Myös verotiedot päivitetään siirtolaskelmassa vastaamaan lopullista. Siirtolaskelman lopputarkistuksessa käytetään vuoden 2022 lopullisia maksuunpantuja veroja siten, että siirtyvä kunnallisvero vastaa 12,64 prosenttiyksikön leikkausta kun taas siirtyvä yhteisövero vastaa 1/3 osaa kunnan yhteisöveroista.</t>
      </text>
    </comment>
    <comment ref="B39" authorId="7" shapeId="0" xr:uid="{B16388A7-B995-4981-820A-DF16E5976BDA}">
      <text>
        <t>[Kommenttiketju]
Excel-versiosi avulla voit lukea tämän kommenttiketjun, mutta siihen tehdyt muutokset poistetaan, jos tiedosto avataan uudemmassa Excel-versiossa. Lisätietoja: https://go.microsoft.com/fwlink/?linkid=870924
Kommentti:
    Voit täyttää tähän päivitetyn arvion kunnan verotuloista. Syötä maksuunpannut kunnallisverot vuonna 2022.
Vastaus:
    syötä kehikosta: välilehti A1, solu I62
Vastaus:
    Jakoavain laskee automaattisesti valitun kunnan siirtyvät verotulot.
Vastaus:
    Tässä on nyt esitäytettynä kehikon MP2022 luku. Verotuloarviot tarkentuvat kesäkuussa. Nyt käytössä olevat arviot saattavat vielä muuttua merkittävästi.</t>
      </text>
    </comment>
    <comment ref="B40" authorId="8" shapeId="0" xr:uid="{5CDCB149-ECAF-45D8-86EB-B0C388B43562}">
      <text>
        <t xml:space="preserve">[Kommenttiketju]
Excel-versiosi avulla voit lukea tämän kommenttiketjun, mutta siihen tehdyt muutokset poistetaan, jos tiedosto avataan uudemmassa Excel-versiossa. Lisätietoja: https://go.microsoft.com/fwlink/?linkid=870924
Kommentti:
    Voit täyttää tähän päivitetyn arvion kunnan verotuloista. Syötä maksuunpannut yhteisöverotulot vuonna 2022.
Vastaus:
    syötä kehikosta: välilehti "B1ja2", solu I12
Vastaus:
    Jakoavain laskee automaattisesti valitun kunnan siirtyvät verotulot.
Vastaus:
    Tässä on nyt esitäytettynä kehikon MP2022 luku. Verotuloarviot tarkentuvat kesäkuussa. Nyt käytössä olevat arviot saattavat vielä muuttua merkittävästi.
</t>
      </text>
    </comment>
    <comment ref="C47" authorId="9" shapeId="0" xr:uid="{340AE68A-C3D7-4804-8BC5-A8BCE5A166FA}">
      <text>
        <t>[Kommenttiketju]
Excel-versiosi avulla voit lukea tämän kommenttiketjun, mutta siihen tehdyt muutokset poistetaan, jos tiedosto avataan uudemmassa Excel-versiossa. Lisätietoja: https://go.microsoft.com/fwlink/?linkid=870924
Kommentti:
    Huomio myös se, että veroennustekehikossa vuoden 2023 maksuunpantuihin verotuloihin on arvioitu myös esimerkiksi ansiotulojen kehitys 2022-&gt;2023, kun taas siirtolaskelmat tehdään aina 2022 tasossa. Toki siirtolaskelmissa huomioidaan verovähennyksissä tapahtuvat muutokset mutta niissä ei huomioida esimerkiksi väestössä tai työllisyydessä tapahtuvia muutoksia 2022 ja 2023 vuosien välillä.
Vastaus:
    Näistä syistä johtuen veroennustekehikon ja siirtolaskelmien maksuunpannut verotulot eivät ole täysin  vertailukelpoisia vuoden 2023 osalta. Jos simuloit jakoavaimella eri suuruisten maksunpantujen verotulojen vaikutusta, huomioi, että verotulot tulee olla siirtolaskelmissa aina vuoden 2022 tasossa eli laskettuna vuoden 2022 maksuunpannuista verotuloista (kehikossa välilehti A.1, solu I62).
Vastaus:
    Jakoavain laskee keltaisesta solusta siirtyvät verotulot.</t>
      </text>
    </comment>
    <comment ref="C48" authorId="10" shapeId="0" xr:uid="{31F966BE-33A6-46C8-AB2E-7B71FD54C297}">
      <text>
        <t>[Kommenttiketju]
Excel-versiosi avulla voit lukea tämän kommenttiketjun, mutta siihen tehdyt muutokset poistetaan, jos tiedosto avataan uudemmassa Excel-versiossa. Lisätietoja: https://go.microsoft.com/fwlink/?linkid=870924
Kommentti:
    Jakoavain laskee keltaisesta solusta siirtyvät verotulot.</t>
      </text>
    </comment>
    <comment ref="A55" authorId="11" shapeId="0" xr:uid="{4E2AF42A-DB62-4C52-A6D5-298EF130EF80}">
      <text>
        <t>[Kommenttiketju]
Excel-versiosi avulla voit lukea tämän kommenttiketjun, mutta siihen tehdyt muutokset poistetaan, jos tiedosto avataan uudemmassa Excel-versiossa. Lisätietoja: https://go.microsoft.com/fwlink/?linkid=870924
Kommentti:
    Sote-uudistus sisältää kaksi kuntakohtaista tasauselementtiä: muutosrajoittimen sekä siirtymätasauksen. Molemmat jäävät osaksi valtionosuutta ja niitä ei päivitetä enää lopputarkistuksen jälkeen.
Vastaus:
    Näillä tasauselementeillä uudistuksen talousvaikutus tasataan yksittäiselle kunnalle.
Vastaus:
    Muutosrajoitin siirtolaskelmista vos-laskelmien pysyväksi eräksi.</t>
      </text>
    </comment>
    <comment ref="A56" authorId="12" shapeId="0" xr:uid="{2C866C0B-8A80-4825-A873-7176E6441C6D}">
      <text>
        <t>[Kommenttiketju]
Excel-versiosi avulla voit lukea tämän kommenttiketjun, mutta siihen tehdyt muutokset poistetaan, jos tiedosto avataan uudemmassa Excel-versiossa. Lisätietoja: https://go.microsoft.com/fwlink/?linkid=870924
Kommentti:
    Siirtymätasaus siirtolaskelmista vos-laskelmien pysyväksi eräksi.</t>
      </text>
    </comment>
    <comment ref="A57" authorId="13" shapeId="0" xr:uid="{6124946F-6692-4A7F-B28E-7828D381DB0A}">
      <text>
        <t>[Kommenttiketju]
Excel-versiosi avulla voit lukea tämän kommenttiketjun, mutta siihen tehdyt muutokset poistetaan, jos tiedosto avataan uudemmassa Excel-versiossa. Lisätietoja: https://go.microsoft.com/fwlink/?linkid=870924
Kommentti:
    Siirtolaskelmien lopputarkistuksessa kunnilta leikataan yhtäsuuruinen €/asukas vähennys valtionosuuksista. Tällä katetaan hyvinvointialueiden rahoitustarve koko maan tasolla. Tasasuuruinen vähennys huomioidaan osana muutosrajoitinta ja siirtyviä tuottoja. Ylimenevä osa vaikuttaa kuntakohtaisesti ja näkyy kunnan muutosrajoittimessa siirtyvänä tulona (ks. välilehti Muutosrajoitin (lopullinen)). Lopputarkistuksen suuruus tarkentuu myöhemmin. Lopputarkistus otetaan 1,5-kertaisena vuosilta 2024 ja 2025, koska vuoden 2023 ylimääräisesti maksettu valtionosuus peritään takaisin (tai hyvitetään jos maksettu liian vähän). Vuodesta 2026 lähtien tasasuuruinen leikkaus jää pysyväksi (ilman korotusta) osaksi valtionosuutta. Näillä näkymin siirtolaskelmien lopputarkistuksen kaikille yhteinen vos-vähennys tulisi olemaan n. 40 euroa asukasta kohden.
Vastaus:
    Tasasuuruisen leikkauksen suuruutta voi simuloida syöttämällä (€/asukas) summan soluun B95.</t>
      </text>
    </comment>
    <comment ref="A58" authorId="14" shapeId="0" xr:uid="{6BAF4501-4221-4D67-B0F9-D7BD550F7980}">
      <text>
        <t>[Kommenttiketju]
Excel-versiosi avulla voit lukea tämän kommenttiketjun, mutta siihen tehdyt muutokset poistetaan, jos tiedosto avataan uudemmassa Excel-versiossa. Lisätietoja: https://go.microsoft.com/fwlink/?linkid=870924
Kommentti:
    Takaisinperintä toteutetaan kaikille kunnille yhteisenä (€/asukas) vähennyksenä. Kuntakohtaista muutosrajoitinta ja siirtymätasausta ei peritä takaisin tai hyvitetä. 
Vastaus:
    Lopputarkistuksen ja takaisinperinnän lopullinen suuruus selviää syksyllä 2023.</t>
      </text>
    </comment>
    <comment ref="A69" authorId="15" shapeId="0" xr:uid="{D869D6A7-600B-41A4-9863-0A668B9812CE}">
      <text>
        <t>[Kommenttiketju]
Excel-versiosi avulla voit lukea tämän kommenttiketjun, mutta siihen tehdyt muutokset poistetaan, jos tiedosto avataan uudemmassa Excel-versiossa. Lisätietoja: https://go.microsoft.com/fwlink/?linkid=870924
Kommentti:
    Poistot huomioidaan yllä siirtyvissä nettokäyttökuluissa (toimintakate+poistot).</t>
      </text>
    </comment>
    <comment ref="A73" authorId="16" shapeId="0" xr:uid="{73094CF6-B1A2-4B34-835F-4547C3D66280}">
      <text>
        <t>[Kommenttiketju]
Excel-versiosi avulla voit lukea tämän kommenttiketjun, mutta siihen tehdyt muutokset poistetaan, jos tiedosto avataan uudemmassa Excel-versiossa. Lisätietoja: https://go.microsoft.com/fwlink/?linkid=870924
Kommentti:
    Tilikauden tulos vastaa tässä siirtolaskelmien tasapainoa eli se on laskennallinen. Tulos ei vastaa tilinpäätöksen mukaista tulosta esimerkiksi sen vuoksi, että verotulot pohjautuvat maksuunpantuihin veroihin, ei tilitettyihin kirjanpidon ja tilinpäätöksen mukaisiin verotuloihin. Tilikauden tuloksen  muutos kuitenkin kuvaa todellista tulosvaikutusta.</t>
      </text>
    </comment>
    <comment ref="A84" authorId="17" shapeId="0" xr:uid="{371B32DD-50D1-4A37-9067-7DBDC1128B3F}">
      <text>
        <t>[Kommenttiketju]
Excel-versiosi avulla voit lukea tämän kommenttiketjun, mutta siihen tehdyt muutokset poistetaan, jos tiedosto avataan uudemmassa Excel-versiossa. Lisätietoja: https://go.microsoft.com/fwlink/?linkid=870924
Kommentti:
    Alkuperäinen: viimeisin VM:n sote-siirtolaskelma</t>
      </text>
    </comment>
    <comment ref="A90" authorId="18" shapeId="0" xr:uid="{F801E6FE-ECDE-4B3A-A6BB-888CE84AF289}">
      <text>
        <t>[Kommenttiketju]
Excel-versiosi avulla voit lukea tämän kommenttiketjun, mutta siihen tehdyt muutokset poistetaan, jos tiedosto avataan uudemmassa Excel-versiossa. Lisätietoja: https://go.microsoft.com/fwlink/?linkid=870924
Kommentti:
    Alkuperäinen: viimeisin VM:n sote-siirtolaskelma</t>
      </text>
    </comment>
    <comment ref="B95" authorId="19" shapeId="0" xr:uid="{33AFAC98-168F-49D4-AAE5-1F009E548B4D}">
      <text>
        <t>[Kommenttiketju]
Excel-versiosi avulla voit lukea tämän kommenttiketjun, mutta siihen tehdyt muutokset poistetaan, jos tiedosto avataan uudemmassa Excel-versiossa. Lisätietoja: https://go.microsoft.com/fwlink/?linkid=870924
Kommentti:
    Tasasuuruinen vos-leikkaus lasketaan koko maan tasolla siten, että hyvinvointialueille siirtyviä kuluja verrataan kunnilta siirtyvään rahoitukseen. Mikäli siirtyvä rahoitus ei riitä kattamaan siirtyviä kuluja koko maan tasolla, leikataan kaikilta kunnilta yhtä suuruinen €/asukas vähennys. Tämä huomioidaan osaksi muutosrajoitinta. Tämän lisäksi kuntakohtainen muutosrajoitin sekä siirtymätasaus lasketaan uusiksi. Jakoavain tekee nämä laskelmat.
Vastaus:
    Laita miinusmerkki luvun eteen, muutoin Jakoavain tulkitsee arvon hyvitykseksi.
Vastaus:
    Esitäyttönä Kuntaliiton (16.3) arvion mukainen leikkaus.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tc={F4503270-8252-462F-8837-0EB7D5143A77}</author>
  </authors>
  <commentList>
    <comment ref="C9" authorId="0" shapeId="0" xr:uid="{F4503270-8252-462F-8837-0EB7D5143A77}">
      <text>
        <t>[Kommenttiketju]
Excel-versiosi avulla voit lukea tämän kommenttiketjun, mutta siihen tehdyt muutokset poistetaan, jos tiedosto avataan uudemmassa Excel-versiossa. Lisätietoja: https://go.microsoft.com/fwlink/?linkid=870924
Kommentti:
    Ilman verotuskustannusten alenemaa.</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Mehtonen Mikko</author>
  </authors>
  <commentList>
    <comment ref="AD17" authorId="0" shapeId="0" xr:uid="{00000000-0006-0000-0700-000001000000}">
      <text>
        <r>
          <rPr>
            <b/>
            <sz val="9"/>
            <color indexed="81"/>
            <rFont val="Tahoma"/>
            <family val="2"/>
          </rPr>
          <t>Mehtonen Mikko:</t>
        </r>
        <r>
          <rPr>
            <sz val="9"/>
            <color indexed="81"/>
            <rFont val="Tahoma"/>
            <family val="2"/>
          </rPr>
          <t xml:space="preserve">
Tähän arvoon siis tasataan. Muutos siis.
</t>
        </r>
      </text>
    </comment>
  </commentList>
</comments>
</file>

<file path=xl/sharedStrings.xml><?xml version="1.0" encoding="utf-8"?>
<sst xmlns="http://schemas.openxmlformats.org/spreadsheetml/2006/main" count="2213" uniqueCount="768">
  <si>
    <t>Verotulot</t>
  </si>
  <si>
    <t>Valtionosuudet</t>
  </si>
  <si>
    <t>VUOSIKATE</t>
  </si>
  <si>
    <t>Satunnaiset tuotot</t>
  </si>
  <si>
    <t>Satunnaiset kulut</t>
  </si>
  <si>
    <t>TILIKAUDEN TULOS</t>
  </si>
  <si>
    <t xml:space="preserve">  Vuosikate</t>
  </si>
  <si>
    <t xml:space="preserve">  Satunnaiset erät, netto</t>
  </si>
  <si>
    <t>Valmistus omaan käyttöön</t>
  </si>
  <si>
    <t>Poistot ja arvonalentumiset</t>
  </si>
  <si>
    <t>Antolainauksen muutokset</t>
  </si>
  <si>
    <t>Lainakannan muutokset</t>
  </si>
  <si>
    <t>Oman pääoman muutokset</t>
  </si>
  <si>
    <t>Muut maksuvalmiuden muutokset</t>
  </si>
  <si>
    <t xml:space="preserve">  Tulorahoituksen korjauserät</t>
  </si>
  <si>
    <t xml:space="preserve">  Investointimenot</t>
  </si>
  <si>
    <t>Rahavarojen muutos</t>
  </si>
  <si>
    <t>Toiminnan rahavirta</t>
  </si>
  <si>
    <t>Investointien rahavirta</t>
  </si>
  <si>
    <t xml:space="preserve">  Rahoitusosuudet investointimenoihin</t>
  </si>
  <si>
    <t xml:space="preserve">  Pysyvien vastaavien hyödykkeiden luovutustulot</t>
  </si>
  <si>
    <t>Rahoituksen rahavirta</t>
  </si>
  <si>
    <t>yhteensä</t>
  </si>
  <si>
    <t>Valmistevaraston muutos</t>
  </si>
  <si>
    <t>Poistoeron lisäys (-) tai vähennys (+)</t>
  </si>
  <si>
    <t>Varausten lisäys (-) tai vähennys (+)</t>
  </si>
  <si>
    <t>Toiminnan ja investointien rahavirta</t>
  </si>
  <si>
    <t>VASTAAVAA:</t>
  </si>
  <si>
    <t>VASTATTAVAA:</t>
  </si>
  <si>
    <t>PYSYVÄT VASTAAVAT</t>
  </si>
  <si>
    <t>OMA PÄÄOMA</t>
  </si>
  <si>
    <t xml:space="preserve">  Aineettomat hyödykkeet</t>
  </si>
  <si>
    <t xml:space="preserve">  Peruspääoma</t>
  </si>
  <si>
    <t xml:space="preserve">    Aineettomat oikeudet</t>
  </si>
  <si>
    <t xml:space="preserve">  Arvonkorotusrahasto</t>
  </si>
  <si>
    <t xml:space="preserve">    Muut pitkävaikuitteiset menot</t>
  </si>
  <si>
    <t xml:space="preserve">  Muut omat rahastot</t>
  </si>
  <si>
    <t xml:space="preserve">    Ennakkomaksut</t>
  </si>
  <si>
    <t xml:space="preserve">  Edell. tilikausien yli-/alijäämä</t>
  </si>
  <si>
    <t xml:space="preserve">  Tilikauden yli-/alijäämä</t>
  </si>
  <si>
    <t xml:space="preserve">  Aineelliset hyödykkeet</t>
  </si>
  <si>
    <t xml:space="preserve">    Maa- ja vesialueet</t>
  </si>
  <si>
    <t xml:space="preserve">    Rakennukset</t>
  </si>
  <si>
    <t xml:space="preserve">  Poistoero</t>
  </si>
  <si>
    <t xml:space="preserve">    Kiinteät rakenteet ja laitteet</t>
  </si>
  <si>
    <t xml:space="preserve">  Vapaaehtoiset varaukset</t>
  </si>
  <si>
    <t xml:space="preserve">    Koneet ja kalusto</t>
  </si>
  <si>
    <t xml:space="preserve">    Muut aineelliset hyödykkeet</t>
  </si>
  <si>
    <t>PAKOLLISET VARAUKSET</t>
  </si>
  <si>
    <t xml:space="preserve">    Ennakkomaksut ja keskener. hank.</t>
  </si>
  <si>
    <t xml:space="preserve">  Eläkevaraukset</t>
  </si>
  <si>
    <t xml:space="preserve">  Muut pakolliset varaukset</t>
  </si>
  <si>
    <t xml:space="preserve"> Sijoitukset</t>
  </si>
  <si>
    <t xml:space="preserve">    Osakkeet ja osuudet</t>
  </si>
  <si>
    <t>TOIMEKSIANTOJEN PÄÄOMAT</t>
  </si>
  <si>
    <t xml:space="preserve">    Joukkovelkakirjalainasaamiset</t>
  </si>
  <si>
    <t xml:space="preserve">  Valtion toimeksiannot</t>
  </si>
  <si>
    <t xml:space="preserve">    Muut lainasaamiset</t>
  </si>
  <si>
    <t xml:space="preserve">  Lahjoitusrahastojen pääomat</t>
  </si>
  <si>
    <t xml:space="preserve">    Muut saamiset</t>
  </si>
  <si>
    <t xml:space="preserve">  Muut toimeksiantojen pääomat</t>
  </si>
  <si>
    <t>VIERAS PÄÄOMA</t>
  </si>
  <si>
    <t>TOIMEKSIANTOJEN VARAT</t>
  </si>
  <si>
    <t xml:space="preserve">    Joukkovelkakirjalainat</t>
  </si>
  <si>
    <t xml:space="preserve">  Lahjoitusrahastojen erityiskatteet</t>
  </si>
  <si>
    <t xml:space="preserve">    Lainat rah.- ja vak.laitoksilta</t>
  </si>
  <si>
    <t xml:space="preserve">  Muut toimeksiantojen varat</t>
  </si>
  <si>
    <t xml:space="preserve">    Lainat julkisyhteisöiltä</t>
  </si>
  <si>
    <t xml:space="preserve">    Lainat muilta luotonantajilta</t>
  </si>
  <si>
    <t>VAIHTUVAT VASTAAVAT</t>
  </si>
  <si>
    <t xml:space="preserve">    Saadut ennakot</t>
  </si>
  <si>
    <t xml:space="preserve">  Vaihto-omaisuus</t>
  </si>
  <si>
    <t xml:space="preserve">    Ostovelat</t>
  </si>
  <si>
    <t xml:space="preserve">    Aineet ja tarvikkeet</t>
  </si>
  <si>
    <t xml:space="preserve">    Liittymismaksut ja muut velat</t>
  </si>
  <si>
    <t xml:space="preserve">    Keskeneräiset tuotteet</t>
  </si>
  <si>
    <t xml:space="preserve">    Siirtovelat</t>
  </si>
  <si>
    <t xml:space="preserve">    Valmiit tuotteet/tavarat</t>
  </si>
  <si>
    <t xml:space="preserve">    Muu vaihto-omaisuus</t>
  </si>
  <si>
    <t xml:space="preserve">  Lyhytaikainen</t>
  </si>
  <si>
    <t xml:space="preserve">  Saamiset</t>
  </si>
  <si>
    <t xml:space="preserve">    Pitkäaikaiset saamiset</t>
  </si>
  <si>
    <t xml:space="preserve">      Myyntisaamiset</t>
  </si>
  <si>
    <t xml:space="preserve">      Lainasaamiset</t>
  </si>
  <si>
    <t xml:space="preserve">      Muut saamiset</t>
  </si>
  <si>
    <t xml:space="preserve">      Siirtosaamiset</t>
  </si>
  <si>
    <t xml:space="preserve">    Lyhytaikaiset saamiset</t>
  </si>
  <si>
    <t>VASTATTAVAA YHTEENSÄ</t>
  </si>
  <si>
    <t xml:space="preserve">  Rahoitusarvopaperit</t>
  </si>
  <si>
    <t xml:space="preserve">    Sijoitukset rahamarkkinainstrum.</t>
  </si>
  <si>
    <t xml:space="preserve">    Muut arvopaperit</t>
  </si>
  <si>
    <t>Omavaraisuus-%</t>
  </si>
  <si>
    <t xml:space="preserve">Rahavarat: </t>
  </si>
  <si>
    <t xml:space="preserve">  Rahat ja pankkisaamiset</t>
  </si>
  <si>
    <t xml:space="preserve">                  euroa/asukas</t>
  </si>
  <si>
    <t>VASTAAVAA YHTEENSÄ</t>
  </si>
  <si>
    <t xml:space="preserve">Lainakanta: </t>
  </si>
  <si>
    <t xml:space="preserve">        Kuntayhtymäosuudet</t>
  </si>
  <si>
    <t xml:space="preserve">        Muut osakkeet ja osuudet</t>
  </si>
  <si>
    <t>POISTOERO JA VAPAAEHTOISET VARAUKSET</t>
  </si>
  <si>
    <t xml:space="preserve">  Pitkäaikainen vieras pääoma</t>
  </si>
  <si>
    <t>Lainanhoitokate</t>
  </si>
  <si>
    <t>Uusi</t>
  </si>
  <si>
    <t>kunta</t>
  </si>
  <si>
    <t>Muutoksen aiheuttaja</t>
  </si>
  <si>
    <t>= 100 * (Oma pääoma + Poistoero ja vapaaehtoiset varaukset) / (Koko pääoma - Saadut ennakot)</t>
  </si>
  <si>
    <t>= 100 * (Vieras pääoma - Saadut ennakot) / Käyttötulot</t>
  </si>
  <si>
    <t>Testamentin määräykset huomioiden varmistettava, miten käsitellään, jos liittyy siirtyvään toimintaan</t>
  </si>
  <si>
    <t>Rahastojen lisäys (-) tai vähennys (+)</t>
  </si>
  <si>
    <t>Siirtyvän toiminnan irtaimeen omaisuuteen kohdistuva poistoero purettava</t>
  </si>
  <si>
    <t>Siirtyviin toimintoihin liittyviä investointimenoja poistuu</t>
  </si>
  <si>
    <t xml:space="preserve">Poistuvien toimintojen investointeja varten ei tarvita uusia lainoja. </t>
  </si>
  <si>
    <t>Siirtyvien toimintojen (terveydenhuolto) vaihto-omaisuuden muutos poistuu</t>
  </si>
  <si>
    <t xml:space="preserve">Perusterveydenhuollon, erikoissairaanhoidon, sosiaalitoimen ja pelastustoimen käytössä oleva irtain omaisuus (sairaalatarvikevarastot) siirtyy  </t>
  </si>
  <si>
    <t>Siirtyvän toiminnan saamiset eivät lisäänny</t>
  </si>
  <si>
    <t>(Siirtyvät osakkeet ovat pysyvissä vastaavissa)</t>
  </si>
  <si>
    <t>Siirtyvään toimintaan liittyvä vapaaehtoinen investointivaraus purettava</t>
  </si>
  <si>
    <t>Jäsenkunnan osuus kuntayhtymän alijäämästä on todennäköisesti jo huomioitu aiemmin eli pakollisissa varauksissa ei sitä pitäisi enää olla</t>
  </si>
  <si>
    <t>Siirtyviin toimintoihin liittyvät ostovelat eivät lisäänny</t>
  </si>
  <si>
    <t>Siirtyviin toimintoihin liittyvät siirtovelat eivät lisäänny</t>
  </si>
  <si>
    <t>= (Vuosikate + Korkokulut) / (Korkokulut + Lainanlyhennykset)</t>
  </si>
  <si>
    <t>Kunta</t>
  </si>
  <si>
    <t>kno</t>
  </si>
  <si>
    <t>Kunnallis-</t>
  </si>
  <si>
    <t>€/as.</t>
  </si>
  <si>
    <t>tasaus</t>
  </si>
  <si>
    <t>Akaa</t>
  </si>
  <si>
    <t>Jämsä</t>
  </si>
  <si>
    <t>Kemiönsaari</t>
  </si>
  <si>
    <t>Parainen</t>
  </si>
  <si>
    <t>Pedersören kunta</t>
  </si>
  <si>
    <t>Pyhtää</t>
  </si>
  <si>
    <t>Pyhäjärvi</t>
  </si>
  <si>
    <t>Raasepori</t>
  </si>
  <si>
    <t>Sastamala</t>
  </si>
  <si>
    <t>Siikalatva</t>
  </si>
  <si>
    <t>Vöyri</t>
  </si>
  <si>
    <t>Maa-</t>
  </si>
  <si>
    <t>Toimintatuotot yhteensä</t>
  </si>
  <si>
    <t>Valmistevarastojen muutos</t>
  </si>
  <si>
    <t>Toimintakulut yhteensä</t>
  </si>
  <si>
    <t>Toimintakate</t>
  </si>
  <si>
    <t>Osuus yhteisöveron tuotosta</t>
  </si>
  <si>
    <t>Alajärvi</t>
  </si>
  <si>
    <t>Alavieska</t>
  </si>
  <si>
    <t>Alavus</t>
  </si>
  <si>
    <t>Asikkala</t>
  </si>
  <si>
    <t>Askola</t>
  </si>
  <si>
    <t>Aura</t>
  </si>
  <si>
    <t>Enonkoski</t>
  </si>
  <si>
    <t>Enontekiö</t>
  </si>
  <si>
    <t>Espoo</t>
  </si>
  <si>
    <t>Eura</t>
  </si>
  <si>
    <t>Eurajoki</t>
  </si>
  <si>
    <t>Evijärvi</t>
  </si>
  <si>
    <t>Forssa</t>
  </si>
  <si>
    <t>Haapajärvi</t>
  </si>
  <si>
    <t>Haapavesi</t>
  </si>
  <si>
    <t>Hailuoto</t>
  </si>
  <si>
    <t>Halsua</t>
  </si>
  <si>
    <t>Hamina</t>
  </si>
  <si>
    <t>Hankasalmi</t>
  </si>
  <si>
    <t>Hanko</t>
  </si>
  <si>
    <t>Harjavalta</t>
  </si>
  <si>
    <t>Hartola</t>
  </si>
  <si>
    <t>Hattula</t>
  </si>
  <si>
    <t>Hausjärvi</t>
  </si>
  <si>
    <t>Heinola</t>
  </si>
  <si>
    <t>Heinävesi</t>
  </si>
  <si>
    <t>Helsinki</t>
  </si>
  <si>
    <t>Hirvensalmi</t>
  </si>
  <si>
    <t>Hollola</t>
  </si>
  <si>
    <t>Honkajoki</t>
  </si>
  <si>
    <t>Huittinen</t>
  </si>
  <si>
    <t>Humppila</t>
  </si>
  <si>
    <t>Hyrynsalmi</t>
  </si>
  <si>
    <t>Hyvinkää</t>
  </si>
  <si>
    <t>Hämeenkyrö</t>
  </si>
  <si>
    <t>Hämeenlinna</t>
  </si>
  <si>
    <t>Ii</t>
  </si>
  <si>
    <t>Iisalmi</t>
  </si>
  <si>
    <t>Iitti</t>
  </si>
  <si>
    <t>Ikaalinen</t>
  </si>
  <si>
    <t>Ilmajoki</t>
  </si>
  <si>
    <t>Ilomantsi</t>
  </si>
  <si>
    <t>Imatra</t>
  </si>
  <si>
    <t>Inari</t>
  </si>
  <si>
    <t>Inkoo</t>
  </si>
  <si>
    <t>Isojoki</t>
  </si>
  <si>
    <t>Isokyrö</t>
  </si>
  <si>
    <t>Janakkala</t>
  </si>
  <si>
    <t>Joensuu</t>
  </si>
  <si>
    <t>Jokioinen</t>
  </si>
  <si>
    <t>Joroinen</t>
  </si>
  <si>
    <t>Joutsa</t>
  </si>
  <si>
    <t>Juankoski</t>
  </si>
  <si>
    <t>Juuka</t>
  </si>
  <si>
    <t>Juupajoki</t>
  </si>
  <si>
    <t>Juva</t>
  </si>
  <si>
    <t>Jyväskylä</t>
  </si>
  <si>
    <t>Jämijärvi</t>
  </si>
  <si>
    <t>Järvenpää</t>
  </si>
  <si>
    <t>Kaarina</t>
  </si>
  <si>
    <t>Kaavi</t>
  </si>
  <si>
    <t>Kajaani</t>
  </si>
  <si>
    <t>Kalajoki</t>
  </si>
  <si>
    <t>Kangasala</t>
  </si>
  <si>
    <t>Kangasniemi</t>
  </si>
  <si>
    <t>Kankaanpää</t>
  </si>
  <si>
    <t>Kannonkoski</t>
  </si>
  <si>
    <t>Kannus</t>
  </si>
  <si>
    <t>Karijoki</t>
  </si>
  <si>
    <t>Karkkila</t>
  </si>
  <si>
    <t>Karstula</t>
  </si>
  <si>
    <t>Karvia</t>
  </si>
  <si>
    <t>Kaskinen</t>
  </si>
  <si>
    <t>Kauhajoki</t>
  </si>
  <si>
    <t>Kauhava</t>
  </si>
  <si>
    <t>Kauniainen</t>
  </si>
  <si>
    <t>Kaustinen</t>
  </si>
  <si>
    <t>Keitele</t>
  </si>
  <si>
    <t>Kemi</t>
  </si>
  <si>
    <t>Kemijärvi</t>
  </si>
  <si>
    <t>Keminmaa</t>
  </si>
  <si>
    <t>Kempele</t>
  </si>
  <si>
    <t>Kerava</t>
  </si>
  <si>
    <t>Keuruu</t>
  </si>
  <si>
    <t>Kihniö</t>
  </si>
  <si>
    <t>Kinnula</t>
  </si>
  <si>
    <t>Kirkkonummi</t>
  </si>
  <si>
    <t>Kitee</t>
  </si>
  <si>
    <t>Kittilä</t>
  </si>
  <si>
    <t>Kiuruvesi</t>
  </si>
  <si>
    <t>Kivijärvi</t>
  </si>
  <si>
    <t>Kokemäki</t>
  </si>
  <si>
    <t>Kokkola</t>
  </si>
  <si>
    <t>Kolari</t>
  </si>
  <si>
    <t>Konnevesi</t>
  </si>
  <si>
    <t>Kontiolahti</t>
  </si>
  <si>
    <t>Korsnäs</t>
  </si>
  <si>
    <t>Koski Tl</t>
  </si>
  <si>
    <t>Kotka</t>
  </si>
  <si>
    <t>Kouvola</t>
  </si>
  <si>
    <t>Kristiinankaupunki</t>
  </si>
  <si>
    <t>Kruunupyy</t>
  </si>
  <si>
    <t>Kuhmo</t>
  </si>
  <si>
    <t>Kuhmoinen</t>
  </si>
  <si>
    <t>Kuopio</t>
  </si>
  <si>
    <t>Kuortane</t>
  </si>
  <si>
    <t>Kurikka</t>
  </si>
  <si>
    <t>Kustavi</t>
  </si>
  <si>
    <t>Kuusamo</t>
  </si>
  <si>
    <t>Kyyjärvi</t>
  </si>
  <si>
    <t>Kärkölä</t>
  </si>
  <si>
    <t>Kärsämäki</t>
  </si>
  <si>
    <t>Lahti</t>
  </si>
  <si>
    <t>Laihia</t>
  </si>
  <si>
    <t>Laitila</t>
  </si>
  <si>
    <t>Lapinjärvi</t>
  </si>
  <si>
    <t>Lapinlahti</t>
  </si>
  <si>
    <t>Lappajärvi</t>
  </si>
  <si>
    <t>Lappeenranta</t>
  </si>
  <si>
    <t>Lapua</t>
  </si>
  <si>
    <t>Laukaa</t>
  </si>
  <si>
    <t>Lemi</t>
  </si>
  <si>
    <t>Lempäälä</t>
  </si>
  <si>
    <t>Leppävirta</t>
  </si>
  <si>
    <t>Lestijärvi</t>
  </si>
  <si>
    <t>Lieksa</t>
  </si>
  <si>
    <t>Lieto</t>
  </si>
  <si>
    <t>Liminka</t>
  </si>
  <si>
    <t>Liperi</t>
  </si>
  <si>
    <t>Lohja</t>
  </si>
  <si>
    <t>Loimaa</t>
  </si>
  <si>
    <t>Loppi</t>
  </si>
  <si>
    <t>Loviisa</t>
  </si>
  <si>
    <t>Luhanka</t>
  </si>
  <si>
    <t>Lumijoki</t>
  </si>
  <si>
    <t>Luoto</t>
  </si>
  <si>
    <t>Luumäki</t>
  </si>
  <si>
    <t>Luvia</t>
  </si>
  <si>
    <t>Maalahti</t>
  </si>
  <si>
    <t>Marttila</t>
  </si>
  <si>
    <t>Masku</t>
  </si>
  <si>
    <t>Merijärvi</t>
  </si>
  <si>
    <t>Merikarvia</t>
  </si>
  <si>
    <t>Miehikkälä</t>
  </si>
  <si>
    <t>Mikkeli</t>
  </si>
  <si>
    <t>Muhos</t>
  </si>
  <si>
    <t>Multia</t>
  </si>
  <si>
    <t>Muonio</t>
  </si>
  <si>
    <t>Mustasaari</t>
  </si>
  <si>
    <t>Muurame</t>
  </si>
  <si>
    <t>Mynämäki</t>
  </si>
  <si>
    <t>Myrskylä</t>
  </si>
  <si>
    <t>Mäntsälä</t>
  </si>
  <si>
    <t>Mänttä-Vilppula</t>
  </si>
  <si>
    <t>Mäntyharju</t>
  </si>
  <si>
    <t>Naantali</t>
  </si>
  <si>
    <t>Nakkila</t>
  </si>
  <si>
    <t>Nivala</t>
  </si>
  <si>
    <t>Nokia</t>
  </si>
  <si>
    <t>Nousiainen</t>
  </si>
  <si>
    <t>Nurmes</t>
  </si>
  <si>
    <t>Nurmijärvi</t>
  </si>
  <si>
    <t>Närpiö</t>
  </si>
  <si>
    <t>Orimattila</t>
  </si>
  <si>
    <t>Oripää</t>
  </si>
  <si>
    <t>Orivesi</t>
  </si>
  <si>
    <t>Oulainen</t>
  </si>
  <si>
    <t>Oulu</t>
  </si>
  <si>
    <t>Outokumpu</t>
  </si>
  <si>
    <t>Padasjoki</t>
  </si>
  <si>
    <t>Paimio</t>
  </si>
  <si>
    <t>Paltamo</t>
  </si>
  <si>
    <t>Parikkala</t>
  </si>
  <si>
    <t>Parkano</t>
  </si>
  <si>
    <t>Pelkosenniemi</t>
  </si>
  <si>
    <t>Pello</t>
  </si>
  <si>
    <t>Perho</t>
  </si>
  <si>
    <t>Pertunmaa</t>
  </si>
  <si>
    <t>Petäjävesi</t>
  </si>
  <si>
    <t>Pieksämäki</t>
  </si>
  <si>
    <t>Pielavesi</t>
  </si>
  <si>
    <t>Pietarsaari</t>
  </si>
  <si>
    <t>Pihtipudas</t>
  </si>
  <si>
    <t>Pirkkala</t>
  </si>
  <si>
    <t>Polvijärvi</t>
  </si>
  <si>
    <t>Pomarkku</t>
  </si>
  <si>
    <t>Pori</t>
  </si>
  <si>
    <t>Pornainen</t>
  </si>
  <si>
    <t>Porvoo</t>
  </si>
  <si>
    <t>Posio</t>
  </si>
  <si>
    <t>Pudasjärvi</t>
  </si>
  <si>
    <t>Pukkila</t>
  </si>
  <si>
    <t>Punkalaidun</t>
  </si>
  <si>
    <t>Puolanka</t>
  </si>
  <si>
    <t>Puumala</t>
  </si>
  <si>
    <t>Pyhäjoki</t>
  </si>
  <si>
    <t>Pyhäntä</t>
  </si>
  <si>
    <t>Pyhäranta</t>
  </si>
  <si>
    <t>Pälkäne</t>
  </si>
  <si>
    <t>Pöytyä</t>
  </si>
  <si>
    <t>Raahe</t>
  </si>
  <si>
    <t>Raisio</t>
  </si>
  <si>
    <t>Rantasalmi</t>
  </si>
  <si>
    <t>Ranua</t>
  </si>
  <si>
    <t>Rauma</t>
  </si>
  <si>
    <t>Rautalampi</t>
  </si>
  <si>
    <t>Rautavaara</t>
  </si>
  <si>
    <t>Rautjärvi</t>
  </si>
  <si>
    <t>Reisjärvi</t>
  </si>
  <si>
    <t>Riihimäki</t>
  </si>
  <si>
    <t>Ristijärvi</t>
  </si>
  <si>
    <t>Rovaniemi</t>
  </si>
  <si>
    <t>Ruokolahti</t>
  </si>
  <si>
    <t>Ruovesi</t>
  </si>
  <si>
    <t>Rusko</t>
  </si>
  <si>
    <t>Rääkkylä</t>
  </si>
  <si>
    <t>Saarijärvi</t>
  </si>
  <si>
    <t>Salla</t>
  </si>
  <si>
    <t>Salo</t>
  </si>
  <si>
    <t>Sauvo</t>
  </si>
  <si>
    <t>Savitaipale</t>
  </si>
  <si>
    <t>Savonlinna</t>
  </si>
  <si>
    <t>Savukoski</t>
  </si>
  <si>
    <t>Seinäjoki</t>
  </si>
  <si>
    <t>Sievi</t>
  </si>
  <si>
    <t>Siikainen</t>
  </si>
  <si>
    <t>Siikajoki</t>
  </si>
  <si>
    <t>Siilinjärvi</t>
  </si>
  <si>
    <t>Simo</t>
  </si>
  <si>
    <t>Sipoo</t>
  </si>
  <si>
    <t>Siuntio</t>
  </si>
  <si>
    <t>Sodankylä</t>
  </si>
  <si>
    <t>Soini</t>
  </si>
  <si>
    <t>Somero</t>
  </si>
  <si>
    <t>Sonkajärvi</t>
  </si>
  <si>
    <t>Sotkamo</t>
  </si>
  <si>
    <t>Sulkava</t>
  </si>
  <si>
    <t>Suomussalmi</t>
  </si>
  <si>
    <t>Suonenjoki</t>
  </si>
  <si>
    <t>Sysmä</t>
  </si>
  <si>
    <t>Säkylä</t>
  </si>
  <si>
    <t>Taipalsaari</t>
  </si>
  <si>
    <t>Taivalkoski</t>
  </si>
  <si>
    <t>Taivassalo</t>
  </si>
  <si>
    <t>Tammela</t>
  </si>
  <si>
    <t>Tampere</t>
  </si>
  <si>
    <t>Tervo</t>
  </si>
  <si>
    <t>Tervola</t>
  </si>
  <si>
    <t>Teuva</t>
  </si>
  <si>
    <t>Tohmajärvi</t>
  </si>
  <si>
    <t>Toholampi</t>
  </si>
  <si>
    <t>Toivakka</t>
  </si>
  <si>
    <t>Tornio</t>
  </si>
  <si>
    <t>Turku</t>
  </si>
  <si>
    <t>Tuusniemi</t>
  </si>
  <si>
    <t>Tuusula</t>
  </si>
  <si>
    <t>Tyrnävä</t>
  </si>
  <si>
    <t>Ulvila</t>
  </si>
  <si>
    <t>Urjala</t>
  </si>
  <si>
    <t>Utajärvi</t>
  </si>
  <si>
    <t>Utsjoki</t>
  </si>
  <si>
    <t>Uurainen</t>
  </si>
  <si>
    <t>Uusikaarlepyy</t>
  </si>
  <si>
    <t>Uusikaupunki</t>
  </si>
  <si>
    <t>Vaala</t>
  </si>
  <si>
    <t>Vaasa</t>
  </si>
  <si>
    <t>Valkeakoski</t>
  </si>
  <si>
    <t>Valtimo</t>
  </si>
  <si>
    <t>Vantaa</t>
  </si>
  <si>
    <t>Varkaus</t>
  </si>
  <si>
    <t>Vehmaa</t>
  </si>
  <si>
    <t>Vesanto</t>
  </si>
  <si>
    <t>Vesilahti</t>
  </si>
  <si>
    <t>Veteli</t>
  </si>
  <si>
    <t>Vieremä</t>
  </si>
  <si>
    <t>Vihti</t>
  </si>
  <si>
    <t>Viitasaari</t>
  </si>
  <si>
    <t>Vimpeli</t>
  </si>
  <si>
    <t>Virolahti</t>
  </si>
  <si>
    <t>Virrat</t>
  </si>
  <si>
    <t>Ylitornio</t>
  </si>
  <si>
    <t>Ylivieska</t>
  </si>
  <si>
    <t>Ylöjärvi</t>
  </si>
  <si>
    <t>Ypäjä</t>
  </si>
  <si>
    <t>Ähtäri</t>
  </si>
  <si>
    <t>Äänekoski</t>
  </si>
  <si>
    <t>(Luvut 1000 euroina)</t>
  </si>
  <si>
    <t>Siirtyvät</t>
  </si>
  <si>
    <t>siitä: Maksutuotot</t>
  </si>
  <si>
    <t>siitä: Myyntituotot</t>
  </si>
  <si>
    <t>siitä: Tuet ja avustukset</t>
  </si>
  <si>
    <t>siitä: Muut toimintatuotot</t>
  </si>
  <si>
    <t>siitä: Palkat ja palkkiot</t>
  </si>
  <si>
    <t>siitä: Henkilösivukulut</t>
  </si>
  <si>
    <t>siitä: Palvelujen ostot</t>
  </si>
  <si>
    <t>siitä: Aineet, tarvikkeet, tavarat</t>
  </si>
  <si>
    <t>siitä: Avustukset</t>
  </si>
  <si>
    <t>siitä: Muut toimintakulut</t>
  </si>
  <si>
    <t>Yhteisövero</t>
  </si>
  <si>
    <t xml:space="preserve">      siitä: Kunnan tulovero</t>
  </si>
  <si>
    <t xml:space="preserve">      siitä: Osuus yhteisöveron tuotosta</t>
  </si>
  <si>
    <t>Valitse kunta:</t>
  </si>
  <si>
    <t>siirtyvät</t>
  </si>
  <si>
    <t>Lakisääteisten kuntayhtymien jäsenkunnat ja maakunta voivat sopia, että osa kuntayhtymän maaomaisuudesta jää jäsenkunnille. Kuntien maaomaisuuteen mahdollista lisäystä taseen pysyviin vastaaviin, jos esim. kunta joutuu lunastamaan muiden jäsenkuntien osuudet esimerkiksi rajojensa sisäpuolella olevasta maa-alueesta.</t>
  </si>
  <si>
    <t>Perusterveydenhuollon, erikoissairaanhoidon, sosiaalitoimen ja pelastustoimen käytössä oleva irtain omaisuus siirtyy. Maakunnalle ei siirry sellainen kunnan omistama irtaimisto tai osakkeet, jota kunta käyttää työterveyshuoltolain mukaisessa toiminnassa. Kunta ja maakunta voivat sopia irtaimen omaisuuden siirtymisestä myös toisin kuin lakiehdotuksessa todetaan.</t>
  </si>
  <si>
    <t>siitä: Toimeksiantojen varojen ja pääomien muutos</t>
  </si>
  <si>
    <t>siitä: Vaihto-omaisuuden muutos</t>
  </si>
  <si>
    <t>siitä: Saamisten muutos</t>
  </si>
  <si>
    <t>siitä: Korottomien velkojen muutos</t>
  </si>
  <si>
    <t>siitä: Pitkäaikaisten lainojen lisäys</t>
  </si>
  <si>
    <t>siitä: Pitkäaikaisten lainojen vähennys</t>
  </si>
  <si>
    <t>siitä: Lyhytaikaisten lainojen muutos</t>
  </si>
  <si>
    <t>siitä: Antolainasaamisten lisäykset</t>
  </si>
  <si>
    <t>siitä: Antolainasaamisten vähennykset</t>
  </si>
  <si>
    <t>Sote-tehtävien toteutattamiseksi testamentatut pääomat?</t>
  </si>
  <si>
    <t>Lainanhoitokate kertoo kunnan/konsernin tulorahoituksen riittävyyden vieraan pääoman korkojen ja lyhennysten maksuun.</t>
  </si>
  <si>
    <t>kun tunnusluvun arvo on yli 2, niin lainanhoitokyky on hyvä</t>
  </si>
  <si>
    <t>kun tunnusluku on 1 – 2 lainahoitokyky on tyydyttävä</t>
  </si>
  <si>
    <t>kun tunnusluvun arvo on 1 tai suurempi, niin tulorahoitus riittää lainojen hoitoon</t>
  </si>
  <si>
    <t>kun tunnusluvun arvo jää alle yhden lainahoitokyky on heikko, joudutaan vieraan pääoman hoitoon ottamaan lisälainaa, realisoimaan kunnan/konserni-yhteisöjen omaisuutta tai vähentämään rahavaroja.</t>
  </si>
  <si>
    <t>Siirtyviin toimintoihin liittyviä rahoitusosuuksia poistuu</t>
  </si>
  <si>
    <t>(luvut 1000€), vaihda kuntaa tuloslaskelmasta</t>
  </si>
  <si>
    <t>(Luvut 1000€), vaihda kuntaa tuloslaskelmasta</t>
  </si>
  <si>
    <t>= Vieras pääoma - (Saadut ennakot + Ostovelat + Siirtovelat + Muut velat)</t>
  </si>
  <si>
    <t xml:space="preserve">                  1000  euroa</t>
  </si>
  <si>
    <t xml:space="preserve">Perusterveydenhuollon, erikoissairaanhoidon, sosiaalitoimen ja pelastustoimen käytössä olevat immateriaaliset oikeudet ja luvat siirtyvät maakunnalle.  </t>
  </si>
  <si>
    <t xml:space="preserve">Käyttötarkoituksettomaksi jäävät sote-/pelastustoimen kiinteistöt poistettava kolmen vuoden kuluessa. Maakunnalle ei siirry sellaiset toimitilaa koskevat vuokrasopimukset, joissa kunta on sitoutunut lunastamaan kyseisen tilan omistukseensa sopimuskauden päätyttyä, jolleivät maakunta ja kunta toisin sovi. </t>
  </si>
  <si>
    <t>Perusterveydenhuollon, erikoissairaanhoidon, sosiaalitoimen ja pelastustoimen käytössä oleva irtain omaisuus siirtyy maakunnalle.</t>
  </si>
  <si>
    <t>Shp:n, erityishuoltopiirien ja maakuntien liittojen kuntayhtymäosuudet poistuvat (huom. jos ollut muuta kuin lakisääteistä tehtävää, järjesteltävä uudelleen). Kirjataan peruspääomaa vastaan.</t>
  </si>
  <si>
    <t>Pienenee siirtyvän omaisuuden verran (ky-osuudet, irtain omaisuus)</t>
  </si>
  <si>
    <t>Jos siirtyviin osakkeisiin ja osuuksiin on tehty arvonkorotus, se pitää purkaa.</t>
  </si>
  <si>
    <t xml:space="preserve">Kuntien lainat eivät siirry. </t>
  </si>
  <si>
    <t>Investointien tulorahoitus %</t>
  </si>
  <si>
    <t>euroa</t>
  </si>
  <si>
    <t>Kunnan omistamat sellaisen oy:n osakkeet, jotka kunta omistaa sosiaali- ja terveydenhuollon palvelujen järjestämistä tai tuottamista varten,päätoimiala on sote-palvelujen tuottaminen, on kunnan tytäryhteisö, omistusyhteysyritys tai osakkuusyritys tai jossa kuntien yhteenlaskettu omistusosuus muodostaa tässä tarkoitetun omistusosuuden ja jonka kanssa kunnalla on sopimus 2019 sote-palveluista - poistuvat. Poistaminen kirjataan peruspääomaa vastaan. Maakuntaan ei siirry sellainen kunnan omistama irtaimisto tai osakkeet, jotka kunta omistaa työterveyshuoltolaissa säädettyjen velvoitteidensa täyttämiseksi.</t>
  </si>
  <si>
    <t>Testamentin määräykset huomioiden varmistettava, miten käsitellään, jos liittyy siirtyvään toimintaan.</t>
  </si>
  <si>
    <t>Siirtymätasaukset ja pysyvä järjestelmämuutoksen</t>
  </si>
  <si>
    <t>(pysyvä)</t>
  </si>
  <si>
    <t>Toimintakate +</t>
  </si>
  <si>
    <t>Kunnallisvero</t>
  </si>
  <si>
    <t>Kiinteistö-</t>
  </si>
  <si>
    <t>VOS</t>
  </si>
  <si>
    <t>Rahoitus-</t>
  </si>
  <si>
    <t>Verotus-</t>
  </si>
  <si>
    <t>1. vuosi</t>
  </si>
  <si>
    <t>2. vuosi</t>
  </si>
  <si>
    <t>3. vuosi</t>
  </si>
  <si>
    <t>4. vuosi</t>
  </si>
  <si>
    <t>5. vuosi</t>
  </si>
  <si>
    <t>As.luku</t>
  </si>
  <si>
    <t>maksuunpano</t>
  </si>
  <si>
    <t>vero</t>
  </si>
  <si>
    <t>VM</t>
  </si>
  <si>
    <t>muutosraj.</t>
  </si>
  <si>
    <t>kust.</t>
  </si>
  <si>
    <t>siirtymä</t>
  </si>
  <si>
    <t>alenema</t>
  </si>
  <si>
    <t>nro</t>
  </si>
  <si>
    <t>Alue</t>
  </si>
  <si>
    <t>€/as</t>
  </si>
  <si>
    <t>Koski tl</t>
  </si>
  <si>
    <t>Uusi kunta</t>
  </si>
  <si>
    <t>Kiinteistövero</t>
  </si>
  <si>
    <t>Mahdolliset omaisuuden myynnit.</t>
  </si>
  <si>
    <t>toimintakate</t>
  </si>
  <si>
    <t>(vaihda kuntaa tuloslaskelma -välilehdeltä)</t>
  </si>
  <si>
    <t>poistuvat</t>
  </si>
  <si>
    <t>poistot</t>
  </si>
  <si>
    <t>Kuvio1. Toimintakatteen, poistojen ja rahoituksen muutos.</t>
  </si>
  <si>
    <t>Nykyinen tasapaino</t>
  </si>
  <si>
    <t>Uusi tasapaino</t>
  </si>
  <si>
    <t>Toimintatuotot (sis. Sisäiset)</t>
  </si>
  <si>
    <t>Toimintakulut (sis. Sisäiset)</t>
  </si>
  <si>
    <t>Vyörytystuotot</t>
  </si>
  <si>
    <t>Jalasjärvi</t>
  </si>
  <si>
    <t>Hämeenkoski</t>
  </si>
  <si>
    <t>Köyliö</t>
  </si>
  <si>
    <t>Nastola</t>
  </si>
  <si>
    <t>20161104 09:00</t>
  </si>
  <si>
    <t>Tilastokeskus</t>
  </si>
  <si>
    <t>&lt;A HREF=http://tilastokeskus.fi/til/kta/index.html TARGET=_blank&gt;Tilaston kotisivu&lt;/A&gt;</t>
  </si>
  <si>
    <t>&lt;A HREF=http://tilastokeskus.fi/til/kta/yht.html TARGET=_blank&gt;Lisätietoja&lt;/A&gt;</t>
  </si>
  <si>
    <t>1 000 euroa</t>
  </si>
  <si>
    <t>kta</t>
  </si>
  <si>
    <t>Vuoden 2015 kuntajako</t>
  </si>
  <si>
    <t>Työllistymistä tukevat palvelut</t>
  </si>
  <si>
    <t>Sosiaali- ja terveystoiminta yhteensä</t>
  </si>
  <si>
    <t>Palo- ja pelastustoiminta</t>
  </si>
  <si>
    <t>Vyörytyskulut</t>
  </si>
  <si>
    <t>käyttötalous yhteensä</t>
  </si>
  <si>
    <t>TP15 vuoden 2015 jaolla</t>
  </si>
  <si>
    <t>siitä: Henkilöstökulut (summaa alla olevat)</t>
  </si>
  <si>
    <t>Siirtyvä</t>
  </si>
  <si>
    <t>Vaikutus tuloslaskelman kautta (ei hae automaattisesti tuloslaskelma -välilehdeltä!)</t>
  </si>
  <si>
    <t>Jäljelle</t>
  </si>
  <si>
    <t>VOS,</t>
  </si>
  <si>
    <t>Muut</t>
  </si>
  <si>
    <t>Nykyinen</t>
  </si>
  <si>
    <t>jäävien teht.</t>
  </si>
  <si>
    <t>poistot ja arvonal.</t>
  </si>
  <si>
    <t>tulot</t>
  </si>
  <si>
    <t>nettokust.</t>
  </si>
  <si>
    <t>(40 %:n oma-</t>
  </si>
  <si>
    <t>(nykyverojärj.)</t>
  </si>
  <si>
    <t>(ei muutu)</t>
  </si>
  <si>
    <t>vastuu)</t>
  </si>
  <si>
    <t>(hyöty)</t>
  </si>
  <si>
    <t>Poistot</t>
  </si>
  <si>
    <t>siitä: Osinkotuotot</t>
  </si>
  <si>
    <t>siitä: Korkotuotot</t>
  </si>
  <si>
    <t>siitä: Muut rahoitustuotot</t>
  </si>
  <si>
    <t>siitä: Korkokulut</t>
  </si>
  <si>
    <t>siitä: Muut rahoituskulut</t>
  </si>
  <si>
    <t xml:space="preserve">      siitä: Kiinteistövero</t>
  </si>
  <si>
    <t>Rahoituserät</t>
  </si>
  <si>
    <t>Siirtymätasaus</t>
  </si>
  <si>
    <t>Vuonna 2023</t>
  </si>
  <si>
    <t xml:space="preserve">Nro </t>
  </si>
  <si>
    <t>2018**</t>
  </si>
  <si>
    <t>2019**</t>
  </si>
  <si>
    <t>2020**</t>
  </si>
  <si>
    <t>Maksuunpantu kunnallisvero</t>
  </si>
  <si>
    <t>Nykykunta</t>
  </si>
  <si>
    <t>Vanha kunta</t>
  </si>
  <si>
    <t>Yksityiskohtainen erittely nykyisen ja uuden rahoituksen muodostumisesta</t>
  </si>
  <si>
    <t>Kuntiin jäävien tehtävien ja niiden rahoituksen osalta (sote-tehtävien siirron jälkeen)</t>
  </si>
  <si>
    <t xml:space="preserve">HUOM! Tässä ei ole huomiotu uutta siirtymätasausta, joka jää pysyväksi siten, että tasapainon muutos </t>
  </si>
  <si>
    <t>NYKYINEN TULOSLASKELMA:</t>
  </si>
  <si>
    <t>Tasapainon</t>
  </si>
  <si>
    <t>Tasapaino</t>
  </si>
  <si>
    <t>muutos</t>
  </si>
  <si>
    <t>pl. siirtymätasaus</t>
  </si>
  <si>
    <t>Kristiinankaup.</t>
  </si>
  <si>
    <t>Pedersören k.</t>
  </si>
  <si>
    <t>€</t>
  </si>
  <si>
    <t>Vuonna 2024</t>
  </si>
  <si>
    <t>Koko kunta</t>
  </si>
  <si>
    <t>Sote</t>
  </si>
  <si>
    <t>P&amp;P</t>
  </si>
  <si>
    <t>TILITYKSET</t>
  </si>
  <si>
    <t>Kunnan rahoituslaskelma ja skenaario vuodesta 2020</t>
  </si>
  <si>
    <t>Lähde: Kuntien tilinpäätösarvio (TPA17), Tilastokeskus</t>
  </si>
  <si>
    <t>Vuoden 2017 tilinpäätösarvioista ei ole saatavilla kaikkia rahoituslaskelman eriä.</t>
  </si>
  <si>
    <t>Kunnan tase 31.12.2017</t>
  </si>
  <si>
    <t>Suhteellinen velkaantuneisuus, %</t>
  </si>
  <si>
    <t>Lähde: Kuntien tilinpäätösarviot 2017, Tilastokeskus</t>
  </si>
  <si>
    <t>TPA2017</t>
  </si>
  <si>
    <t>…tämä suoraan tuloslaskelmasta (huom. 2019 tasoiset tiedot)</t>
  </si>
  <si>
    <t>toimintakatteen painelaskelma: ei käytössä</t>
  </si>
  <si>
    <t>manner-suomi</t>
  </si>
  <si>
    <t>linkki VM sivuille</t>
  </si>
  <si>
    <t>Toimintakatteen painelaskelmat. Lähde: VM</t>
  </si>
  <si>
    <t>Tarkempi aineistokuvaus</t>
  </si>
  <si>
    <r>
      <t>(</t>
    </r>
    <r>
      <rPr>
        <sz val="9"/>
        <rFont val="Calibri"/>
        <family val="2"/>
      </rPr>
      <t>©)</t>
    </r>
    <r>
      <rPr>
        <sz val="9"/>
        <rFont val="Arial"/>
        <family val="2"/>
      </rPr>
      <t xml:space="preserve"> Suomen Kuntaliitto 2018</t>
    </r>
  </si>
  <si>
    <t>Manner-Suomi</t>
  </si>
  <si>
    <r>
      <t>(</t>
    </r>
    <r>
      <rPr>
        <i/>
        <sz val="9"/>
        <rFont val="Calibri"/>
        <family val="2"/>
      </rPr>
      <t>©)</t>
    </r>
    <r>
      <rPr>
        <i/>
        <sz val="9"/>
        <rFont val="Arial"/>
        <family val="2"/>
      </rPr>
      <t xml:space="preserve"> Suomen Kuntaliitto 2018</t>
    </r>
  </si>
  <si>
    <t>VOS VM</t>
  </si>
  <si>
    <t>siitä: Muutosrajoitin</t>
  </si>
  <si>
    <t>siitä: Siirtymätasaus (jaksotettu)</t>
  </si>
  <si>
    <t>(ml. Poistot)</t>
  </si>
  <si>
    <t>TILIKAUDEN YLIJÄÄMÄ (ALIJÄÄMÄ)</t>
  </si>
  <si>
    <t>2021**</t>
  </si>
  <si>
    <t>**2021</t>
  </si>
  <si>
    <t>Siirtyvät kulut yhteensä</t>
  </si>
  <si>
    <t>Siirtyvät tuotot yhteensä</t>
  </si>
  <si>
    <t>Erotus</t>
  </si>
  <si>
    <t>Sote vos</t>
  </si>
  <si>
    <t>Muutosrajoitin</t>
  </si>
  <si>
    <t>Siirrettävä</t>
  </si>
  <si>
    <t>(vain se)</t>
  </si>
  <si>
    <t>(vaihda kunta tuloslaskelma -välilehdeltä)</t>
  </si>
  <si>
    <t>Verotuloihin perustuvan</t>
  </si>
  <si>
    <t>tasauksen</t>
  </si>
  <si>
    <t>Verotuloihin perustuvan tasauksen muutos</t>
  </si>
  <si>
    <t>SIIRTYVÄT KUSTANNUKSET</t>
  </si>
  <si>
    <t>SIIRTYVÄT TUOTOT</t>
  </si>
  <si>
    <t>Huomioita:</t>
  </si>
  <si>
    <t>Jakoavain hakee tuloslaskelma -välilehdeltä siirtyvän toimintakatteen ja käy viemässä muutosrajoittimen arvon takaisin.</t>
  </si>
  <si>
    <t>Jos sotekustannukset (siirtyvät toimintakate) pienenevät, kasvaa muutosrajoittimen arvo.</t>
  </si>
  <si>
    <t>Ks. Kaavaviittaukset.</t>
  </si>
  <si>
    <t>Verotuloihin perustuva tasauksen muutos ei muutu tässä vaikka tietoja muutetaan.</t>
  </si>
  <si>
    <t xml:space="preserve"> 31.12.2018</t>
  </si>
  <si>
    <t xml:space="preserve"> (toim.kate+poistot)</t>
  </si>
  <si>
    <t>Verotulomenetysten</t>
  </si>
  <si>
    <t>kompensaatiot</t>
  </si>
  <si>
    <t>huom. ILMAN SIIRTYMÄTASAUSTA</t>
  </si>
  <si>
    <t>Vuonna 2025</t>
  </si>
  <si>
    <t>Vuonna 2026</t>
  </si>
  <si>
    <t>Vuonna 2027</t>
  </si>
  <si>
    <t>kompensaatio</t>
  </si>
  <si>
    <t>Siirtymätasaukset (€):</t>
  </si>
  <si>
    <t>Verotulomenetysten kompensaatiot</t>
  </si>
  <si>
    <t>ml.neutralisointi</t>
  </si>
  <si>
    <t>1000 €</t>
  </si>
  <si>
    <t>maksuunpannut verot (VM:n siirtolaskelman mukaan)</t>
  </si>
  <si>
    <t>siitä: Opetus- ja kulttuuritoimen muut valtionosuudet</t>
  </si>
  <si>
    <t>siitä: Kunnan peruspalvelujen valtionosuus</t>
  </si>
  <si>
    <t>siitä: Verotulomenetysten kompensaatiot</t>
  </si>
  <si>
    <t>Kunnan tuloslaskelma ja skenaario vuodesta 2023 eteenpäin</t>
  </si>
  <si>
    <t>ilman</t>
  </si>
  <si>
    <t>siirtymätasausta</t>
  </si>
  <si>
    <t>(tuloslaskelmasta)</t>
  </si>
  <si>
    <t>Vain valitun kunnan tiedot</t>
  </si>
  <si>
    <t>Muutos</t>
  </si>
  <si>
    <t>huom. Tasapaino muuttuu vielä järjestelmätasauksen porrastuksen takia, tasauksen pysyvä taso saavutetaan viimeistään vuonna 2027.</t>
  </si>
  <si>
    <t>Uuden kunnan</t>
  </si>
  <si>
    <t>erät (netto)</t>
  </si>
  <si>
    <t>tasaus (ml. Koko maan nettomäärän neutralisointi):</t>
  </si>
  <si>
    <t>rajataan enimmillään +/- 60 euroon asukasta kohden 5. vuoden jälkeen</t>
  </si>
  <si>
    <t>HV-alue</t>
  </si>
  <si>
    <t>OKM, 2022</t>
  </si>
  <si>
    <t>UUSI TULOSLASKELMA (vuoden 2022 hintatasossa):</t>
  </si>
  <si>
    <t>Muutosrajoittimen laskennassa huomioidaan kunta-valtionsuhteen neutraalisointi joka on noin 0,3 €/asukas</t>
  </si>
  <si>
    <t>(Muutosrahoittimessa huomioitavat siirtyvät tuotot)</t>
  </si>
  <si>
    <t>Siirtyvät tuotot yhteensä:</t>
  </si>
  <si>
    <t>Muutosrajoittimen laskennassa ei huomioida kaikkia valtionosuuteen tulevia kriteerimuutoksia. Tämän vuoksi todelliset siirtyvät tuotot poikkeavat muutosrajoittimen pohjana käytetyistä siirtyvistä tuotoista.</t>
  </si>
  <si>
    <t>Erotus:</t>
  </si>
  <si>
    <t>1)</t>
  </si>
  <si>
    <t>1) Muutosrajoittimen laskennassa huomioitu erotus (ei sisällä kaikki vos-kriteerimuutoksia)</t>
  </si>
  <si>
    <t>Molemmat summat on esitetty laskurissa. Siirtyvien tuottojen kokonaissumma (huomioiden myös nämä muut vos-kriteerimuutokset) huomioidaan kuitenkin siirtymätasauksen laskennassa.</t>
  </si>
  <si>
    <t>(Jos miinus: tasaus paranee euromääräisesti)</t>
  </si>
  <si>
    <t>&lt;</t>
  </si>
  <si>
    <t>Jakoavain kuntien tilinpäätösmuutokset</t>
  </si>
  <si>
    <t>Jakoavain simuloi puhtaasti sote-uudistuksen talousvaikutusta kunnan tuloslaskelmaan eikä se huomioi muita muutoksia.</t>
  </si>
  <si>
    <t xml:space="preserve"> 31.12.2021</t>
  </si>
  <si>
    <t>siitä: Lopputarkistuksen yhteisesti leikattava osuus</t>
  </si>
  <si>
    <t>Asukasluku 31.12.2021:</t>
  </si>
  <si>
    <t>+4 €/as</t>
  </si>
  <si>
    <t xml:space="preserve"> +/- 15 €/as</t>
  </si>
  <si>
    <t xml:space="preserve"> +/- 30 €/as</t>
  </si>
  <si>
    <t xml:space="preserve"> +/- 45 €/as</t>
  </si>
  <si>
    <t xml:space="preserve"> +/-60 €/as</t>
  </si>
  <si>
    <t>ml. Neutralisointi (vuodet 2024-2027)</t>
  </si>
  <si>
    <t>Sen vuoksi Jakoavaimen ja sen taustalla olevien siirtolaskelmien luvut eroavat esimerkiksi veroennusteista sekä vuoden 2023 ennakollisista valtionosuuslaskelmista,</t>
  </si>
  <si>
    <t>joissa on huomioitu esimerkiksi tehtävämuutoksista aiheutuvat vos-korjaukset ja väestömuutokset.</t>
  </si>
  <si>
    <t>Koko maan neutralisointi joka huomioidaan siirtymätasauksessa:</t>
  </si>
  <si>
    <t>siitä: Lopputarkistuksen takaisinperintä vuodelta 2023</t>
  </si>
  <si>
    <t>Tasasuuruisesti leikattava vos (lopputarkistus)</t>
  </si>
  <si>
    <t>(…kun huomioidaan kaikki vos-kriteeri- ja tasausmuutokset)</t>
  </si>
  <si>
    <t>ei muutu</t>
  </si>
  <si>
    <t>alkup.laskelma</t>
  </si>
  <si>
    <t>TP21</t>
  </si>
  <si>
    <t>kulut</t>
  </si>
  <si>
    <t>toimintate ja poistot</t>
  </si>
  <si>
    <t>sote</t>
  </si>
  <si>
    <t>pela</t>
  </si>
  <si>
    <t>sote-korotuskerroin:</t>
  </si>
  <si>
    <t>pela-korotuskerroin:</t>
  </si>
  <si>
    <t>Lopputarkistuksen leikkaus otetaan kaikilta €/asukas ja se huomioidaan osana muutosrajoitinta. Tarkennan arvioita tähän sitten kun tietoja on enemmän käytössä.</t>
  </si>
  <si>
    <t>(siirtymätasaus €/asukas)</t>
  </si>
  <si>
    <t>(tasapainotilan muutos)</t>
  </si>
  <si>
    <t>Tasapaino 2022</t>
  </si>
  <si>
    <t>Tasapaino 2024</t>
  </si>
  <si>
    <t>Tasapaino 2025</t>
  </si>
  <si>
    <t>Tasapaino 2026</t>
  </si>
  <si>
    <t>Tasapaino 2027</t>
  </si>
  <si>
    <t>Tasapaino ilman siirtymätasausta</t>
  </si>
  <si>
    <t xml:space="preserve">  Lopputarkistettu siirtolaskelma</t>
  </si>
  <si>
    <t/>
  </si>
  <si>
    <t>(€/asukas)</t>
  </si>
  <si>
    <t>Muutosrajoitin lasketaan siirtyvistä kustannuksista ja tuotoista.</t>
  </si>
  <si>
    <t>Muutosrajoitin lasketaan maksuunpannuista verotuloista.</t>
  </si>
  <si>
    <t>Tasapaino 2023 (alustava laskelma)</t>
  </si>
  <si>
    <t>Siirtyvän</t>
  </si>
  <si>
    <t>KUVEn</t>
  </si>
  <si>
    <t>osuus</t>
  </si>
  <si>
    <t>%</t>
  </si>
  <si>
    <t>YVENn</t>
  </si>
  <si>
    <t>Kunnallisveron simulointi:</t>
  </si>
  <si>
    <t>Yhteisöveron simulointi:</t>
  </si>
  <si>
    <t>Siirtyvät erät</t>
  </si>
  <si>
    <t>Maksuunpantu vero 2022:</t>
  </si>
  <si>
    <t>Tilikauden tulos €/asukas</t>
  </si>
  <si>
    <t>Muokattu</t>
  </si>
  <si>
    <t>Ero</t>
  </si>
  <si>
    <t>Alkuperäinen</t>
  </si>
  <si>
    <t>Ero (€/asukas)</t>
  </si>
  <si>
    <t>Tilikauden tulos:</t>
  </si>
  <si>
    <t>Valtionosuudet:</t>
  </si>
  <si>
    <t>Jakoavain on kuntien tueksi laadittu apuväline. Lähtötiedot on tarkoitettu taloussuunnittelun ja laskennan pohjaksi.</t>
  </si>
  <si>
    <t>(korvaa tp22 luvulla)</t>
  </si>
  <si>
    <t xml:space="preserve">VM vos </t>
  </si>
  <si>
    <t>(1000€)</t>
  </si>
  <si>
    <t>Simuloitu</t>
  </si>
  <si>
    <t>tasapaino</t>
  </si>
  <si>
    <t>Vanha</t>
  </si>
  <si>
    <t>Vanha nettokulu</t>
  </si>
  <si>
    <t>Uusi nettokulu</t>
  </si>
  <si>
    <t>Vanha verotulo</t>
  </si>
  <si>
    <t>Uusi verotulo</t>
  </si>
  <si>
    <t>Lopputarkistus euroa:</t>
  </si>
  <si>
    <t>Lopputarkistuksen tasasuuruinen vos-leikkaus (€/as):</t>
  </si>
  <si>
    <t>Ohjetekstit siirretty solukommentteihin.</t>
  </si>
  <si>
    <r>
      <t>(</t>
    </r>
    <r>
      <rPr>
        <sz val="9"/>
        <rFont val="Calibri"/>
        <family val="2"/>
      </rPr>
      <t>©)</t>
    </r>
    <r>
      <rPr>
        <sz val="9"/>
        <rFont val="Arial"/>
        <family val="2"/>
      </rPr>
      <t xml:space="preserve"> Suomen Kuntaliitto 2023</t>
    </r>
  </si>
  <si>
    <t>Siirtyvien sote-nettokäyttökulujen simulointi:</t>
  </si>
  <si>
    <t>Siirtyvien pela-nettokäyttökulujen simulointi:</t>
  </si>
  <si>
    <t>muutosrajoittimen jetsutus:</t>
  </si>
  <si>
    <t>TPA22</t>
  </si>
  <si>
    <t>&lt;- esitäytetty tilinpäätösarvion 2022 mukaiset kulut</t>
  </si>
  <si>
    <t>Päivitetty 16.3.2023/Mehtonen</t>
  </si>
  <si>
    <t>Perustuu VM:n loppuvuodesta 2022 julkaisemiin sote-siirtolaskelmiin sekä Tilastokeskuksen alkuvuodesta 2023 keräämiin sote-tilinpäätösarviotietoihin.</t>
  </si>
  <si>
    <t>Jakoavain työkalu soveltuu parhaiten sote-uudistuksen ja esimerkiksi sote-kulujen muutosten simulointiin, kun taas ennakolliset valtionosuuslaskelmat sisältävät</t>
  </si>
  <si>
    <t>vuoden 2023 budjetoinnin kannalta keskeisen luvut.</t>
  </si>
  <si>
    <t>Siirtolaskelmien lopputarkistus tehdään loppuvuodesta 2023. Lopputarkistus näkyy valtionosuuksissa vuodesta 2024 alkaen. Vuoden 2023 vos-maksatus korjataan takautuvasti vuosina 2024 ja 2025.</t>
  </si>
  <si>
    <t>Terveisin, Mikko.</t>
  </si>
  <si>
    <t>050-592 8986</t>
  </si>
  <si>
    <t>Toimintakate + poistot</t>
  </si>
  <si>
    <t>TOIMINTAKATE + POISTOT</t>
  </si>
  <si>
    <t>Poistot ja arvonalentumiset (yllä)</t>
  </si>
  <si>
    <t>-</t>
  </si>
  <si>
    <t>MP kunnallisvero</t>
  </si>
  <si>
    <t>MP yhteisövero</t>
  </si>
  <si>
    <t>&lt;-esitäytettynä verokehikosta viimeisin verotuloarvio (MP2022)</t>
  </si>
  <si>
    <t>Päivitetty: 17.3.2023 Mehtonen</t>
  </si>
  <si>
    <t>TP21:</t>
  </si>
  <si>
    <t>TPA22:</t>
  </si>
  <si>
    <t>Muutosrajoitin sekä siirtymätasaus tulevat sellaisenaan tuleviin vos-laskelmiin, seuraa Jakoavaimesta näitä rivejä!</t>
  </si>
  <si>
    <t>Jakoavain perustuu viimeisimpään arvioon (16.3.2023) lopputarkistuksen suuruudesta.</t>
  </si>
  <si>
    <t>Päivitys 17.3: Vuoden 2022 sote- ja pelakulut esitäytetty tilinpäätösarviotietojen mukaisena. Siirtyvien kulujen keskiarvolaskelman korotuskertoimet päivitetty.</t>
  </si>
  <si>
    <t>Veroennustekehikosta on tuotu viimeisimmät kuntakohtaiset veroennusteet.</t>
  </si>
  <si>
    <t>(ei sisällä KL ennusteita)</t>
  </si>
  <si>
    <t>&lt;- seuraa muutosrajoitinta,</t>
  </si>
  <si>
    <t>&lt;- siirtymätasausta,</t>
  </si>
  <si>
    <t>&lt;- sekä lopputarkitusta ja sen takaisinperintää</t>
  </si>
  <si>
    <t xml:space="preserve"> Ne tulevat vos-laskelmiin sellaisenaan!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</si>
</sst>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0\ &quot;€&quot;;[Red]\-#,##0\ &quot;€&quot;"/>
    <numFmt numFmtId="164" formatCode="#,##0.0"/>
    <numFmt numFmtId="165" formatCode="0.0"/>
    <numFmt numFmtId="166" formatCode="#,##0_);\(#,##0\)"/>
    <numFmt numFmtId="167" formatCode="#,##0_ ;[Red]\-#,##0\ "/>
    <numFmt numFmtId="168" formatCode="0.0000"/>
    <numFmt numFmtId="169" formatCode="#,##0.000"/>
    <numFmt numFmtId="170" formatCode="#\ ###\ ###\ ##0"/>
    <numFmt numFmtId="171" formatCode="General_)"/>
    <numFmt numFmtId="172" formatCode="0.000"/>
    <numFmt numFmtId="173" formatCode="#,##0.0000"/>
    <numFmt numFmtId="174" formatCode="#,##0.0_ ;[Red]\-#,##0.0\ "/>
    <numFmt numFmtId="175" formatCode="#,##0.000_ ;[Red]\-#,##0.000\ "/>
    <numFmt numFmtId="176" formatCode="#,##0.0000_ ;[Red]\-#,##0.0000\ "/>
    <numFmt numFmtId="177" formatCode="0E+00"/>
    <numFmt numFmtId="178" formatCode="#,##0.0000000_ ;[Red]\-#,##0.0000000\ "/>
    <numFmt numFmtId="179" formatCode="#,##0.00_ ;[Red]\-#,##0.00\ "/>
  </numFmts>
  <fonts count="95" x14ac:knownFonts="1">
    <font>
      <sz val="10"/>
      <name val="Arial"/>
    </font>
    <font>
      <b/>
      <sz val="10"/>
      <name val="Arial"/>
      <family val="2"/>
    </font>
    <font>
      <sz val="9"/>
      <name val="Arial"/>
      <family val="2"/>
    </font>
    <font>
      <sz val="8"/>
      <name val="Arial"/>
      <family val="2"/>
    </font>
    <font>
      <sz val="10"/>
      <name val="Arial"/>
      <family val="2"/>
    </font>
    <font>
      <sz val="8"/>
      <name val="Arial Narrow"/>
      <family val="2"/>
    </font>
    <font>
      <sz val="10"/>
      <name val="Arial Narrow"/>
      <family val="2"/>
    </font>
    <font>
      <b/>
      <sz val="12"/>
      <name val="Arial"/>
      <family val="2"/>
    </font>
    <font>
      <i/>
      <sz val="10"/>
      <name val="Arial"/>
      <family val="2"/>
    </font>
    <font>
      <i/>
      <sz val="10"/>
      <name val="Arial Narrow"/>
      <family val="2"/>
    </font>
    <font>
      <sz val="11"/>
      <name val="Calibri"/>
      <family val="2"/>
    </font>
    <font>
      <b/>
      <sz val="8"/>
      <name val="Arial"/>
      <family val="2"/>
    </font>
    <font>
      <u/>
      <sz val="10"/>
      <name val="Arial"/>
      <family val="2"/>
    </font>
    <font>
      <i/>
      <sz val="8"/>
      <name val="Arial"/>
      <family val="2"/>
    </font>
    <font>
      <b/>
      <u/>
      <sz val="8"/>
      <name val="Arial"/>
      <family val="2"/>
    </font>
    <font>
      <sz val="9"/>
      <name val="Calibri"/>
      <family val="2"/>
    </font>
    <font>
      <b/>
      <sz val="14"/>
      <name val="Arial"/>
      <family val="2"/>
    </font>
    <font>
      <i/>
      <sz val="9"/>
      <name val="Arial"/>
      <family val="2"/>
    </font>
    <font>
      <b/>
      <sz val="10"/>
      <name val="Arial Narrow"/>
      <family val="2"/>
    </font>
    <font>
      <i/>
      <sz val="9"/>
      <name val="Calibri"/>
      <family val="2"/>
    </font>
    <font>
      <sz val="11"/>
      <name val="Arial"/>
      <family val="2"/>
    </font>
    <font>
      <sz val="12"/>
      <name val="Arial"/>
      <family val="2"/>
    </font>
    <font>
      <u/>
      <sz val="11"/>
      <name val="Arial"/>
      <family val="2"/>
    </font>
    <font>
      <b/>
      <vertAlign val="superscript"/>
      <sz val="12"/>
      <name val="Arial"/>
      <family val="2"/>
    </font>
    <font>
      <b/>
      <u/>
      <sz val="18"/>
      <name val="Arial"/>
      <family val="2"/>
    </font>
    <font>
      <sz val="9"/>
      <color indexed="81"/>
      <name val="Tahoma"/>
      <family val="2"/>
    </font>
    <font>
      <b/>
      <sz val="9"/>
      <color indexed="81"/>
      <name val="Tahoma"/>
      <family val="2"/>
    </font>
    <font>
      <sz val="8"/>
      <name val="Arial"/>
      <family val="2"/>
    </font>
    <font>
      <sz val="11"/>
      <color theme="1"/>
      <name val="Calibri"/>
      <family val="2"/>
      <scheme val="minor"/>
    </font>
    <font>
      <sz val="11"/>
      <color theme="0"/>
      <name val="Calibri"/>
      <family val="2"/>
      <scheme val="minor"/>
    </font>
    <font>
      <u/>
      <sz val="10"/>
      <color theme="10"/>
      <name val="Arial"/>
      <family val="2"/>
    </font>
    <font>
      <sz val="10"/>
      <color theme="1"/>
      <name val="Verdana"/>
      <family val="2"/>
    </font>
    <font>
      <sz val="11"/>
      <color rgb="FF000000"/>
      <name val="Calibri"/>
      <family val="2"/>
    </font>
    <font>
      <sz val="9"/>
      <color theme="1"/>
      <name val="Arial"/>
      <family val="2"/>
    </font>
    <font>
      <sz val="10"/>
      <color theme="1"/>
      <name val="Arial"/>
      <family val="2"/>
    </font>
    <font>
      <b/>
      <sz val="10"/>
      <color theme="1"/>
      <name val="Arial"/>
      <family val="2"/>
    </font>
    <font>
      <sz val="10"/>
      <color rgb="FFFF0000"/>
      <name val="Arial"/>
      <family val="2"/>
    </font>
    <font>
      <i/>
      <sz val="10"/>
      <color theme="1"/>
      <name val="Arial"/>
      <family val="2"/>
    </font>
    <font>
      <b/>
      <i/>
      <sz val="10"/>
      <color rgb="FFFF0000"/>
      <name val="Arial"/>
      <family val="2"/>
    </font>
    <font>
      <b/>
      <sz val="10"/>
      <color rgb="FFFF0000"/>
      <name val="Arial"/>
      <family val="2"/>
    </font>
    <font>
      <i/>
      <sz val="10"/>
      <color theme="0" tint="-0.499984740745262"/>
      <name val="Arial"/>
      <family val="2"/>
    </font>
    <font>
      <sz val="8"/>
      <color theme="1"/>
      <name val="Arial"/>
      <family val="2"/>
    </font>
    <font>
      <b/>
      <sz val="8"/>
      <color theme="1"/>
      <name val="Arial"/>
      <family val="2"/>
    </font>
    <font>
      <b/>
      <sz val="8"/>
      <color rgb="FF00B050"/>
      <name val="Arial"/>
      <family val="2"/>
    </font>
    <font>
      <b/>
      <sz val="10"/>
      <color rgb="FF0070C0"/>
      <name val="Arial"/>
      <family val="2"/>
    </font>
    <font>
      <b/>
      <sz val="11"/>
      <color rgb="FF000000"/>
      <name val="Calibri"/>
      <family val="2"/>
    </font>
    <font>
      <b/>
      <sz val="11"/>
      <color rgb="FFFF0000"/>
      <name val="Calibri"/>
      <family val="2"/>
    </font>
    <font>
      <b/>
      <sz val="8"/>
      <color rgb="FFFF0000"/>
      <name val="Arial"/>
      <family val="2"/>
    </font>
    <font>
      <b/>
      <u/>
      <sz val="11"/>
      <color theme="1"/>
      <name val="Arial"/>
      <family val="2"/>
    </font>
    <font>
      <sz val="8"/>
      <color rgb="FFFF0000"/>
      <name val="Arial"/>
      <family val="2"/>
    </font>
    <font>
      <i/>
      <sz val="8"/>
      <color theme="1"/>
      <name val="Arial"/>
      <family val="2"/>
    </font>
    <font>
      <b/>
      <sz val="10"/>
      <color rgb="FF00B050"/>
      <name val="Arial"/>
      <family val="2"/>
    </font>
    <font>
      <i/>
      <sz val="10"/>
      <color theme="0" tint="-0.249977111117893"/>
      <name val="Arial"/>
      <family val="2"/>
    </font>
    <font>
      <b/>
      <i/>
      <sz val="10"/>
      <color theme="1"/>
      <name val="Arial"/>
      <family val="2"/>
    </font>
    <font>
      <sz val="9"/>
      <color rgb="FFFF0000"/>
      <name val="Arial"/>
      <family val="2"/>
    </font>
    <font>
      <b/>
      <sz val="14"/>
      <color rgb="FF000000"/>
      <name val="Calibri"/>
      <family val="2"/>
    </font>
    <font>
      <b/>
      <sz val="14"/>
      <color theme="1"/>
      <name val="Arial"/>
      <family val="2"/>
    </font>
    <font>
      <b/>
      <sz val="11"/>
      <color theme="1"/>
      <name val="Arial"/>
      <family val="2"/>
    </font>
    <font>
      <b/>
      <u/>
      <sz val="8"/>
      <color theme="1"/>
      <name val="Arial"/>
      <family val="2"/>
    </font>
    <font>
      <b/>
      <sz val="10"/>
      <color rgb="FF7030A0"/>
      <name val="Arial"/>
      <family val="2"/>
    </font>
    <font>
      <b/>
      <sz val="8"/>
      <color theme="0"/>
      <name val="Calibri"/>
      <family val="2"/>
      <scheme val="minor"/>
    </font>
    <font>
      <sz val="8"/>
      <color theme="0"/>
      <name val="Calibri"/>
      <family val="2"/>
      <scheme val="minor"/>
    </font>
    <font>
      <b/>
      <sz val="9"/>
      <color theme="0"/>
      <name val="Calibri"/>
      <family val="2"/>
      <scheme val="minor"/>
    </font>
    <font>
      <sz val="10"/>
      <color theme="0"/>
      <name val="Calibri"/>
      <family val="2"/>
      <scheme val="minor"/>
    </font>
    <font>
      <sz val="9"/>
      <color theme="0"/>
      <name val="Calibri"/>
      <family val="2"/>
      <scheme val="minor"/>
    </font>
    <font>
      <sz val="10"/>
      <color theme="0"/>
      <name val="Arial"/>
      <family val="2"/>
    </font>
    <font>
      <b/>
      <sz val="9"/>
      <color rgb="FFFF0000"/>
      <name val="Arial"/>
      <family val="2"/>
    </font>
    <font>
      <sz val="10"/>
      <color rgb="FFFF0000"/>
      <name val="Arial Narrow"/>
      <family val="2"/>
    </font>
    <font>
      <sz val="10"/>
      <color theme="0" tint="-0.34998626667073579"/>
      <name val="Arial"/>
      <family val="2"/>
    </font>
    <font>
      <i/>
      <sz val="10"/>
      <color rgb="FFFF0000"/>
      <name val="Arial"/>
      <family val="2"/>
    </font>
    <font>
      <b/>
      <sz val="10"/>
      <color theme="0" tint="-0.34998626667073579"/>
      <name val="Arial"/>
      <family val="2"/>
    </font>
    <font>
      <i/>
      <sz val="10"/>
      <color theme="0" tint="-0.34998626667073579"/>
      <name val="Arial"/>
      <family val="2"/>
    </font>
    <font>
      <b/>
      <sz val="11"/>
      <color rgb="FFFF0000"/>
      <name val="Arial"/>
      <family val="2"/>
    </font>
    <font>
      <i/>
      <sz val="9"/>
      <color theme="1" tint="0.34998626667073579"/>
      <name val="Arial"/>
      <family val="2"/>
    </font>
    <font>
      <b/>
      <sz val="14"/>
      <color rgb="FFFF0000"/>
      <name val="Arial"/>
      <family val="2"/>
    </font>
    <font>
      <i/>
      <sz val="8"/>
      <color rgb="FFFF0000"/>
      <name val="Arial"/>
      <family val="2"/>
    </font>
    <font>
      <b/>
      <i/>
      <sz val="9"/>
      <color theme="3" tint="-0.249977111117893"/>
      <name val="Arial"/>
      <family val="2"/>
    </font>
    <font>
      <sz val="14"/>
      <color rgb="FFFF0000"/>
      <name val="Arial"/>
      <family val="2"/>
    </font>
    <font>
      <b/>
      <sz val="18"/>
      <name val="Arial"/>
      <family val="2"/>
    </font>
    <font>
      <b/>
      <sz val="11"/>
      <name val="Arial"/>
      <family val="2"/>
    </font>
    <font>
      <b/>
      <u/>
      <sz val="10"/>
      <name val="Arial"/>
      <family val="2"/>
    </font>
    <font>
      <b/>
      <u/>
      <sz val="10"/>
      <color theme="0" tint="-0.34998626667073579"/>
      <name val="Arial"/>
      <family val="2"/>
    </font>
    <font>
      <sz val="9"/>
      <name val="Work Sans"/>
    </font>
    <font>
      <i/>
      <sz val="9"/>
      <name val="Work Sans"/>
    </font>
    <font>
      <b/>
      <i/>
      <sz val="9"/>
      <name val="Work Sans"/>
    </font>
    <font>
      <b/>
      <sz val="9"/>
      <name val="Arial"/>
      <family val="2"/>
    </font>
    <font>
      <b/>
      <i/>
      <sz val="9"/>
      <color theme="4"/>
      <name val="Arial"/>
      <family val="2"/>
    </font>
    <font>
      <sz val="9"/>
      <color theme="0" tint="-0.34998626667073579"/>
      <name val="Arial"/>
      <family val="2"/>
    </font>
    <font>
      <b/>
      <i/>
      <sz val="9"/>
      <name val="Arial"/>
      <family val="2"/>
    </font>
    <font>
      <i/>
      <sz val="9"/>
      <color theme="3" tint="-0.249977111117893"/>
      <name val="Arial"/>
      <family val="2"/>
    </font>
    <font>
      <i/>
      <sz val="9"/>
      <color theme="4"/>
      <name val="Arial"/>
      <family val="2"/>
    </font>
    <font>
      <i/>
      <sz val="9"/>
      <color theme="0" tint="-0.34998626667073579"/>
      <name val="Arial"/>
      <family val="2"/>
    </font>
    <font>
      <sz val="12"/>
      <color theme="3" tint="0.39997558519241921"/>
      <name val="Arial"/>
      <family val="2"/>
    </font>
    <font>
      <u/>
      <sz val="10"/>
      <color theme="1"/>
      <name val="Arial"/>
      <family val="2"/>
    </font>
    <font>
      <b/>
      <sz val="10"/>
      <color theme="1" tint="0.499984740745262"/>
      <name val="Arial"/>
      <family val="2"/>
    </font>
  </fonts>
  <fills count="23">
    <fill>
      <patternFill patternType="none"/>
    </fill>
    <fill>
      <patternFill patternType="gray125"/>
    </fill>
    <fill>
      <patternFill patternType="solid">
        <fgColor theme="4"/>
      </patternFill>
    </fill>
    <fill>
      <patternFill patternType="solid">
        <fgColor theme="5"/>
      </patternFill>
    </fill>
    <fill>
      <patternFill patternType="solid">
        <fgColor theme="6"/>
      </patternFill>
    </fill>
    <fill>
      <patternFill patternType="solid">
        <fgColor theme="9"/>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rgb="FFEBE657"/>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1"/>
        <bgColor indexed="64"/>
      </patternFill>
    </fill>
    <fill>
      <patternFill patternType="solid">
        <fgColor theme="9" tint="0.59999389629810485"/>
        <bgColor indexed="64"/>
      </patternFill>
    </fill>
    <fill>
      <patternFill patternType="solid">
        <fgColor theme="5" tint="0.59999389629810485"/>
        <bgColor indexed="64"/>
      </patternFill>
    </fill>
  </fills>
  <borders count="2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hair">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s>
  <cellStyleXfs count="11">
    <xf numFmtId="0" fontId="0" fillId="0" borderId="0"/>
    <xf numFmtId="0" fontId="29" fillId="2" borderId="0" applyNumberFormat="0" applyBorder="0" applyAlignment="0" applyProtection="0"/>
    <xf numFmtId="0" fontId="29" fillId="3" borderId="0" applyNumberFormat="0" applyBorder="0" applyAlignment="0" applyProtection="0"/>
    <xf numFmtId="0" fontId="29" fillId="4" borderId="0" applyNumberFormat="0" applyBorder="0" applyAlignment="0" applyProtection="0"/>
    <xf numFmtId="0" fontId="29" fillId="5" borderId="0" applyNumberFormat="0" applyBorder="0" applyAlignment="0" applyProtection="0"/>
    <xf numFmtId="0" fontId="29" fillId="5" borderId="0" applyNumberFormat="0" applyBorder="0" applyAlignment="0" applyProtection="0"/>
    <xf numFmtId="0" fontId="30" fillId="0" borderId="0" applyNumberFormat="0" applyFill="0" applyBorder="0" applyAlignment="0" applyProtection="0"/>
    <xf numFmtId="0" fontId="28" fillId="0" borderId="0"/>
    <xf numFmtId="0" fontId="31" fillId="0" borderId="0"/>
    <xf numFmtId="0" fontId="32" fillId="0" borderId="0" applyNumberFormat="0" applyBorder="0" applyAlignment="0"/>
    <xf numFmtId="0" fontId="28" fillId="0" borderId="0"/>
  </cellStyleXfs>
  <cellXfs count="485">
    <xf numFmtId="0" fontId="0" fillId="0" borderId="0" xfId="0"/>
    <xf numFmtId="0" fontId="2" fillId="0" borderId="0" xfId="0" applyFont="1"/>
    <xf numFmtId="0" fontId="1" fillId="0" borderId="0" xfId="0" applyFont="1"/>
    <xf numFmtId="0" fontId="4" fillId="0" borderId="0" xfId="0" applyFont="1"/>
    <xf numFmtId="14" fontId="33" fillId="0" borderId="0" xfId="0" applyNumberFormat="1" applyFont="1" applyAlignment="1">
      <alignment horizontal="left"/>
    </xf>
    <xf numFmtId="0" fontId="34" fillId="0" borderId="0" xfId="0" applyFont="1"/>
    <xf numFmtId="3" fontId="34" fillId="0" borderId="0" xfId="0" applyNumberFormat="1" applyFont="1"/>
    <xf numFmtId="0" fontId="35" fillId="0" borderId="0" xfId="0" applyFont="1"/>
    <xf numFmtId="0" fontId="34" fillId="0" borderId="0" xfId="0" applyFont="1" applyAlignment="1">
      <alignment horizontal="center"/>
    </xf>
    <xf numFmtId="14" fontId="5" fillId="0" borderId="0" xfId="0" applyNumberFormat="1" applyFont="1" applyAlignment="1">
      <alignment horizontal="left"/>
    </xf>
    <xf numFmtId="0" fontId="6" fillId="0" borderId="0" xfId="0" applyFont="1"/>
    <xf numFmtId="0" fontId="7" fillId="6" borderId="1" xfId="0" applyFont="1" applyFill="1" applyBorder="1" applyAlignment="1">
      <alignment horizontal="left"/>
    </xf>
    <xf numFmtId="49" fontId="1" fillId="6" borderId="1" xfId="0" applyNumberFormat="1" applyFont="1" applyFill="1" applyBorder="1" applyAlignment="1">
      <alignment horizontal="center"/>
    </xf>
    <xf numFmtId="0" fontId="7" fillId="6" borderId="2" xfId="0" applyFont="1" applyFill="1" applyBorder="1" applyAlignment="1">
      <alignment horizontal="left"/>
    </xf>
    <xf numFmtId="0" fontId="1" fillId="0" borderId="3" xfId="0" applyFont="1" applyBorder="1" applyAlignment="1">
      <alignment horizontal="left"/>
    </xf>
    <xf numFmtId="0" fontId="4" fillId="0" borderId="3" xfId="0" applyFont="1" applyBorder="1" applyAlignment="1">
      <alignment horizontal="left"/>
    </xf>
    <xf numFmtId="0" fontId="2" fillId="0" borderId="3" xfId="0" applyFont="1" applyBorder="1" applyAlignment="1">
      <alignment horizontal="left"/>
    </xf>
    <xf numFmtId="0" fontId="4" fillId="0" borderId="3" xfId="0" applyFont="1" applyBorder="1"/>
    <xf numFmtId="0" fontId="3" fillId="0" borderId="3" xfId="0" applyFont="1" applyBorder="1"/>
    <xf numFmtId="0" fontId="1" fillId="0" borderId="3" xfId="0" applyFont="1" applyBorder="1"/>
    <xf numFmtId="166" fontId="1" fillId="0" borderId="3" xfId="0" applyNumberFormat="1" applyFont="1" applyBorder="1" applyAlignment="1">
      <alignment horizontal="left"/>
    </xf>
    <xf numFmtId="0" fontId="1" fillId="0" borderId="4" xfId="0" applyFont="1" applyBorder="1" applyAlignment="1">
      <alignment horizontal="left"/>
    </xf>
    <xf numFmtId="0" fontId="4" fillId="0" borderId="5" xfId="0" applyFont="1" applyBorder="1"/>
    <xf numFmtId="0" fontId="1" fillId="0" borderId="6" xfId="0" applyFont="1" applyBorder="1" applyAlignment="1">
      <alignment horizontal="left"/>
    </xf>
    <xf numFmtId="0" fontId="4" fillId="0" borderId="7" xfId="0" applyFont="1" applyBorder="1"/>
    <xf numFmtId="0" fontId="34" fillId="0" borderId="3" xfId="0" applyFont="1" applyBorder="1"/>
    <xf numFmtId="0" fontId="35" fillId="0" borderId="4" xfId="0" applyFont="1" applyBorder="1"/>
    <xf numFmtId="0" fontId="34" fillId="0" borderId="0" xfId="0" applyFont="1" applyAlignment="1">
      <alignment wrapText="1"/>
    </xf>
    <xf numFmtId="0" fontId="6" fillId="0" borderId="0" xfId="0" applyFont="1" applyAlignment="1">
      <alignment wrapText="1"/>
    </xf>
    <xf numFmtId="49" fontId="34" fillId="0" borderId="0" xfId="0" applyNumberFormat="1" applyFont="1" applyAlignment="1">
      <alignment wrapText="1"/>
    </xf>
    <xf numFmtId="0" fontId="36" fillId="0" borderId="0" xfId="0" applyFont="1"/>
    <xf numFmtId="0" fontId="34" fillId="0" borderId="0" xfId="0" applyFont="1" applyAlignment="1">
      <alignment horizontal="left" indent="3"/>
    </xf>
    <xf numFmtId="0" fontId="34" fillId="7" borderId="0" xfId="0" applyFont="1" applyFill="1"/>
    <xf numFmtId="0" fontId="35" fillId="7" borderId="0" xfId="0" applyFont="1" applyFill="1" applyAlignment="1">
      <alignment wrapText="1"/>
    </xf>
    <xf numFmtId="0" fontId="35" fillId="7" borderId="0" xfId="0" applyFont="1" applyFill="1" applyAlignment="1">
      <alignment horizontal="center"/>
    </xf>
    <xf numFmtId="0" fontId="37" fillId="7" borderId="0" xfId="0" applyFont="1" applyFill="1"/>
    <xf numFmtId="0" fontId="8" fillId="7" borderId="0" xfId="0" applyFont="1" applyFill="1"/>
    <xf numFmtId="164" fontId="38" fillId="0" borderId="0" xfId="0" applyNumberFormat="1" applyFont="1"/>
    <xf numFmtId="14" fontId="33" fillId="8" borderId="0" xfId="0" applyNumberFormat="1" applyFont="1" applyFill="1" applyAlignment="1">
      <alignment horizontal="left"/>
    </xf>
    <xf numFmtId="0" fontId="34" fillId="8" borderId="0" xfId="0" applyFont="1" applyFill="1"/>
    <xf numFmtId="0" fontId="39" fillId="8" borderId="0" xfId="0" applyFont="1" applyFill="1"/>
    <xf numFmtId="0" fontId="36" fillId="8" borderId="0" xfId="0" applyFont="1" applyFill="1"/>
    <xf numFmtId="9" fontId="36" fillId="8" borderId="0" xfId="0" applyNumberFormat="1" applyFont="1" applyFill="1" applyAlignment="1">
      <alignment horizontal="left"/>
    </xf>
    <xf numFmtId="3" fontId="4" fillId="0" borderId="0" xfId="0" applyNumberFormat="1" applyFont="1"/>
    <xf numFmtId="0" fontId="37" fillId="7" borderId="0" xfId="0" applyFont="1" applyFill="1" applyAlignment="1">
      <alignment horizontal="center"/>
    </xf>
    <xf numFmtId="0" fontId="34" fillId="7" borderId="0" xfId="0" applyFont="1" applyFill="1" applyAlignment="1">
      <alignment wrapText="1"/>
    </xf>
    <xf numFmtId="49" fontId="35" fillId="7" borderId="0" xfId="0" applyNumberFormat="1" applyFont="1" applyFill="1" applyAlignment="1">
      <alignment wrapText="1"/>
    </xf>
    <xf numFmtId="0" fontId="35" fillId="0" borderId="0" xfId="0" applyFont="1" applyAlignment="1">
      <alignment horizontal="left"/>
    </xf>
    <xf numFmtId="0" fontId="34" fillId="7" borderId="0" xfId="0" applyFont="1" applyFill="1" applyAlignment="1">
      <alignment horizontal="left" wrapText="1" indent="3"/>
    </xf>
    <xf numFmtId="3" fontId="4" fillId="7" borderId="0" xfId="0" applyNumberFormat="1" applyFont="1" applyFill="1" applyAlignment="1">
      <alignment horizontal="center"/>
    </xf>
    <xf numFmtId="3" fontId="34" fillId="0" borderId="0" xfId="0" applyNumberFormat="1" applyFont="1" applyAlignment="1">
      <alignment horizontal="center"/>
    </xf>
    <xf numFmtId="3" fontId="36" fillId="0" borderId="0" xfId="0" applyNumberFormat="1" applyFont="1" applyAlignment="1">
      <alignment horizontal="center"/>
    </xf>
    <xf numFmtId="3" fontId="1" fillId="7" borderId="0" xfId="0" applyNumberFormat="1" applyFont="1" applyFill="1" applyAlignment="1">
      <alignment horizontal="center"/>
    </xf>
    <xf numFmtId="9" fontId="40" fillId="0" borderId="0" xfId="0" applyNumberFormat="1" applyFont="1" applyAlignment="1">
      <alignment horizontal="center"/>
    </xf>
    <xf numFmtId="3" fontId="4" fillId="0" borderId="0" xfId="0" applyNumberFormat="1" applyFont="1" applyAlignment="1">
      <alignment horizontal="center"/>
    </xf>
    <xf numFmtId="0" fontId="4" fillId="0" borderId="0" xfId="0" applyFont="1" applyAlignment="1">
      <alignment horizontal="center"/>
    </xf>
    <xf numFmtId="0" fontId="34" fillId="0" borderId="0" xfId="0" applyFont="1" applyAlignment="1">
      <alignment horizontal="left" indent="5"/>
    </xf>
    <xf numFmtId="0" fontId="2" fillId="0" borderId="3" xfId="0" applyFont="1" applyBorder="1" applyAlignment="1">
      <alignment horizontal="left" indent="1"/>
    </xf>
    <xf numFmtId="0" fontId="2" fillId="0" borderId="3" xfId="0" applyFont="1" applyBorder="1" applyAlignment="1">
      <alignment horizontal="left" indent="2"/>
    </xf>
    <xf numFmtId="0" fontId="33" fillId="0" borderId="3" xfId="0" applyFont="1" applyBorder="1" applyAlignment="1">
      <alignment horizontal="left" indent="3"/>
    </xf>
    <xf numFmtId="0" fontId="4" fillId="0" borderId="3" xfId="0" applyFont="1" applyBorder="1" applyAlignment="1">
      <alignment horizontal="left" indent="1"/>
    </xf>
    <xf numFmtId="0" fontId="9" fillId="0" borderId="0" xfId="0" applyFont="1" applyAlignment="1">
      <alignment horizontal="left"/>
    </xf>
    <xf numFmtId="0" fontId="35" fillId="6" borderId="1" xfId="0" applyFont="1" applyFill="1" applyBorder="1" applyAlignment="1">
      <alignment horizontal="center"/>
    </xf>
    <xf numFmtId="22" fontId="34" fillId="0" borderId="0" xfId="0" applyNumberFormat="1" applyFont="1"/>
    <xf numFmtId="0" fontId="36" fillId="0" borderId="0" xfId="0" applyFont="1" applyAlignment="1">
      <alignment horizontal="left" indent="2"/>
    </xf>
    <xf numFmtId="0" fontId="1" fillId="0" borderId="1" xfId="0" applyFont="1" applyBorder="1" applyAlignment="1">
      <alignment horizontal="center"/>
    </xf>
    <xf numFmtId="0" fontId="34" fillId="9" borderId="2" xfId="0" applyFont="1" applyFill="1" applyBorder="1"/>
    <xf numFmtId="0" fontId="34" fillId="9" borderId="8" xfId="0" applyFont="1" applyFill="1" applyBorder="1" applyAlignment="1">
      <alignment horizontal="center"/>
    </xf>
    <xf numFmtId="0" fontId="34" fillId="9" borderId="9" xfId="0" applyFont="1" applyFill="1" applyBorder="1" applyAlignment="1">
      <alignment horizontal="center"/>
    </xf>
    <xf numFmtId="0" fontId="4" fillId="9" borderId="8" xfId="0" applyFont="1" applyFill="1" applyBorder="1" applyAlignment="1">
      <alignment horizontal="center"/>
    </xf>
    <xf numFmtId="3" fontId="34" fillId="9" borderId="9" xfId="0" applyNumberFormat="1" applyFont="1" applyFill="1" applyBorder="1" applyAlignment="1">
      <alignment horizontal="center"/>
    </xf>
    <xf numFmtId="0" fontId="34" fillId="0" borderId="0" xfId="0" applyFont="1" applyAlignment="1">
      <alignment horizontal="left" vertical="top" wrapText="1"/>
    </xf>
    <xf numFmtId="0" fontId="34" fillId="0" borderId="0" xfId="0" applyFont="1" applyAlignment="1">
      <alignment vertical="top" wrapText="1"/>
    </xf>
    <xf numFmtId="0" fontId="10" fillId="0" borderId="0" xfId="0" applyFont="1" applyAlignment="1">
      <alignment vertical="top"/>
    </xf>
    <xf numFmtId="167" fontId="41" fillId="0" borderId="0" xfId="0" applyNumberFormat="1" applyFont="1"/>
    <xf numFmtId="167" fontId="3" fillId="0" borderId="0" xfId="0" applyNumberFormat="1" applyFont="1"/>
    <xf numFmtId="167" fontId="42" fillId="0" borderId="0" xfId="0" applyNumberFormat="1" applyFont="1"/>
    <xf numFmtId="0" fontId="41" fillId="0" borderId="0" xfId="0" applyFont="1"/>
    <xf numFmtId="0" fontId="42" fillId="0" borderId="0" xfId="0" applyFont="1"/>
    <xf numFmtId="167" fontId="39" fillId="10" borderId="10" xfId="0" applyNumberFormat="1" applyFont="1" applyFill="1" applyBorder="1"/>
    <xf numFmtId="0" fontId="39" fillId="10" borderId="11" xfId="0" applyFont="1" applyFill="1" applyBorder="1"/>
    <xf numFmtId="167" fontId="39" fillId="10" borderId="12" xfId="0" applyNumberFormat="1" applyFont="1" applyFill="1" applyBorder="1"/>
    <xf numFmtId="0" fontId="39" fillId="10" borderId="12" xfId="0" applyFont="1" applyFill="1" applyBorder="1"/>
    <xf numFmtId="167" fontId="39" fillId="10" borderId="13" xfId="0" applyNumberFormat="1" applyFont="1" applyFill="1" applyBorder="1"/>
    <xf numFmtId="167" fontId="42" fillId="10" borderId="14" xfId="0" applyNumberFormat="1" applyFont="1" applyFill="1" applyBorder="1"/>
    <xf numFmtId="167" fontId="3" fillId="0" borderId="0" xfId="0" applyNumberFormat="1" applyFont="1" applyAlignment="1">
      <alignment horizontal="right"/>
    </xf>
    <xf numFmtId="167" fontId="11" fillId="0" borderId="14" xfId="0" applyNumberFormat="1" applyFont="1" applyBorder="1" applyAlignment="1">
      <alignment horizontal="right"/>
    </xf>
    <xf numFmtId="167" fontId="11" fillId="0" borderId="0" xfId="0" applyNumberFormat="1" applyFont="1" applyAlignment="1">
      <alignment horizontal="right"/>
    </xf>
    <xf numFmtId="167" fontId="3" fillId="0" borderId="14" xfId="0" applyNumberFormat="1" applyFont="1" applyBorder="1"/>
    <xf numFmtId="167" fontId="41" fillId="0" borderId="14" xfId="0" applyNumberFormat="1" applyFont="1" applyBorder="1"/>
    <xf numFmtId="167" fontId="42" fillId="0" borderId="14" xfId="0" applyNumberFormat="1" applyFont="1" applyBorder="1"/>
    <xf numFmtId="167" fontId="41" fillId="10" borderId="14" xfId="0" applyNumberFormat="1" applyFont="1" applyFill="1" applyBorder="1"/>
    <xf numFmtId="167" fontId="43" fillId="7" borderId="0" xfId="0" applyNumberFormat="1" applyFont="1" applyFill="1" applyAlignment="1">
      <alignment horizontal="center"/>
    </xf>
    <xf numFmtId="0" fontId="35" fillId="0" borderId="0" xfId="0" applyFont="1" applyAlignment="1">
      <alignment vertical="top"/>
    </xf>
    <xf numFmtId="0" fontId="33" fillId="8" borderId="0" xfId="0" applyFont="1" applyFill="1" applyAlignment="1">
      <alignment vertical="top"/>
    </xf>
    <xf numFmtId="164" fontId="36" fillId="0" borderId="0" xfId="0" applyNumberFormat="1" applyFont="1" applyAlignment="1">
      <alignment horizontal="center"/>
    </xf>
    <xf numFmtId="0" fontId="0" fillId="11" borderId="0" xfId="0" applyFill="1"/>
    <xf numFmtId="3" fontId="0" fillId="0" borderId="0" xfId="0" applyNumberFormat="1"/>
    <xf numFmtId="3" fontId="0" fillId="11" borderId="0" xfId="0" applyNumberFormat="1" applyFill="1"/>
    <xf numFmtId="0" fontId="12" fillId="0" borderId="0" xfId="0" applyFont="1"/>
    <xf numFmtId="0" fontId="13" fillId="0" borderId="0" xfId="0" applyFont="1" applyAlignment="1">
      <alignment vertical="top"/>
    </xf>
    <xf numFmtId="3" fontId="4" fillId="11" borderId="0" xfId="0" applyNumberFormat="1" applyFont="1" applyFill="1"/>
    <xf numFmtId="1" fontId="0" fillId="0" borderId="0" xfId="0" applyNumberFormat="1"/>
    <xf numFmtId="0" fontId="44" fillId="0" borderId="0" xfId="0" applyFont="1"/>
    <xf numFmtId="0" fontId="4" fillId="11" borderId="0" xfId="0" applyFont="1" applyFill="1"/>
    <xf numFmtId="3" fontId="2" fillId="0" borderId="0" xfId="0" applyNumberFormat="1" applyFont="1"/>
    <xf numFmtId="0" fontId="3" fillId="0" borderId="0" xfId="0" applyFont="1"/>
    <xf numFmtId="0" fontId="4" fillId="9" borderId="1" xfId="0" applyFont="1" applyFill="1" applyBorder="1" applyAlignment="1">
      <alignment horizontal="center"/>
    </xf>
    <xf numFmtId="0" fontId="32" fillId="0" borderId="0" xfId="9"/>
    <xf numFmtId="0" fontId="45" fillId="0" borderId="0" xfId="9" applyFont="1"/>
    <xf numFmtId="0" fontId="45" fillId="12" borderId="0" xfId="9" applyFont="1" applyFill="1"/>
    <xf numFmtId="0" fontId="45" fillId="13" borderId="0" xfId="9" applyFont="1" applyFill="1"/>
    <xf numFmtId="0" fontId="45" fillId="14" borderId="0" xfId="0" applyFont="1" applyFill="1"/>
    <xf numFmtId="0" fontId="45" fillId="15" borderId="0" xfId="9" applyFont="1" applyFill="1"/>
    <xf numFmtId="0" fontId="45" fillId="16" borderId="0" xfId="9" applyFont="1" applyFill="1"/>
    <xf numFmtId="0" fontId="45" fillId="17" borderId="0" xfId="9" applyFont="1" applyFill="1"/>
    <xf numFmtId="0" fontId="45" fillId="6" borderId="0" xfId="9" applyFont="1" applyFill="1"/>
    <xf numFmtId="0" fontId="46" fillId="0" borderId="0" xfId="9" applyFont="1"/>
    <xf numFmtId="0" fontId="45" fillId="17" borderId="0" xfId="0" applyFont="1" applyFill="1"/>
    <xf numFmtId="0" fontId="45" fillId="16" borderId="0" xfId="0" applyFont="1" applyFill="1"/>
    <xf numFmtId="0" fontId="45" fillId="18" borderId="0" xfId="9" applyFont="1" applyFill="1"/>
    <xf numFmtId="0" fontId="45" fillId="18" borderId="0" xfId="0" applyFont="1" applyFill="1"/>
    <xf numFmtId="0" fontId="45" fillId="19" borderId="0" xfId="9" applyFont="1" applyFill="1"/>
    <xf numFmtId="0" fontId="45" fillId="19" borderId="0" xfId="0" applyFont="1" applyFill="1"/>
    <xf numFmtId="0" fontId="47" fillId="0" borderId="0" xfId="0" applyFont="1"/>
    <xf numFmtId="167" fontId="0" fillId="0" borderId="0" xfId="0" applyNumberFormat="1"/>
    <xf numFmtId="0" fontId="4" fillId="7" borderId="0" xfId="0" applyFont="1" applyFill="1" applyAlignment="1">
      <alignment horizontal="center"/>
    </xf>
    <xf numFmtId="0" fontId="41" fillId="0" borderId="0" xfId="0" applyFont="1" applyAlignment="1">
      <alignment horizontal="right"/>
    </xf>
    <xf numFmtId="0" fontId="48" fillId="0" borderId="0" xfId="0" applyFont="1"/>
    <xf numFmtId="167" fontId="49" fillId="0" borderId="0" xfId="0" applyNumberFormat="1" applyFont="1"/>
    <xf numFmtId="167" fontId="11" fillId="10" borderId="14" xfId="0" applyNumberFormat="1" applyFont="1" applyFill="1" applyBorder="1" applyAlignment="1">
      <alignment horizontal="right"/>
    </xf>
    <xf numFmtId="167" fontId="11" fillId="10" borderId="15" xfId="0" applyNumberFormat="1" applyFont="1" applyFill="1" applyBorder="1" applyAlignment="1">
      <alignment horizontal="right"/>
    </xf>
    <xf numFmtId="167" fontId="42" fillId="10" borderId="15" xfId="0" applyNumberFormat="1" applyFont="1" applyFill="1" applyBorder="1"/>
    <xf numFmtId="167" fontId="50" fillId="0" borderId="0" xfId="0" applyNumberFormat="1" applyFont="1"/>
    <xf numFmtId="167" fontId="50" fillId="0" borderId="14" xfId="0" applyNumberFormat="1" applyFont="1" applyBorder="1"/>
    <xf numFmtId="0" fontId="39" fillId="7" borderId="0" xfId="0" applyFont="1" applyFill="1" applyAlignment="1">
      <alignment horizontal="center"/>
    </xf>
    <xf numFmtId="3" fontId="4" fillId="7" borderId="0" xfId="0" applyNumberFormat="1" applyFont="1" applyFill="1" applyAlignment="1">
      <alignment horizontal="center" vertical="center"/>
    </xf>
    <xf numFmtId="0" fontId="39" fillId="0" borderId="0" xfId="0" applyFont="1"/>
    <xf numFmtId="0" fontId="45" fillId="0" borderId="0" xfId="0" applyFont="1"/>
    <xf numFmtId="0" fontId="51" fillId="7" borderId="0" xfId="0" applyFont="1" applyFill="1" applyAlignment="1">
      <alignment horizontal="center"/>
    </xf>
    <xf numFmtId="0" fontId="34" fillId="0" borderId="0" xfId="0" applyFont="1" applyAlignment="1">
      <alignment horizontal="left" indent="2"/>
    </xf>
    <xf numFmtId="3" fontId="1" fillId="0" borderId="0" xfId="0" applyNumberFormat="1" applyFont="1" applyAlignment="1">
      <alignment horizontal="center" vertical="top"/>
    </xf>
    <xf numFmtId="9" fontId="52" fillId="0" borderId="0" xfId="0" applyNumberFormat="1" applyFont="1" applyAlignment="1">
      <alignment horizontal="center"/>
    </xf>
    <xf numFmtId="0" fontId="39" fillId="7" borderId="0" xfId="0" applyFont="1" applyFill="1"/>
    <xf numFmtId="0" fontId="34" fillId="0" borderId="0" xfId="0" applyFont="1" applyAlignment="1">
      <alignment horizontal="left" wrapText="1"/>
    </xf>
    <xf numFmtId="0" fontId="53" fillId="7" borderId="0" xfId="0" applyFont="1" applyFill="1"/>
    <xf numFmtId="0" fontId="11" fillId="0" borderId="0" xfId="0" applyFont="1"/>
    <xf numFmtId="0" fontId="54" fillId="7" borderId="0" xfId="0" applyFont="1" applyFill="1"/>
    <xf numFmtId="3" fontId="36" fillId="7" borderId="0" xfId="0" applyNumberFormat="1" applyFont="1" applyFill="1" applyAlignment="1">
      <alignment horizontal="center" vertical="center"/>
    </xf>
    <xf numFmtId="0" fontId="55" fillId="0" borderId="0" xfId="0" applyFont="1"/>
    <xf numFmtId="0" fontId="0" fillId="0" borderId="0" xfId="0" applyAlignment="1">
      <alignment wrapText="1"/>
    </xf>
    <xf numFmtId="0" fontId="56" fillId="0" borderId="0" xfId="0" applyFont="1"/>
    <xf numFmtId="3" fontId="41" fillId="0" borderId="0" xfId="0" applyNumberFormat="1" applyFont="1"/>
    <xf numFmtId="0" fontId="57" fillId="0" borderId="0" xfId="0" applyFont="1"/>
    <xf numFmtId="0" fontId="58" fillId="0" borderId="0" xfId="0" applyFont="1"/>
    <xf numFmtId="3" fontId="42" fillId="0" borderId="0" xfId="0" applyNumberFormat="1" applyFont="1"/>
    <xf numFmtId="0" fontId="42" fillId="0" borderId="0" xfId="0" applyFont="1" applyAlignment="1">
      <alignment horizontal="left"/>
    </xf>
    <xf numFmtId="172" fontId="41" fillId="0" borderId="0" xfId="0" applyNumberFormat="1" applyFont="1"/>
    <xf numFmtId="0" fontId="41" fillId="0" borderId="0" xfId="0" applyFont="1" applyAlignment="1">
      <alignment horizontal="left"/>
    </xf>
    <xf numFmtId="14" fontId="41" fillId="0" borderId="0" xfId="0" applyNumberFormat="1" applyFont="1"/>
    <xf numFmtId="0" fontId="41" fillId="0" borderId="0" xfId="0" applyFont="1" applyAlignment="1">
      <alignment horizontal="center"/>
    </xf>
    <xf numFmtId="0" fontId="47" fillId="0" borderId="0" xfId="0" applyFont="1" applyAlignment="1">
      <alignment horizontal="center"/>
    </xf>
    <xf numFmtId="0" fontId="14" fillId="8" borderId="14" xfId="0" applyFont="1" applyFill="1" applyBorder="1"/>
    <xf numFmtId="0" fontId="35" fillId="8" borderId="0" xfId="0" applyFont="1" applyFill="1"/>
    <xf numFmtId="0" fontId="42" fillId="8" borderId="0" xfId="0" applyFont="1" applyFill="1"/>
    <xf numFmtId="3" fontId="11" fillId="15" borderId="14" xfId="0" applyNumberFormat="1" applyFont="1" applyFill="1" applyBorder="1" applyAlignment="1">
      <alignment horizontal="right"/>
    </xf>
    <xf numFmtId="3" fontId="11" fillId="15" borderId="15" xfId="0" applyNumberFormat="1" applyFont="1" applyFill="1" applyBorder="1" applyAlignment="1">
      <alignment horizontal="right"/>
    </xf>
    <xf numFmtId="167" fontId="11" fillId="15" borderId="14" xfId="0" applyNumberFormat="1" applyFont="1" applyFill="1" applyBorder="1" applyAlignment="1">
      <alignment horizontal="right"/>
    </xf>
    <xf numFmtId="167" fontId="11" fillId="15" borderId="15" xfId="0" applyNumberFormat="1" applyFont="1" applyFill="1" applyBorder="1" applyAlignment="1">
      <alignment horizontal="right"/>
    </xf>
    <xf numFmtId="0" fontId="11" fillId="8" borderId="14" xfId="0" applyFont="1" applyFill="1" applyBorder="1"/>
    <xf numFmtId="0" fontId="42" fillId="8" borderId="0" xfId="0" applyFont="1" applyFill="1" applyAlignment="1">
      <alignment horizontal="right"/>
    </xf>
    <xf numFmtId="0" fontId="42" fillId="8" borderId="15" xfId="0" applyFont="1" applyFill="1" applyBorder="1" applyAlignment="1">
      <alignment horizontal="right"/>
    </xf>
    <xf numFmtId="167" fontId="11" fillId="8" borderId="14" xfId="0" applyNumberFormat="1" applyFont="1" applyFill="1" applyBorder="1" applyAlignment="1">
      <alignment horizontal="right"/>
    </xf>
    <xf numFmtId="167" fontId="11" fillId="8" borderId="0" xfId="0" applyNumberFormat="1" applyFont="1" applyFill="1" applyAlignment="1">
      <alignment horizontal="right"/>
    </xf>
    <xf numFmtId="167" fontId="11" fillId="8" borderId="15" xfId="0" applyNumberFormat="1" applyFont="1" applyFill="1" applyBorder="1" applyAlignment="1">
      <alignment horizontal="right"/>
    </xf>
    <xf numFmtId="167" fontId="11" fillId="10" borderId="14" xfId="0" applyNumberFormat="1" applyFont="1" applyFill="1" applyBorder="1" applyAlignment="1">
      <alignment horizontal="left"/>
    </xf>
    <xf numFmtId="1" fontId="11" fillId="8" borderId="0" xfId="0" applyNumberFormat="1" applyFont="1" applyFill="1" applyAlignment="1">
      <alignment horizontal="right"/>
    </xf>
    <xf numFmtId="1" fontId="11" fillId="8" borderId="15" xfId="0" applyNumberFormat="1" applyFont="1" applyFill="1" applyBorder="1" applyAlignment="1">
      <alignment horizontal="right"/>
    </xf>
    <xf numFmtId="167" fontId="42" fillId="15" borderId="14" xfId="0" applyNumberFormat="1" applyFont="1" applyFill="1" applyBorder="1"/>
    <xf numFmtId="167" fontId="42" fillId="15" borderId="15" xfId="0" applyNumberFormat="1" applyFont="1" applyFill="1" applyBorder="1"/>
    <xf numFmtId="167" fontId="11" fillId="8" borderId="14" xfId="0" applyNumberFormat="1" applyFont="1" applyFill="1" applyBorder="1"/>
    <xf numFmtId="165" fontId="42" fillId="8" borderId="0" xfId="0" applyNumberFormat="1" applyFont="1" applyFill="1"/>
    <xf numFmtId="165" fontId="42" fillId="8" borderId="15" xfId="0" applyNumberFormat="1" applyFont="1" applyFill="1" applyBorder="1"/>
    <xf numFmtId="167" fontId="41" fillId="15" borderId="14" xfId="0" applyNumberFormat="1" applyFont="1" applyFill="1" applyBorder="1"/>
    <xf numFmtId="174" fontId="42" fillId="8" borderId="0" xfId="0" applyNumberFormat="1" applyFont="1" applyFill="1"/>
    <xf numFmtId="167" fontId="35" fillId="8" borderId="0" xfId="0" applyNumberFormat="1" applyFont="1" applyFill="1"/>
    <xf numFmtId="0" fontId="42" fillId="8" borderId="15" xfId="0" applyFont="1" applyFill="1" applyBorder="1"/>
    <xf numFmtId="167" fontId="11" fillId="8" borderId="0" xfId="0" applyNumberFormat="1" applyFont="1" applyFill="1"/>
    <xf numFmtId="167" fontId="11" fillId="8" borderId="15" xfId="0" applyNumberFormat="1" applyFont="1" applyFill="1" applyBorder="1"/>
    <xf numFmtId="3" fontId="39" fillId="0" borderId="0" xfId="0" applyNumberFormat="1" applyFont="1" applyAlignment="1">
      <alignment horizontal="center" vertical="top"/>
    </xf>
    <xf numFmtId="3" fontId="39" fillId="7" borderId="9" xfId="0" applyNumberFormat="1" applyFont="1" applyFill="1" applyBorder="1" applyAlignment="1">
      <alignment horizontal="center"/>
    </xf>
    <xf numFmtId="0" fontId="59" fillId="0" borderId="16" xfId="0" applyFont="1" applyBorder="1" applyAlignment="1">
      <alignment horizontal="center"/>
    </xf>
    <xf numFmtId="0" fontId="1" fillId="0" borderId="2" xfId="0" applyFont="1" applyBorder="1" applyAlignment="1">
      <alignment horizontal="center"/>
    </xf>
    <xf numFmtId="0" fontId="16" fillId="0" borderId="0" xfId="0" applyFont="1"/>
    <xf numFmtId="172" fontId="0" fillId="0" borderId="0" xfId="0" applyNumberFormat="1"/>
    <xf numFmtId="169" fontId="40" fillId="0" borderId="0" xfId="0" applyNumberFormat="1" applyFont="1" applyAlignment="1">
      <alignment horizontal="center" vertical="top"/>
    </xf>
    <xf numFmtId="0" fontId="30" fillId="0" borderId="0" xfId="6"/>
    <xf numFmtId="0" fontId="16" fillId="8" borderId="0" xfId="0" applyFont="1" applyFill="1"/>
    <xf numFmtId="0" fontId="2" fillId="8" borderId="0" xfId="0" applyFont="1" applyFill="1"/>
    <xf numFmtId="0" fontId="17" fillId="7" borderId="0" xfId="0" applyFont="1" applyFill="1"/>
    <xf numFmtId="0" fontId="1" fillId="7" borderId="0" xfId="0" applyFont="1" applyFill="1" applyAlignment="1">
      <alignment horizontal="center"/>
    </xf>
    <xf numFmtId="0" fontId="8" fillId="7" borderId="0" xfId="0" applyFont="1" applyFill="1" applyAlignment="1">
      <alignment horizontal="center"/>
    </xf>
    <xf numFmtId="0" fontId="4" fillId="7" borderId="0" xfId="0" applyFont="1" applyFill="1"/>
    <xf numFmtId="0" fontId="2" fillId="7" borderId="0" xfId="0" applyFont="1" applyFill="1" applyAlignment="1">
      <alignment vertical="top"/>
    </xf>
    <xf numFmtId="0" fontId="16" fillId="7" borderId="0" xfId="0" applyFont="1" applyFill="1"/>
    <xf numFmtId="3" fontId="4" fillId="7" borderId="0" xfId="0" applyNumberFormat="1" applyFont="1" applyFill="1"/>
    <xf numFmtId="0" fontId="16" fillId="0" borderId="0" xfId="0" applyFont="1" applyAlignment="1">
      <alignment horizontal="left"/>
    </xf>
    <xf numFmtId="0" fontId="18" fillId="0" borderId="0" xfId="0" applyFont="1"/>
    <xf numFmtId="0" fontId="17" fillId="0" borderId="0" xfId="0" applyFont="1"/>
    <xf numFmtId="1" fontId="60" fillId="0" borderId="0" xfId="0" applyNumberFormat="1" applyFont="1" applyAlignment="1">
      <alignment horizontal="right" vertical="center"/>
    </xf>
    <xf numFmtId="1" fontId="61" fillId="0" borderId="0" xfId="0" applyNumberFormat="1" applyFont="1"/>
    <xf numFmtId="0" fontId="61" fillId="0" borderId="0" xfId="0" applyFont="1"/>
    <xf numFmtId="0" fontId="62" fillId="0" borderId="0" xfId="0" applyFont="1"/>
    <xf numFmtId="0" fontId="63" fillId="0" borderId="0" xfId="0" applyFont="1" applyAlignment="1">
      <alignment horizontal="center"/>
    </xf>
    <xf numFmtId="1" fontId="62" fillId="0" borderId="0" xfId="0" applyNumberFormat="1" applyFont="1"/>
    <xf numFmtId="0" fontId="64" fillId="0" borderId="0" xfId="0" applyFont="1" applyAlignment="1">
      <alignment horizontal="center"/>
    </xf>
    <xf numFmtId="0" fontId="63" fillId="0" borderId="0" xfId="0" applyFont="1"/>
    <xf numFmtId="170" fontId="29" fillId="0" borderId="0" xfId="1" applyNumberFormat="1" applyFill="1" applyBorder="1" applyAlignment="1">
      <alignment horizontal="center"/>
    </xf>
    <xf numFmtId="0" fontId="29" fillId="0" borderId="0" xfId="1" applyFill="1" applyBorder="1" applyAlignment="1">
      <alignment horizontal="center"/>
    </xf>
    <xf numFmtId="0" fontId="29" fillId="0" borderId="0" xfId="2" applyFill="1" applyBorder="1" applyAlignment="1">
      <alignment horizontal="center"/>
    </xf>
    <xf numFmtId="0" fontId="29" fillId="0" borderId="0" xfId="4" quotePrefix="1" applyFill="1" applyBorder="1" applyAlignment="1">
      <alignment horizontal="center"/>
    </xf>
    <xf numFmtId="0" fontId="65" fillId="0" borderId="0" xfId="0" applyFont="1"/>
    <xf numFmtId="3" fontId="61" fillId="0" borderId="0" xfId="0" applyNumberFormat="1" applyFont="1" applyAlignment="1">
      <alignment horizontal="center"/>
    </xf>
    <xf numFmtId="1" fontId="60" fillId="0" borderId="0" xfId="0" applyNumberFormat="1" applyFont="1" applyAlignment="1">
      <alignment horizontal="right"/>
    </xf>
    <xf numFmtId="167" fontId="39" fillId="10" borderId="17" xfId="0" applyNumberFormat="1" applyFont="1" applyFill="1" applyBorder="1"/>
    <xf numFmtId="0" fontId="39" fillId="10" borderId="17" xfId="0" applyFont="1" applyFill="1" applyBorder="1"/>
    <xf numFmtId="167" fontId="39" fillId="10" borderId="18" xfId="0" applyNumberFormat="1" applyFont="1" applyFill="1" applyBorder="1"/>
    <xf numFmtId="0" fontId="66" fillId="10" borderId="10" xfId="0" applyFont="1" applyFill="1" applyBorder="1"/>
    <xf numFmtId="167" fontId="54" fillId="10" borderId="17" xfId="0" applyNumberFormat="1" applyFont="1" applyFill="1" applyBorder="1"/>
    <xf numFmtId="167" fontId="54" fillId="10" borderId="18" xfId="0" applyNumberFormat="1" applyFont="1" applyFill="1" applyBorder="1"/>
    <xf numFmtId="0" fontId="66" fillId="10" borderId="11" xfId="0" applyFont="1" applyFill="1" applyBorder="1"/>
    <xf numFmtId="167" fontId="36" fillId="10" borderId="12" xfId="0" applyNumberFormat="1" applyFont="1" applyFill="1" applyBorder="1"/>
    <xf numFmtId="167" fontId="36" fillId="10" borderId="13" xfId="0" applyNumberFormat="1" applyFont="1" applyFill="1" applyBorder="1"/>
    <xf numFmtId="0" fontId="0" fillId="20" borderId="0" xfId="0" applyFill="1"/>
    <xf numFmtId="0" fontId="0" fillId="0" borderId="0" xfId="0" applyAlignment="1">
      <alignment horizontal="left"/>
    </xf>
    <xf numFmtId="167" fontId="11" fillId="0" borderId="0" xfId="0" applyNumberFormat="1" applyFont="1" applyAlignment="1">
      <alignment horizontal="left"/>
    </xf>
    <xf numFmtId="6" fontId="11" fillId="0" borderId="0" xfId="0" applyNumberFormat="1" applyFont="1" applyAlignment="1">
      <alignment horizontal="left"/>
    </xf>
    <xf numFmtId="3" fontId="39" fillId="7" borderId="0" xfId="0" applyNumberFormat="1" applyFont="1" applyFill="1" applyAlignment="1">
      <alignment horizontal="center"/>
    </xf>
    <xf numFmtId="3" fontId="36" fillId="0" borderId="0" xfId="0" applyNumberFormat="1" applyFont="1"/>
    <xf numFmtId="3" fontId="8" fillId="0" borderId="0" xfId="0" applyNumberFormat="1" applyFont="1" applyAlignment="1">
      <alignment horizontal="center" vertical="top"/>
    </xf>
    <xf numFmtId="3" fontId="36" fillId="0" borderId="0" xfId="0" quotePrefix="1" applyNumberFormat="1" applyFont="1"/>
    <xf numFmtId="1" fontId="60" fillId="0" borderId="15" xfId="0" applyNumberFormat="1" applyFont="1" applyBorder="1" applyAlignment="1">
      <alignment horizontal="right" vertical="center"/>
    </xf>
    <xf numFmtId="170" fontId="62" fillId="0" borderId="12" xfId="0" quotePrefix="1" applyNumberFormat="1" applyFont="1" applyBorder="1"/>
    <xf numFmtId="170" fontId="62" fillId="0" borderId="12" xfId="0" applyNumberFormat="1" applyFont="1" applyBorder="1"/>
    <xf numFmtId="0" fontId="29" fillId="0" borderId="0" xfId="1" applyFill="1" applyAlignment="1">
      <alignment horizontal="center"/>
    </xf>
    <xf numFmtId="0" fontId="29" fillId="0" borderId="0" xfId="1" applyFill="1" applyAlignment="1">
      <alignment horizontal="left"/>
    </xf>
    <xf numFmtId="0" fontId="61" fillId="0" borderId="0" xfId="0" quotePrefix="1" applyFont="1"/>
    <xf numFmtId="1" fontId="61" fillId="0" borderId="0" xfId="0" applyNumberFormat="1" applyFont="1" applyAlignment="1">
      <alignment horizontal="left"/>
    </xf>
    <xf numFmtId="1" fontId="61" fillId="0" borderId="0" xfId="0" applyNumberFormat="1" applyFont="1" applyAlignment="1">
      <alignment horizontal="center"/>
    </xf>
    <xf numFmtId="171" fontId="61" fillId="0" borderId="0" xfId="0" quotePrefix="1" applyNumberFormat="1" applyFont="1"/>
    <xf numFmtId="171" fontId="61" fillId="0" borderId="0" xfId="0" applyNumberFormat="1" applyFont="1"/>
    <xf numFmtId="0" fontId="8" fillId="0" borderId="0" xfId="0" applyFont="1"/>
    <xf numFmtId="0" fontId="7" fillId="0" borderId="0" xfId="0" applyFont="1"/>
    <xf numFmtId="0" fontId="20" fillId="0" borderId="0" xfId="0" applyFont="1"/>
    <xf numFmtId="0" fontId="21" fillId="0" borderId="0" xfId="0" applyFont="1"/>
    <xf numFmtId="0" fontId="22" fillId="0" borderId="0" xfId="0" applyFont="1"/>
    <xf numFmtId="3" fontId="36" fillId="7" borderId="1" xfId="0" applyNumberFormat="1" applyFont="1" applyFill="1" applyBorder="1" applyAlignment="1">
      <alignment horizontal="center"/>
    </xf>
    <xf numFmtId="3" fontId="36" fillId="7" borderId="9" xfId="0" applyNumberFormat="1" applyFont="1" applyFill="1" applyBorder="1" applyAlignment="1">
      <alignment horizontal="center"/>
    </xf>
    <xf numFmtId="0" fontId="36" fillId="9" borderId="2" xfId="0" applyFont="1" applyFill="1" applyBorder="1" applyAlignment="1">
      <alignment horizontal="center"/>
    </xf>
    <xf numFmtId="3" fontId="36" fillId="7" borderId="8" xfId="0" applyNumberFormat="1" applyFont="1" applyFill="1" applyBorder="1" applyAlignment="1">
      <alignment horizontal="center"/>
    </xf>
    <xf numFmtId="0" fontId="36" fillId="0" borderId="0" xfId="0" applyFont="1" applyAlignment="1">
      <alignment horizontal="center"/>
    </xf>
    <xf numFmtId="0" fontId="36" fillId="8" borderId="19" xfId="0" applyFont="1" applyFill="1" applyBorder="1" applyAlignment="1">
      <alignment horizontal="center"/>
    </xf>
    <xf numFmtId="0" fontId="36" fillId="9" borderId="17" xfId="0" applyFont="1" applyFill="1" applyBorder="1" applyAlignment="1">
      <alignment horizontal="center"/>
    </xf>
    <xf numFmtId="0" fontId="36" fillId="9" borderId="0" xfId="0" applyFont="1" applyFill="1" applyAlignment="1">
      <alignment horizontal="center"/>
    </xf>
    <xf numFmtId="0" fontId="36" fillId="9" borderId="12" xfId="0" applyFont="1" applyFill="1" applyBorder="1" applyAlignment="1">
      <alignment horizontal="center"/>
    </xf>
    <xf numFmtId="3" fontId="39" fillId="7" borderId="8" xfId="0" applyNumberFormat="1" applyFont="1" applyFill="1" applyBorder="1" applyAlignment="1">
      <alignment horizontal="center"/>
    </xf>
    <xf numFmtId="3" fontId="39" fillId="0" borderId="0" xfId="0" applyNumberFormat="1" applyFont="1" applyAlignment="1">
      <alignment horizontal="center"/>
    </xf>
    <xf numFmtId="3" fontId="39" fillId="7" borderId="1" xfId="0" applyNumberFormat="1" applyFont="1" applyFill="1" applyBorder="1" applyAlignment="1">
      <alignment horizontal="center"/>
    </xf>
    <xf numFmtId="0" fontId="36" fillId="9" borderId="19" xfId="0" applyFont="1" applyFill="1" applyBorder="1" applyAlignment="1">
      <alignment horizontal="center"/>
    </xf>
    <xf numFmtId="164" fontId="39" fillId="11" borderId="0" xfId="0" applyNumberFormat="1" applyFont="1" applyFill="1" applyAlignment="1">
      <alignment horizontal="center"/>
    </xf>
    <xf numFmtId="0" fontId="67" fillId="0" borderId="0" xfId="0" applyFont="1"/>
    <xf numFmtId="3" fontId="67" fillId="0" borderId="0" xfId="0" applyNumberFormat="1" applyFont="1"/>
    <xf numFmtId="3" fontId="39" fillId="0" borderId="16" xfId="0" applyNumberFormat="1" applyFont="1" applyBorder="1" applyAlignment="1">
      <alignment horizontal="center"/>
    </xf>
    <xf numFmtId="3" fontId="39" fillId="0" borderId="20" xfId="0" applyNumberFormat="1" applyFont="1" applyBorder="1" applyAlignment="1">
      <alignment horizontal="center"/>
    </xf>
    <xf numFmtId="3" fontId="39" fillId="0" borderId="21" xfId="0" applyNumberFormat="1" applyFont="1" applyBorder="1" applyAlignment="1">
      <alignment horizontal="center"/>
    </xf>
    <xf numFmtId="3" fontId="36" fillId="0" borderId="20" xfId="0" applyNumberFormat="1" applyFont="1" applyBorder="1" applyAlignment="1">
      <alignment horizontal="center"/>
    </xf>
    <xf numFmtId="166" fontId="36" fillId="9" borderId="1" xfId="0" applyNumberFormat="1" applyFont="1" applyFill="1" applyBorder="1"/>
    <xf numFmtId="3" fontId="36" fillId="0" borderId="9" xfId="0" applyNumberFormat="1" applyFont="1" applyBorder="1" applyAlignment="1">
      <alignment horizontal="center"/>
    </xf>
    <xf numFmtId="166" fontId="36" fillId="9" borderId="9" xfId="0" applyNumberFormat="1" applyFont="1" applyFill="1" applyBorder="1"/>
    <xf numFmtId="166" fontId="36" fillId="9" borderId="8" xfId="0" applyNumberFormat="1" applyFont="1" applyFill="1" applyBorder="1"/>
    <xf numFmtId="0" fontId="36" fillId="0" borderId="15" xfId="0" applyFont="1" applyBorder="1" applyAlignment="1">
      <alignment horizontal="center"/>
    </xf>
    <xf numFmtId="166" fontId="36" fillId="0" borderId="0" xfId="0" applyNumberFormat="1" applyFont="1"/>
    <xf numFmtId="0" fontId="36" fillId="0" borderId="9" xfId="0" applyFont="1" applyBorder="1"/>
    <xf numFmtId="0" fontId="36" fillId="0" borderId="15" xfId="0" applyFont="1" applyBorder="1"/>
    <xf numFmtId="0" fontId="36" fillId="9" borderId="1" xfId="0" applyFont="1" applyFill="1" applyBorder="1"/>
    <xf numFmtId="0" fontId="36" fillId="9" borderId="9" xfId="0" applyFont="1" applyFill="1" applyBorder="1"/>
    <xf numFmtId="0" fontId="36" fillId="9" borderId="8" xfId="0" applyFont="1" applyFill="1" applyBorder="1"/>
    <xf numFmtId="0" fontId="39" fillId="9" borderId="9" xfId="0" applyFont="1" applyFill="1" applyBorder="1"/>
    <xf numFmtId="0" fontId="36" fillId="0" borderId="8" xfId="0" applyFont="1" applyBorder="1"/>
    <xf numFmtId="0" fontId="54" fillId="0" borderId="0" xfId="0" applyFont="1"/>
    <xf numFmtId="3" fontId="36" fillId="0" borderId="15" xfId="0" applyNumberFormat="1" applyFont="1" applyBorder="1" applyAlignment="1">
      <alignment horizontal="center"/>
    </xf>
    <xf numFmtId="0" fontId="36" fillId="9" borderId="0" xfId="0" applyFont="1" applyFill="1"/>
    <xf numFmtId="0" fontId="36" fillId="9" borderId="2" xfId="0" applyFont="1" applyFill="1" applyBorder="1"/>
    <xf numFmtId="3" fontId="39" fillId="0" borderId="15" xfId="0" applyNumberFormat="1" applyFont="1" applyBorder="1" applyAlignment="1">
      <alignment horizontal="center"/>
    </xf>
    <xf numFmtId="165" fontId="39" fillId="0" borderId="15" xfId="0" applyNumberFormat="1" applyFont="1" applyBorder="1" applyAlignment="1">
      <alignment horizontal="center"/>
    </xf>
    <xf numFmtId="1" fontId="39" fillId="0" borderId="22" xfId="0" applyNumberFormat="1" applyFont="1" applyBorder="1" applyAlignment="1">
      <alignment horizontal="center"/>
    </xf>
    <xf numFmtId="3" fontId="36" fillId="0" borderId="20" xfId="0" applyNumberFormat="1" applyFont="1" applyBorder="1"/>
    <xf numFmtId="0" fontId="36" fillId="0" borderId="9" xfId="0" applyFont="1" applyBorder="1" applyAlignment="1">
      <alignment horizontal="center"/>
    </xf>
    <xf numFmtId="165" fontId="39" fillId="6" borderId="23" xfId="0" applyNumberFormat="1" applyFont="1" applyFill="1" applyBorder="1" applyAlignment="1">
      <alignment horizontal="center"/>
    </xf>
    <xf numFmtId="165" fontId="39" fillId="6" borderId="24" xfId="0" applyNumberFormat="1" applyFont="1" applyFill="1" applyBorder="1" applyAlignment="1">
      <alignment horizontal="center"/>
    </xf>
    <xf numFmtId="167" fontId="3" fillId="0" borderId="14" xfId="0" applyNumberFormat="1" applyFont="1" applyBorder="1" applyAlignment="1">
      <alignment horizontal="right"/>
    </xf>
    <xf numFmtId="167" fontId="3" fillId="0" borderId="0" xfId="0" applyNumberFormat="1" applyFont="1" applyAlignment="1">
      <alignment horizontal="left"/>
    </xf>
    <xf numFmtId="167" fontId="11" fillId="0" borderId="14" xfId="0" applyNumberFormat="1" applyFont="1" applyBorder="1"/>
    <xf numFmtId="167" fontId="11" fillId="0" borderId="0" xfId="0" applyNumberFormat="1" applyFont="1"/>
    <xf numFmtId="167" fontId="11" fillId="0" borderId="15" xfId="0" applyNumberFormat="1" applyFont="1" applyBorder="1"/>
    <xf numFmtId="0" fontId="41" fillId="8" borderId="15" xfId="0" applyFont="1" applyFill="1" applyBorder="1" applyAlignment="1">
      <alignment horizontal="right"/>
    </xf>
    <xf numFmtId="3" fontId="1" fillId="7" borderId="0" xfId="0" applyNumberFormat="1" applyFont="1" applyFill="1" applyAlignment="1">
      <alignment horizontal="center" vertical="top"/>
    </xf>
    <xf numFmtId="167" fontId="11" fillId="0" borderId="0" xfId="0" quotePrefix="1" applyNumberFormat="1" applyFont="1" applyAlignment="1">
      <alignment horizontal="left"/>
    </xf>
    <xf numFmtId="3" fontId="4" fillId="0" borderId="0" xfId="0" applyNumberFormat="1" applyFont="1" applyAlignment="1">
      <alignment horizontal="right"/>
    </xf>
    <xf numFmtId="3" fontId="7" fillId="0" borderId="0" xfId="0" applyNumberFormat="1" applyFont="1"/>
    <xf numFmtId="0" fontId="34" fillId="0" borderId="0" xfId="0" applyFont="1" applyAlignment="1">
      <alignment horizontal="left" indent="1"/>
    </xf>
    <xf numFmtId="0" fontId="34" fillId="0" borderId="0" xfId="0" applyFont="1" applyAlignment="1">
      <alignment horizontal="left" wrapText="1" indent="1"/>
    </xf>
    <xf numFmtId="167" fontId="43" fillId="11" borderId="0" xfId="0" applyNumberFormat="1" applyFont="1" applyFill="1" applyAlignment="1">
      <alignment horizontal="center"/>
    </xf>
    <xf numFmtId="167" fontId="11" fillId="11" borderId="0" xfId="0" applyNumberFormat="1" applyFont="1" applyFill="1" applyAlignment="1">
      <alignment horizontal="left"/>
    </xf>
    <xf numFmtId="6" fontId="11" fillId="11" borderId="0" xfId="0" applyNumberFormat="1" applyFont="1" applyFill="1" applyAlignment="1">
      <alignment horizontal="left"/>
    </xf>
    <xf numFmtId="167" fontId="3" fillId="11" borderId="0" xfId="0" applyNumberFormat="1" applyFont="1" applyFill="1"/>
    <xf numFmtId="167" fontId="41" fillId="11" borderId="0" xfId="0" applyNumberFormat="1" applyFont="1" applyFill="1"/>
    <xf numFmtId="173" fontId="4" fillId="0" borderId="0" xfId="0" applyNumberFormat="1" applyFont="1" applyAlignment="1">
      <alignment horizontal="center"/>
    </xf>
    <xf numFmtId="3" fontId="1" fillId="7" borderId="0" xfId="0" applyNumberFormat="1" applyFont="1" applyFill="1" applyAlignment="1">
      <alignment horizontal="center" vertical="center"/>
    </xf>
    <xf numFmtId="3" fontId="36" fillId="7" borderId="0" xfId="0" applyNumberFormat="1" applyFont="1" applyFill="1" applyAlignment="1">
      <alignment horizontal="center"/>
    </xf>
    <xf numFmtId="0" fontId="36" fillId="7" borderId="0" xfId="0" applyFont="1" applyFill="1" applyAlignment="1">
      <alignment horizontal="center"/>
    </xf>
    <xf numFmtId="0" fontId="1" fillId="0" borderId="0" xfId="0" applyFont="1" applyAlignment="1">
      <alignment horizontal="center" vertical="top"/>
    </xf>
    <xf numFmtId="0" fontId="68" fillId="0" borderId="0" xfId="0" applyFont="1"/>
    <xf numFmtId="3" fontId="68" fillId="0" borderId="0" xfId="0" applyNumberFormat="1" applyFont="1" applyAlignment="1">
      <alignment horizontal="center"/>
    </xf>
    <xf numFmtId="0" fontId="41" fillId="11" borderId="0" xfId="0" applyFont="1" applyFill="1"/>
    <xf numFmtId="175" fontId="3" fillId="0" borderId="0" xfId="0" applyNumberFormat="1" applyFont="1"/>
    <xf numFmtId="0" fontId="2" fillId="7" borderId="0" xfId="0" applyFont="1" applyFill="1" applyAlignment="1">
      <alignment horizontal="left" vertical="top"/>
    </xf>
    <xf numFmtId="0" fontId="2" fillId="8" borderId="0" xfId="0" applyFont="1" applyFill="1" applyAlignment="1">
      <alignment vertical="top"/>
    </xf>
    <xf numFmtId="22" fontId="39" fillId="8" borderId="0" xfId="0" applyNumberFormat="1" applyFont="1" applyFill="1" applyAlignment="1">
      <alignment horizontal="left"/>
    </xf>
    <xf numFmtId="0" fontId="1" fillId="7" borderId="0" xfId="0" applyFont="1" applyFill="1"/>
    <xf numFmtId="0" fontId="36" fillId="7" borderId="0" xfId="0" applyFont="1" applyFill="1"/>
    <xf numFmtId="0" fontId="54" fillId="7" borderId="0" xfId="0" applyFont="1" applyFill="1" applyAlignment="1">
      <alignment vertical="top"/>
    </xf>
    <xf numFmtId="0" fontId="2" fillId="7" borderId="0" xfId="0" applyFont="1" applyFill="1" applyAlignment="1">
      <alignment vertical="center"/>
    </xf>
    <xf numFmtId="0" fontId="69" fillId="0" borderId="0" xfId="0" applyFont="1" applyAlignment="1">
      <alignment horizontal="left" vertical="center"/>
    </xf>
    <xf numFmtId="0" fontId="13" fillId="0" borderId="0" xfId="0" applyFont="1"/>
    <xf numFmtId="0" fontId="23" fillId="0" borderId="0" xfId="0" applyFont="1"/>
    <xf numFmtId="0" fontId="13" fillId="0" borderId="0" xfId="0" applyFont="1" applyAlignment="1">
      <alignment horizontal="right"/>
    </xf>
    <xf numFmtId="0" fontId="0" fillId="0" borderId="0" xfId="0" applyAlignment="1">
      <alignment horizontal="right"/>
    </xf>
    <xf numFmtId="0" fontId="0" fillId="8" borderId="0" xfId="0" applyFill="1"/>
    <xf numFmtId="0" fontId="4" fillId="8" borderId="0" xfId="0" applyFont="1" applyFill="1"/>
    <xf numFmtId="0" fontId="24" fillId="8" borderId="0" xfId="0" applyFont="1" applyFill="1"/>
    <xf numFmtId="0" fontId="21" fillId="8" borderId="0" xfId="0" applyFont="1" applyFill="1"/>
    <xf numFmtId="167" fontId="41" fillId="21" borderId="0" xfId="0" applyNumberFormat="1" applyFont="1" applyFill="1"/>
    <xf numFmtId="167" fontId="11" fillId="21" borderId="14" xfId="0" applyNumberFormat="1" applyFont="1" applyFill="1" applyBorder="1" applyAlignment="1">
      <alignment horizontal="right"/>
    </xf>
    <xf numFmtId="167" fontId="3" fillId="21" borderId="0" xfId="0" applyNumberFormat="1" applyFont="1" applyFill="1" applyAlignment="1">
      <alignment horizontal="right"/>
    </xf>
    <xf numFmtId="167" fontId="3" fillId="21" borderId="0" xfId="0" applyNumberFormat="1" applyFont="1" applyFill="1"/>
    <xf numFmtId="167" fontId="11" fillId="21" borderId="0" xfId="0" applyNumberFormat="1" applyFont="1" applyFill="1" applyAlignment="1">
      <alignment horizontal="left"/>
    </xf>
    <xf numFmtId="167" fontId="11" fillId="21" borderId="0" xfId="0" applyNumberFormat="1" applyFont="1" applyFill="1" applyAlignment="1">
      <alignment horizontal="right"/>
    </xf>
    <xf numFmtId="167" fontId="3" fillId="21" borderId="14" xfId="0" applyNumberFormat="1" applyFont="1" applyFill="1" applyBorder="1"/>
    <xf numFmtId="0" fontId="35" fillId="7" borderId="0" xfId="0" applyFont="1" applyFill="1"/>
    <xf numFmtId="0" fontId="35" fillId="7" borderId="0" xfId="0" applyFont="1" applyFill="1" applyAlignment="1">
      <alignment vertical="top"/>
    </xf>
    <xf numFmtId="0" fontId="37" fillId="0" borderId="0" xfId="0" applyFont="1" applyAlignment="1">
      <alignment horizontal="left" vertical="center" indent="1"/>
    </xf>
    <xf numFmtId="172" fontId="34" fillId="0" borderId="0" xfId="0" applyNumberFormat="1" applyFont="1" applyAlignment="1">
      <alignment horizontal="center"/>
    </xf>
    <xf numFmtId="1" fontId="11" fillId="8" borderId="14" xfId="0" quotePrefix="1" applyNumberFormat="1" applyFont="1" applyFill="1" applyBorder="1" applyAlignment="1">
      <alignment horizontal="right"/>
    </xf>
    <xf numFmtId="176" fontId="0" fillId="0" borderId="0" xfId="0" applyNumberFormat="1"/>
    <xf numFmtId="168" fontId="0" fillId="0" borderId="0" xfId="0" applyNumberFormat="1"/>
    <xf numFmtId="177" fontId="0" fillId="0" borderId="0" xfId="0" applyNumberFormat="1"/>
    <xf numFmtId="175" fontId="0" fillId="0" borderId="0" xfId="0" applyNumberFormat="1"/>
    <xf numFmtId="167" fontId="41" fillId="10" borderId="0" xfId="0" applyNumberFormat="1" applyFont="1" applyFill="1"/>
    <xf numFmtId="167" fontId="3" fillId="10" borderId="0" xfId="0" applyNumberFormat="1" applyFont="1" applyFill="1"/>
    <xf numFmtId="0" fontId="70" fillId="12" borderId="0" xfId="0" applyFont="1" applyFill="1"/>
    <xf numFmtId="0" fontId="68" fillId="12" borderId="0" xfId="0" applyFont="1" applyFill="1"/>
    <xf numFmtId="0" fontId="70" fillId="12" borderId="0" xfId="0" applyFont="1" applyFill="1" applyAlignment="1">
      <alignment horizontal="center"/>
    </xf>
    <xf numFmtId="9" fontId="71" fillId="12" borderId="0" xfId="0" applyNumberFormat="1" applyFont="1" applyFill="1" applyAlignment="1">
      <alignment horizontal="center"/>
    </xf>
    <xf numFmtId="3" fontId="70" fillId="12" borderId="0" xfId="0" applyNumberFormat="1" applyFont="1" applyFill="1" applyAlignment="1">
      <alignment horizontal="center"/>
    </xf>
    <xf numFmtId="0" fontId="68" fillId="12" borderId="0" xfId="0" applyFont="1" applyFill="1" applyAlignment="1">
      <alignment horizontal="center"/>
    </xf>
    <xf numFmtId="0" fontId="70" fillId="12" borderId="0" xfId="0" applyFont="1" applyFill="1" applyAlignment="1">
      <alignment horizontal="left"/>
    </xf>
    <xf numFmtId="3" fontId="68" fillId="12" borderId="0" xfId="0" applyNumberFormat="1" applyFont="1" applyFill="1"/>
    <xf numFmtId="3" fontId="70" fillId="12" borderId="0" xfId="0" applyNumberFormat="1" applyFont="1" applyFill="1" applyAlignment="1">
      <alignment horizontal="center" vertical="top"/>
    </xf>
    <xf numFmtId="3" fontId="70" fillId="12" borderId="0" xfId="0" applyNumberFormat="1" applyFont="1" applyFill="1" applyAlignment="1">
      <alignment horizontal="center" vertical="center"/>
    </xf>
    <xf numFmtId="3" fontId="68" fillId="12" borderId="0" xfId="0" applyNumberFormat="1" applyFont="1" applyFill="1" applyAlignment="1">
      <alignment horizontal="center" vertical="center"/>
    </xf>
    <xf numFmtId="3" fontId="68" fillId="12" borderId="0" xfId="0" applyNumberFormat="1" applyFont="1" applyFill="1" applyAlignment="1">
      <alignment horizontal="center"/>
    </xf>
    <xf numFmtId="0" fontId="4" fillId="12" borderId="0" xfId="0" applyFont="1" applyFill="1"/>
    <xf numFmtId="3" fontId="34" fillId="12" borderId="0" xfId="0" applyNumberFormat="1" applyFont="1" applyFill="1" applyAlignment="1">
      <alignment horizontal="center"/>
    </xf>
    <xf numFmtId="0" fontId="68" fillId="12" borderId="0" xfId="0" applyFont="1" applyFill="1" applyAlignment="1">
      <alignment horizontal="center" vertical="top"/>
    </xf>
    <xf numFmtId="0" fontId="72" fillId="0" borderId="0" xfId="0" applyFont="1"/>
    <xf numFmtId="3" fontId="69" fillId="7" borderId="0" xfId="0" applyNumberFormat="1" applyFont="1" applyFill="1" applyAlignment="1">
      <alignment horizontal="right" vertical="center"/>
    </xf>
    <xf numFmtId="1" fontId="21" fillId="0" borderId="0" xfId="0" applyNumberFormat="1" applyFont="1"/>
    <xf numFmtId="3" fontId="41" fillId="11" borderId="0" xfId="0" applyNumberFormat="1" applyFont="1" applyFill="1"/>
    <xf numFmtId="1" fontId="40" fillId="0" borderId="0" xfId="0" applyNumberFormat="1" applyFont="1" applyAlignment="1">
      <alignment horizontal="center"/>
    </xf>
    <xf numFmtId="1" fontId="71" fillId="12" borderId="0" xfId="0" applyNumberFormat="1" applyFont="1" applyFill="1" applyAlignment="1">
      <alignment horizontal="center"/>
    </xf>
    <xf numFmtId="3" fontId="3" fillId="0" borderId="0" xfId="0" applyNumberFormat="1" applyFont="1" applyAlignment="1">
      <alignment horizontal="center"/>
    </xf>
    <xf numFmtId="3" fontId="73" fillId="12" borderId="2" xfId="0" applyNumberFormat="1" applyFont="1" applyFill="1" applyBorder="1" applyAlignment="1">
      <alignment horizontal="center" vertical="center"/>
    </xf>
    <xf numFmtId="3" fontId="17" fillId="9" borderId="2" xfId="0" applyNumberFormat="1" applyFont="1" applyFill="1" applyBorder="1" applyAlignment="1">
      <alignment horizontal="center"/>
    </xf>
    <xf numFmtId="3" fontId="4" fillId="0" borderId="0" xfId="0" applyNumberFormat="1" applyFont="1" applyAlignment="1">
      <alignment horizontal="right" vertical="top"/>
    </xf>
    <xf numFmtId="3" fontId="40" fillId="0" borderId="0" xfId="0" applyNumberFormat="1" applyFont="1" applyAlignment="1">
      <alignment horizontal="center"/>
    </xf>
    <xf numFmtId="3" fontId="13" fillId="0" borderId="0" xfId="0" applyNumberFormat="1" applyFont="1" applyAlignment="1">
      <alignment horizontal="center"/>
    </xf>
    <xf numFmtId="3" fontId="36" fillId="0" borderId="0" xfId="0" applyNumberFormat="1" applyFont="1" applyAlignment="1">
      <alignment horizontal="right"/>
    </xf>
    <xf numFmtId="3" fontId="41" fillId="20" borderId="0" xfId="0" applyNumberFormat="1" applyFont="1" applyFill="1"/>
    <xf numFmtId="0" fontId="74" fillId="0" borderId="0" xfId="0" applyFont="1"/>
    <xf numFmtId="0" fontId="34" fillId="0" borderId="0" xfId="0" applyFont="1" applyAlignment="1">
      <alignment horizontal="right" vertical="top"/>
    </xf>
    <xf numFmtId="0" fontId="69" fillId="0" borderId="0" xfId="0" applyFont="1"/>
    <xf numFmtId="3" fontId="75" fillId="0" borderId="0" xfId="0" applyNumberFormat="1" applyFont="1" applyAlignment="1">
      <alignment horizontal="center"/>
    </xf>
    <xf numFmtId="0" fontId="4" fillId="0" borderId="0" xfId="0" applyFont="1" applyAlignment="1">
      <alignment horizontal="right"/>
    </xf>
    <xf numFmtId="1" fontId="36" fillId="0" borderId="0" xfId="0" applyNumberFormat="1" applyFont="1" applyAlignment="1">
      <alignment horizontal="center"/>
    </xf>
    <xf numFmtId="14" fontId="76" fillId="0" borderId="0" xfId="0" applyNumberFormat="1" applyFont="1" applyAlignment="1">
      <alignment horizontal="left"/>
    </xf>
    <xf numFmtId="0" fontId="69" fillId="7" borderId="0" xfId="0" applyFont="1" applyFill="1" applyAlignment="1">
      <alignment horizontal="center"/>
    </xf>
    <xf numFmtId="0" fontId="36" fillId="0" borderId="0" xfId="0" applyFont="1" applyAlignment="1">
      <alignment horizontal="right"/>
    </xf>
    <xf numFmtId="0" fontId="77" fillId="0" borderId="0" xfId="0" applyFont="1"/>
    <xf numFmtId="0" fontId="78" fillId="7" borderId="0" xfId="0" applyFont="1" applyFill="1" applyAlignment="1">
      <alignment vertical="top"/>
    </xf>
    <xf numFmtId="0" fontId="1" fillId="0" borderId="0" xfId="0" quotePrefix="1" applyFont="1"/>
    <xf numFmtId="3" fontId="8" fillId="0" borderId="0" xfId="0" applyNumberFormat="1" applyFont="1" applyAlignment="1">
      <alignment horizontal="right"/>
    </xf>
    <xf numFmtId="3" fontId="3" fillId="0" borderId="0" xfId="0" applyNumberFormat="1" applyFont="1" applyAlignment="1">
      <alignment horizontal="center" vertical="center"/>
    </xf>
    <xf numFmtId="172" fontId="41" fillId="0" borderId="0" xfId="0" applyNumberFormat="1" applyFont="1" applyAlignment="1">
      <alignment horizontal="center"/>
    </xf>
    <xf numFmtId="9" fontId="36" fillId="0" borderId="0" xfId="0" applyNumberFormat="1" applyFont="1" applyAlignment="1">
      <alignment horizontal="left"/>
    </xf>
    <xf numFmtId="167" fontId="3" fillId="22" borderId="0" xfId="0" applyNumberFormat="1" applyFont="1" applyFill="1"/>
    <xf numFmtId="179" fontId="41" fillId="0" borderId="0" xfId="0" applyNumberFormat="1" applyFont="1"/>
    <xf numFmtId="3" fontId="2" fillId="7" borderId="2" xfId="0" applyNumberFormat="1" applyFont="1" applyFill="1" applyBorder="1" applyAlignment="1">
      <alignment horizontal="center"/>
    </xf>
    <xf numFmtId="0" fontId="41" fillId="12" borderId="0" xfId="0" applyFont="1" applyFill="1"/>
    <xf numFmtId="0" fontId="1" fillId="0" borderId="0" xfId="0" applyFont="1" applyAlignment="1">
      <alignment horizontal="left" vertical="top"/>
    </xf>
    <xf numFmtId="0" fontId="1" fillId="7" borderId="0" xfId="0" applyFont="1" applyFill="1" applyAlignment="1">
      <alignment horizontal="left"/>
    </xf>
    <xf numFmtId="1" fontId="34" fillId="0" borderId="0" xfId="0" applyNumberFormat="1" applyFont="1"/>
    <xf numFmtId="172" fontId="36" fillId="0" borderId="0" xfId="0" applyNumberFormat="1" applyFont="1" applyAlignment="1">
      <alignment horizontal="center"/>
    </xf>
    <xf numFmtId="0" fontId="79" fillId="7" borderId="0" xfId="0" applyFont="1" applyFill="1" applyAlignment="1">
      <alignment vertical="top"/>
    </xf>
    <xf numFmtId="0" fontId="70" fillId="0" borderId="0" xfId="0" applyFont="1"/>
    <xf numFmtId="0" fontId="80" fillId="7" borderId="0" xfId="0" applyFont="1" applyFill="1" applyAlignment="1">
      <alignment horizontal="center"/>
    </xf>
    <xf numFmtId="0" fontId="81" fillId="12" borderId="0" xfId="0" applyFont="1" applyFill="1" applyAlignment="1">
      <alignment horizontal="center"/>
    </xf>
    <xf numFmtId="0" fontId="80" fillId="0" borderId="0" xfId="0" applyFont="1" applyAlignment="1">
      <alignment horizontal="center" vertical="top"/>
    </xf>
    <xf numFmtId="0" fontId="81" fillId="12" borderId="0" xfId="0" applyFont="1" applyFill="1" applyAlignment="1">
      <alignment horizontal="center" vertical="top"/>
    </xf>
    <xf numFmtId="172" fontId="36" fillId="0" borderId="0" xfId="0" applyNumberFormat="1" applyFont="1" applyAlignment="1">
      <alignment horizontal="right"/>
    </xf>
    <xf numFmtId="0" fontId="2" fillId="7" borderId="0" xfId="0" quotePrefix="1" applyFont="1" applyFill="1" applyAlignment="1">
      <alignment horizontal="left"/>
    </xf>
    <xf numFmtId="0" fontId="2" fillId="7" borderId="0" xfId="0" quotePrefix="1" applyFont="1" applyFill="1" applyAlignment="1">
      <alignment horizontal="left" vertical="center"/>
    </xf>
    <xf numFmtId="0" fontId="34" fillId="0" borderId="0" xfId="0" applyFont="1" applyAlignment="1">
      <alignment horizontal="right"/>
    </xf>
    <xf numFmtId="14" fontId="85" fillId="0" borderId="0" xfId="0" applyNumberFormat="1" applyFont="1" applyAlignment="1">
      <alignment horizontal="left"/>
    </xf>
    <xf numFmtId="0" fontId="82" fillId="8" borderId="10" xfId="0" applyFont="1" applyFill="1" applyBorder="1"/>
    <xf numFmtId="0" fontId="82" fillId="8" borderId="14" xfId="0" applyFont="1" applyFill="1" applyBorder="1"/>
    <xf numFmtId="0" fontId="84" fillId="8" borderId="14" xfId="0" applyFont="1" applyFill="1" applyBorder="1"/>
    <xf numFmtId="0" fontId="83" fillId="8" borderId="11" xfId="0" applyFont="1" applyFill="1" applyBorder="1"/>
    <xf numFmtId="3" fontId="17" fillId="8" borderId="12" xfId="0" applyNumberFormat="1" applyFont="1" applyFill="1" applyBorder="1" applyAlignment="1">
      <alignment horizontal="center"/>
    </xf>
    <xf numFmtId="3" fontId="17" fillId="8" borderId="13" xfId="0" applyNumberFormat="1" applyFont="1" applyFill="1" applyBorder="1" applyAlignment="1">
      <alignment horizontal="center"/>
    </xf>
    <xf numFmtId="3" fontId="2" fillId="8" borderId="17" xfId="0" applyNumberFormat="1" applyFont="1" applyFill="1" applyBorder="1" applyAlignment="1">
      <alignment horizontal="center"/>
    </xf>
    <xf numFmtId="3" fontId="86" fillId="8" borderId="17" xfId="0" applyNumberFormat="1" applyFont="1" applyFill="1" applyBorder="1" applyAlignment="1">
      <alignment horizontal="center"/>
    </xf>
    <xf numFmtId="3" fontId="2" fillId="8" borderId="18" xfId="0" applyNumberFormat="1" applyFont="1" applyFill="1" applyBorder="1" applyAlignment="1">
      <alignment horizontal="center"/>
    </xf>
    <xf numFmtId="3" fontId="2" fillId="8" borderId="0" xfId="0" applyNumberFormat="1" applyFont="1" applyFill="1" applyAlignment="1">
      <alignment horizontal="center"/>
    </xf>
    <xf numFmtId="0" fontId="33" fillId="8" borderId="0" xfId="0" applyFont="1" applyFill="1"/>
    <xf numFmtId="1" fontId="87" fillId="12" borderId="0" xfId="0" applyNumberFormat="1" applyFont="1" applyFill="1" applyAlignment="1">
      <alignment horizontal="center"/>
    </xf>
    <xf numFmtId="3" fontId="2" fillId="8" borderId="15" xfId="0" applyNumberFormat="1" applyFont="1" applyFill="1" applyBorder="1" applyAlignment="1">
      <alignment horizontal="center"/>
    </xf>
    <xf numFmtId="3" fontId="88" fillId="8" borderId="0" xfId="0" applyNumberFormat="1" applyFont="1" applyFill="1" applyAlignment="1">
      <alignment horizontal="center"/>
    </xf>
    <xf numFmtId="3" fontId="88" fillId="8" borderId="15" xfId="0" applyNumberFormat="1" applyFont="1" applyFill="1" applyBorder="1" applyAlignment="1">
      <alignment horizontal="center"/>
    </xf>
    <xf numFmtId="0" fontId="33" fillId="8" borderId="12" xfId="0" applyFont="1" applyFill="1" applyBorder="1"/>
    <xf numFmtId="3" fontId="87" fillId="12" borderId="12" xfId="0" applyNumberFormat="1" applyFont="1" applyFill="1" applyBorder="1"/>
    <xf numFmtId="22" fontId="3" fillId="0" borderId="0" xfId="0" applyNumberFormat="1" applyFont="1" applyAlignment="1">
      <alignment horizontal="left"/>
    </xf>
    <xf numFmtId="0" fontId="41" fillId="7" borderId="0" xfId="0" applyFont="1" applyFill="1"/>
    <xf numFmtId="3" fontId="89" fillId="7" borderId="0" xfId="0" applyNumberFormat="1" applyFont="1" applyFill="1" applyAlignment="1">
      <alignment horizontal="center"/>
    </xf>
    <xf numFmtId="3" fontId="90" fillId="7" borderId="0" xfId="0" applyNumberFormat="1" applyFont="1" applyFill="1" applyAlignment="1">
      <alignment horizontal="center"/>
    </xf>
    <xf numFmtId="3" fontId="91" fillId="12" borderId="0" xfId="0" applyNumberFormat="1" applyFont="1" applyFill="1" applyAlignment="1">
      <alignment horizontal="center" vertical="center"/>
    </xf>
    <xf numFmtId="3" fontId="2" fillId="0" borderId="0" xfId="0" applyNumberFormat="1" applyFont="1" applyAlignment="1">
      <alignment horizontal="left"/>
    </xf>
    <xf numFmtId="3" fontId="87" fillId="12" borderId="17" xfId="0" applyNumberFormat="1" applyFont="1" applyFill="1" applyBorder="1" applyAlignment="1">
      <alignment horizontal="center"/>
    </xf>
    <xf numFmtId="3" fontId="87" fillId="12" borderId="0" xfId="0" applyNumberFormat="1" applyFont="1" applyFill="1" applyAlignment="1">
      <alignment horizontal="center"/>
    </xf>
    <xf numFmtId="0" fontId="4" fillId="0" borderId="0" xfId="0" applyFont="1" applyAlignment="1">
      <alignment horizontal="left"/>
    </xf>
    <xf numFmtId="6" fontId="2" fillId="0" borderId="0" xfId="0" quotePrefix="1" applyNumberFormat="1" applyFont="1" applyAlignment="1">
      <alignment horizontal="left"/>
    </xf>
    <xf numFmtId="0" fontId="33" fillId="0" borderId="0" xfId="0" applyFont="1" applyAlignment="1">
      <alignment horizontal="center"/>
    </xf>
    <xf numFmtId="167" fontId="43" fillId="0" borderId="0" xfId="0" applyNumberFormat="1" applyFont="1" applyAlignment="1">
      <alignment horizontal="center"/>
    </xf>
    <xf numFmtId="9" fontId="40" fillId="7" borderId="0" xfId="0" applyNumberFormat="1" applyFont="1" applyFill="1" applyAlignment="1">
      <alignment horizontal="center"/>
    </xf>
    <xf numFmtId="3" fontId="34" fillId="7" borderId="0" xfId="0" applyNumberFormat="1" applyFont="1" applyFill="1" applyAlignment="1">
      <alignment horizontal="center"/>
    </xf>
    <xf numFmtId="0" fontId="34" fillId="7" borderId="0" xfId="0" applyFont="1" applyFill="1" applyAlignment="1">
      <alignment horizontal="center"/>
    </xf>
    <xf numFmtId="178" fontId="41" fillId="0" borderId="0" xfId="0" applyNumberFormat="1" applyFont="1"/>
    <xf numFmtId="0" fontId="92" fillId="8" borderId="0" xfId="0" applyFont="1" applyFill="1"/>
    <xf numFmtId="0" fontId="75" fillId="12" borderId="0" xfId="0" applyFont="1" applyFill="1"/>
    <xf numFmtId="0" fontId="75" fillId="0" borderId="0" xfId="0" applyFont="1"/>
    <xf numFmtId="3" fontId="4" fillId="7" borderId="0" xfId="0" quotePrefix="1" applyNumberFormat="1" applyFont="1" applyFill="1" applyAlignment="1">
      <alignment horizontal="center" vertical="top"/>
    </xf>
    <xf numFmtId="3" fontId="4" fillId="7" borderId="0" xfId="0" quotePrefix="1" applyNumberFormat="1" applyFont="1" applyFill="1" applyAlignment="1">
      <alignment horizontal="center"/>
    </xf>
    <xf numFmtId="3" fontId="68" fillId="12" borderId="0" xfId="0" quotePrefix="1" applyNumberFormat="1" applyFont="1" applyFill="1" applyAlignment="1">
      <alignment horizontal="center" vertical="top"/>
    </xf>
    <xf numFmtId="0" fontId="93" fillId="0" borderId="0" xfId="0" applyFont="1" applyAlignment="1">
      <alignment horizontal="center"/>
    </xf>
    <xf numFmtId="3" fontId="12" fillId="0" borderId="0" xfId="0" applyNumberFormat="1" applyFont="1" applyAlignment="1">
      <alignment horizontal="center" vertical="top"/>
    </xf>
    <xf numFmtId="0" fontId="35" fillId="0" borderId="0" xfId="0" applyFont="1" applyAlignment="1">
      <alignment horizontal="left" indent="1"/>
    </xf>
    <xf numFmtId="0" fontId="35" fillId="0" borderId="0" xfId="0" applyFont="1" applyAlignment="1">
      <alignment horizontal="left" vertical="center" indent="1"/>
    </xf>
    <xf numFmtId="0" fontId="75" fillId="7" borderId="0" xfId="0" applyFont="1" applyFill="1" applyAlignment="1">
      <alignment vertical="top"/>
    </xf>
    <xf numFmtId="168" fontId="75" fillId="7" borderId="0" xfId="0" applyNumberFormat="1" applyFont="1" applyFill="1" applyAlignment="1">
      <alignment horizontal="left" vertical="top"/>
    </xf>
    <xf numFmtId="168" fontId="47" fillId="7" borderId="0" xfId="0" applyNumberFormat="1" applyFont="1" applyFill="1" applyAlignment="1">
      <alignment horizontal="left" vertical="top"/>
    </xf>
    <xf numFmtId="3" fontId="1" fillId="7" borderId="10" xfId="0" applyNumberFormat="1" applyFont="1" applyFill="1" applyBorder="1" applyAlignment="1">
      <alignment horizontal="center" vertical="center"/>
    </xf>
    <xf numFmtId="3" fontId="1" fillId="7" borderId="17" xfId="0" applyNumberFormat="1" applyFont="1" applyFill="1" applyBorder="1" applyAlignment="1">
      <alignment horizontal="center" vertical="center"/>
    </xf>
    <xf numFmtId="3" fontId="1" fillId="7" borderId="18" xfId="0" applyNumberFormat="1" applyFont="1" applyFill="1" applyBorder="1" applyAlignment="1">
      <alignment horizontal="center" vertical="center"/>
    </xf>
    <xf numFmtId="3" fontId="1" fillId="7" borderId="14" xfId="0" applyNumberFormat="1" applyFont="1" applyFill="1" applyBorder="1" applyAlignment="1">
      <alignment horizontal="center" vertical="center"/>
    </xf>
    <xf numFmtId="3" fontId="1" fillId="7" borderId="15" xfId="0" applyNumberFormat="1" applyFont="1" applyFill="1" applyBorder="1" applyAlignment="1">
      <alignment horizontal="center" vertical="center"/>
    </xf>
    <xf numFmtId="1" fontId="35" fillId="7" borderId="14" xfId="0" applyNumberFormat="1" applyFont="1" applyFill="1" applyBorder="1" applyAlignment="1">
      <alignment horizontal="center"/>
    </xf>
    <xf numFmtId="1" fontId="35" fillId="0" borderId="0" xfId="0" applyNumberFormat="1" applyFont="1" applyAlignment="1">
      <alignment horizontal="center"/>
    </xf>
    <xf numFmtId="1" fontId="35" fillId="0" borderId="15" xfId="0" applyNumberFormat="1" applyFont="1" applyBorder="1" applyAlignment="1">
      <alignment horizontal="center"/>
    </xf>
    <xf numFmtId="3" fontId="1" fillId="7" borderId="11" xfId="0" applyNumberFormat="1" applyFont="1" applyFill="1" applyBorder="1" applyAlignment="1">
      <alignment horizontal="center" vertical="center"/>
    </xf>
    <xf numFmtId="3" fontId="1" fillId="7" borderId="12" xfId="0" applyNumberFormat="1" applyFont="1" applyFill="1" applyBorder="1" applyAlignment="1">
      <alignment horizontal="center" vertical="center"/>
    </xf>
    <xf numFmtId="3" fontId="1" fillId="7" borderId="13" xfId="0" applyNumberFormat="1" applyFont="1" applyFill="1" applyBorder="1" applyAlignment="1">
      <alignment horizontal="center" vertical="center"/>
    </xf>
    <xf numFmtId="3" fontId="94" fillId="7" borderId="0" xfId="0" applyNumberFormat="1" applyFont="1" applyFill="1" applyAlignment="1">
      <alignment horizontal="center" vertical="top"/>
    </xf>
    <xf numFmtId="3" fontId="17" fillId="7" borderId="0" xfId="0" applyNumberFormat="1" applyFont="1" applyFill="1" applyAlignment="1">
      <alignment horizontal="center"/>
    </xf>
    <xf numFmtId="0" fontId="2" fillId="7" borderId="0" xfId="0" applyFont="1" applyFill="1" applyAlignment="1">
      <alignment vertical="top" wrapText="1"/>
    </xf>
    <xf numFmtId="0" fontId="2" fillId="0" borderId="0" xfId="0" applyFont="1" applyAlignment="1">
      <alignment vertical="top" wrapText="1"/>
    </xf>
  </cellXfs>
  <cellStyles count="11">
    <cellStyle name="Aksentti1 2" xfId="1" xr:uid="{00000000-0005-0000-0000-000000000000}"/>
    <cellStyle name="Aksentti2" xfId="2" builtinId="33"/>
    <cellStyle name="Aksentti3 2" xfId="3" xr:uid="{00000000-0005-0000-0000-000002000000}"/>
    <cellStyle name="Aksentti6" xfId="4" builtinId="49"/>
    <cellStyle name="Aksentti6 2" xfId="5" xr:uid="{00000000-0005-0000-0000-000004000000}"/>
    <cellStyle name="Hyperlinkki" xfId="6" builtinId="8"/>
    <cellStyle name="Normaali" xfId="0" builtinId="0"/>
    <cellStyle name="Normaali 2" xfId="7" xr:uid="{00000000-0005-0000-0000-000007000000}"/>
    <cellStyle name="Normaali 3" xfId="8" xr:uid="{00000000-0005-0000-0000-000008000000}"/>
    <cellStyle name="Normaali 4" xfId="9" xr:uid="{00000000-0005-0000-0000-000009000000}"/>
    <cellStyle name="Normaali 5" xfId="10"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Kuviot!$AR$6</c:f>
              <c:strCache>
                <c:ptCount val="1"/>
                <c:pt idx="0">
                  <c:v>toimintakate</c:v>
                </c:pt>
              </c:strCache>
            </c:strRef>
          </c:tx>
          <c:spPr>
            <a:solidFill>
              <a:schemeClr val="bg1">
                <a:lumMod val="75000"/>
              </a:schemeClr>
            </a:solidFill>
            <a:ln>
              <a:noFill/>
            </a:ln>
            <a:effectLst>
              <a:outerShdw blurRad="40000" dist="23000" dir="5400000" rotWithShape="0">
                <a:srgbClr val="000000">
                  <a:alpha val="35000"/>
                </a:srgbClr>
              </a:outerShdw>
            </a:effectLst>
          </c:spPr>
          <c:invertIfNegative val="0"/>
          <c:dLbls>
            <c:spPr>
              <a:noFill/>
              <a:ln w="25400">
                <a:noFill/>
              </a:ln>
            </c:spPr>
            <c:txPr>
              <a:bodyPr wrap="square" lIns="38100" tIns="19050" rIns="38100" bIns="19050" anchor="ctr">
                <a:spAutoFit/>
              </a:bodyPr>
              <a:lstStyle/>
              <a:p>
                <a:pPr>
                  <a:defRPr sz="900" b="0" i="0" u="none" strike="noStrike" baseline="0">
                    <a:solidFill>
                      <a:srgbClr val="000000"/>
                    </a:solidFill>
                    <a:latin typeface="Calibri"/>
                    <a:ea typeface="Calibri"/>
                    <a:cs typeface="Calibri"/>
                  </a:defRPr>
                </a:pPr>
                <a:endParaRPr lang="fi-FI"/>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Kuviot!$AS$5:$AT$5</c:f>
              <c:strCache>
                <c:ptCount val="2"/>
                <c:pt idx="0">
                  <c:v>Toimintakate+poistot +rahoituserät(netto) 70 milj. €</c:v>
                </c:pt>
                <c:pt idx="1">
                  <c:v>Rahoitus 72 milj. €</c:v>
                </c:pt>
              </c:strCache>
            </c:strRef>
          </c:cat>
          <c:val>
            <c:numRef>
              <c:f>Kuviot!$AS$6:$AT$6</c:f>
              <c:numCache>
                <c:formatCode>General</c:formatCode>
                <c:ptCount val="2"/>
                <c:pt idx="0" formatCode="#,##0">
                  <c:v>69403.727047360939</c:v>
                </c:pt>
              </c:numCache>
            </c:numRef>
          </c:val>
          <c:extLst>
            <c:ext xmlns:c16="http://schemas.microsoft.com/office/drawing/2014/chart" uri="{C3380CC4-5D6E-409C-BE32-E72D297353CC}">
              <c16:uniqueId val="{00000000-74B0-4735-9D10-F6B3C8035E3A}"/>
            </c:ext>
          </c:extLst>
        </c:ser>
        <c:ser>
          <c:idx val="6"/>
          <c:order val="1"/>
          <c:tx>
            <c:strRef>
              <c:f>Kuviot!$AR$12</c:f>
              <c:strCache>
                <c:ptCount val="1"/>
                <c:pt idx="0">
                  <c:v>poistot</c:v>
                </c:pt>
              </c:strCache>
            </c:strRef>
          </c:tx>
          <c:spPr>
            <a:solidFill>
              <a:schemeClr val="bg1">
                <a:lumMod val="50000"/>
              </a:schemeClr>
            </a:solidFill>
            <a:ln>
              <a:noFill/>
            </a:ln>
            <a:effectLst>
              <a:outerShdw blurRad="40000" dist="23000" dir="5400000" rotWithShape="0">
                <a:srgbClr val="000000">
                  <a:alpha val="35000"/>
                </a:srgbClr>
              </a:outerShdw>
            </a:effectLst>
          </c:spPr>
          <c:invertIfNegative val="0"/>
          <c:dLbls>
            <c:dLbl>
              <c:idx val="0"/>
              <c:spPr>
                <a:noFill/>
                <a:ln w="25400">
                  <a:noFill/>
                </a:ln>
              </c:spPr>
              <c:txPr>
                <a:bodyPr/>
                <a:lstStyle/>
                <a:p>
                  <a:pPr>
                    <a:defRPr sz="800" b="0" i="0" u="none" strike="noStrike" baseline="0">
                      <a:solidFill>
                        <a:srgbClr val="000000"/>
                      </a:solidFill>
                      <a:latin typeface="Calibri"/>
                      <a:ea typeface="Calibri"/>
                      <a:cs typeface="Calibri"/>
                    </a:defRPr>
                  </a:pPr>
                  <a:endParaRPr lang="fi-FI"/>
                </a:p>
              </c:txPr>
              <c:showLegendKey val="0"/>
              <c:showVal val="0"/>
              <c:showCatName val="0"/>
              <c:showSerName val="1"/>
              <c:showPercent val="0"/>
              <c:showBubbleSize val="0"/>
              <c:extLst>
                <c:ext xmlns:c16="http://schemas.microsoft.com/office/drawing/2014/chart" uri="{C3380CC4-5D6E-409C-BE32-E72D297353CC}">
                  <c16:uniqueId val="{00000001-74B0-4735-9D10-F6B3C8035E3A}"/>
                </c:ext>
              </c:extLst>
            </c:dLbl>
            <c:spPr>
              <a:noFill/>
              <a:ln w="25400">
                <a:noFill/>
              </a:ln>
            </c:spPr>
            <c:txPr>
              <a:bodyPr wrap="square" lIns="38100" tIns="19050" rIns="38100" bIns="19050" anchor="ctr">
                <a:spAutoFit/>
              </a:bodyPr>
              <a:lstStyle/>
              <a:p>
                <a:pPr>
                  <a:defRPr sz="900" b="0" i="0" u="none" strike="noStrike" baseline="0">
                    <a:solidFill>
                      <a:srgbClr val="000000"/>
                    </a:solidFill>
                    <a:latin typeface="Calibri"/>
                    <a:ea typeface="Calibri"/>
                    <a:cs typeface="Calibri"/>
                  </a:defRPr>
                </a:pPr>
                <a:endParaRPr lang="fi-FI"/>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Kuviot!$AS$12:$AT$12</c:f>
              <c:numCache>
                <c:formatCode>General</c:formatCode>
                <c:ptCount val="2"/>
                <c:pt idx="0" formatCode="#,##0">
                  <c:v>0</c:v>
                </c:pt>
              </c:numCache>
            </c:numRef>
          </c:val>
          <c:extLst>
            <c:ext xmlns:c16="http://schemas.microsoft.com/office/drawing/2014/chart" uri="{C3380CC4-5D6E-409C-BE32-E72D297353CC}">
              <c16:uniqueId val="{00000002-74B0-4735-9D10-F6B3C8035E3A}"/>
            </c:ext>
          </c:extLst>
        </c:ser>
        <c:ser>
          <c:idx val="1"/>
          <c:order val="2"/>
          <c:tx>
            <c:strRef>
              <c:f>Kuviot!$AR$7</c:f>
              <c:strCache>
                <c:ptCount val="1"/>
                <c:pt idx="0">
                  <c:v>kunnallisvero 38%</c:v>
                </c:pt>
              </c:strCache>
            </c:strRef>
          </c:tx>
          <c:spPr>
            <a:solidFill>
              <a:srgbClr val="FFFF00"/>
            </a:solidFill>
            <a:ln>
              <a:noFill/>
            </a:ln>
            <a:effectLst>
              <a:outerShdw blurRad="40000" dist="23000" dir="5400000" rotWithShape="0">
                <a:srgbClr val="000000">
                  <a:alpha val="35000"/>
                </a:srgbClr>
              </a:outerShdw>
            </a:effectLst>
          </c:spPr>
          <c:invertIfNegative val="0"/>
          <c:dLbls>
            <c:spPr>
              <a:noFill/>
              <a:ln w="25400">
                <a:noFill/>
              </a:ln>
            </c:spPr>
            <c:txPr>
              <a:bodyPr wrap="square" lIns="38100" tIns="19050" rIns="38100" bIns="19050" anchor="ctr">
                <a:spAutoFit/>
              </a:bodyPr>
              <a:lstStyle/>
              <a:p>
                <a:pPr>
                  <a:defRPr sz="900" b="0" i="0" u="none" strike="noStrike" baseline="0">
                    <a:solidFill>
                      <a:srgbClr val="000000"/>
                    </a:solidFill>
                    <a:latin typeface="Calibri"/>
                    <a:ea typeface="Calibri"/>
                    <a:cs typeface="Calibri"/>
                  </a:defRPr>
                </a:pPr>
                <a:endParaRPr lang="fi-FI"/>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Kuviot!$AS$5:$AT$5</c:f>
              <c:strCache>
                <c:ptCount val="2"/>
                <c:pt idx="0">
                  <c:v>Toimintakate+poistot +rahoituserät(netto) 70 milj. €</c:v>
                </c:pt>
                <c:pt idx="1">
                  <c:v>Rahoitus 72 milj. €</c:v>
                </c:pt>
              </c:strCache>
            </c:strRef>
          </c:cat>
          <c:val>
            <c:numRef>
              <c:f>Kuviot!$AS$7:$AT$7</c:f>
              <c:numCache>
                <c:formatCode>#,##0</c:formatCode>
                <c:ptCount val="2"/>
                <c:pt idx="1">
                  <c:v>27194.755138970093</c:v>
                </c:pt>
              </c:numCache>
            </c:numRef>
          </c:val>
          <c:extLst>
            <c:ext xmlns:c16="http://schemas.microsoft.com/office/drawing/2014/chart" uri="{C3380CC4-5D6E-409C-BE32-E72D297353CC}">
              <c16:uniqueId val="{00000003-74B0-4735-9D10-F6B3C8035E3A}"/>
            </c:ext>
          </c:extLst>
        </c:ser>
        <c:ser>
          <c:idx val="2"/>
          <c:order val="3"/>
          <c:tx>
            <c:strRef>
              <c:f>Kuviot!$AR$8</c:f>
              <c:strCache>
                <c:ptCount val="1"/>
                <c:pt idx="0">
                  <c:v>yhteisövero 4%</c:v>
                </c:pt>
              </c:strCache>
            </c:strRef>
          </c:tx>
          <c:spPr>
            <a:solidFill>
              <a:srgbClr val="CCCC00"/>
            </a:solidFill>
            <a:ln>
              <a:noFill/>
            </a:ln>
            <a:effectLst>
              <a:outerShdw blurRad="40000" dist="23000" dir="5400000" rotWithShape="0">
                <a:srgbClr val="000000">
                  <a:alpha val="35000"/>
                </a:srgbClr>
              </a:outerShdw>
            </a:effectLst>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Calibri"/>
                    <a:ea typeface="Calibri"/>
                    <a:cs typeface="Calibri"/>
                  </a:defRPr>
                </a:pPr>
                <a:endParaRPr lang="fi-FI"/>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Kuviot!$AS$5:$AT$5</c:f>
              <c:strCache>
                <c:ptCount val="2"/>
                <c:pt idx="0">
                  <c:v>Toimintakate+poistot +rahoituserät(netto) 70 milj. €</c:v>
                </c:pt>
                <c:pt idx="1">
                  <c:v>Rahoitus 72 milj. €</c:v>
                </c:pt>
              </c:strCache>
            </c:strRef>
          </c:cat>
          <c:val>
            <c:numRef>
              <c:f>Kuviot!$AS$8:$AT$8</c:f>
              <c:numCache>
                <c:formatCode>#,##0</c:formatCode>
                <c:ptCount val="2"/>
                <c:pt idx="1">
                  <c:v>2807.2363200000004</c:v>
                </c:pt>
              </c:numCache>
            </c:numRef>
          </c:val>
          <c:extLst>
            <c:ext xmlns:c16="http://schemas.microsoft.com/office/drawing/2014/chart" uri="{C3380CC4-5D6E-409C-BE32-E72D297353CC}">
              <c16:uniqueId val="{00000004-74B0-4735-9D10-F6B3C8035E3A}"/>
            </c:ext>
          </c:extLst>
        </c:ser>
        <c:ser>
          <c:idx val="3"/>
          <c:order val="4"/>
          <c:tx>
            <c:strRef>
              <c:f>Kuviot!$AR$9</c:f>
              <c:strCache>
                <c:ptCount val="1"/>
                <c:pt idx="0">
                  <c:v>kiinteistövero 3%</c:v>
                </c:pt>
              </c:strCache>
            </c:strRef>
          </c:tx>
          <c:spPr>
            <a:solidFill>
              <a:srgbClr val="FFCC00"/>
            </a:solidFill>
            <a:ln>
              <a:noFill/>
            </a:ln>
            <a:effectLst>
              <a:outerShdw blurRad="40000" dist="23000" dir="5400000" rotWithShape="0">
                <a:srgbClr val="000000">
                  <a:alpha val="35000"/>
                </a:srgbClr>
              </a:outerShdw>
            </a:effectLst>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Calibri"/>
                    <a:ea typeface="Calibri"/>
                    <a:cs typeface="Calibri"/>
                  </a:defRPr>
                </a:pPr>
                <a:endParaRPr lang="fi-FI"/>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Kuviot!$AS$5:$AT$5</c:f>
              <c:strCache>
                <c:ptCount val="2"/>
                <c:pt idx="0">
                  <c:v>Toimintakate+poistot +rahoituserät(netto) 70 milj. €</c:v>
                </c:pt>
                <c:pt idx="1">
                  <c:v>Rahoitus 72 milj. €</c:v>
                </c:pt>
              </c:strCache>
            </c:strRef>
          </c:cat>
          <c:val>
            <c:numRef>
              <c:f>Kuviot!$AS$9:$AT$9</c:f>
              <c:numCache>
                <c:formatCode>#,##0</c:formatCode>
                <c:ptCount val="2"/>
                <c:pt idx="1">
                  <c:v>2278.2456457000003</c:v>
                </c:pt>
              </c:numCache>
            </c:numRef>
          </c:val>
          <c:extLst>
            <c:ext xmlns:c16="http://schemas.microsoft.com/office/drawing/2014/chart" uri="{C3380CC4-5D6E-409C-BE32-E72D297353CC}">
              <c16:uniqueId val="{00000005-74B0-4735-9D10-F6B3C8035E3A}"/>
            </c:ext>
          </c:extLst>
        </c:ser>
        <c:ser>
          <c:idx val="4"/>
          <c:order val="5"/>
          <c:tx>
            <c:strRef>
              <c:f>Kuviot!$AR$10</c:f>
              <c:strCache>
                <c:ptCount val="1"/>
                <c:pt idx="0">
                  <c:v>vos 55%</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6-74B0-4735-9D10-F6B3C8035E3A}"/>
                </c:ext>
              </c:extLst>
            </c:dLbl>
            <c:spPr>
              <a:noFill/>
              <a:ln w="25400">
                <a:noFill/>
              </a:ln>
            </c:spPr>
            <c:txPr>
              <a:bodyPr wrap="square" lIns="38100" tIns="19050" rIns="38100" bIns="19050" anchor="ctr">
                <a:spAutoFit/>
              </a:bodyPr>
              <a:lstStyle/>
              <a:p>
                <a:pPr>
                  <a:defRPr sz="900" b="0" i="0" u="none" strike="noStrike" baseline="0">
                    <a:solidFill>
                      <a:srgbClr val="000000"/>
                    </a:solidFill>
                    <a:latin typeface="Calibri"/>
                    <a:ea typeface="Calibri"/>
                    <a:cs typeface="Calibri"/>
                  </a:defRPr>
                </a:pPr>
                <a:endParaRPr lang="fi-FI"/>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Kuviot!$AS$5:$AT$5</c:f>
              <c:strCache>
                <c:ptCount val="2"/>
                <c:pt idx="0">
                  <c:v>Toimintakate+poistot +rahoituserät(netto) 70 milj. €</c:v>
                </c:pt>
                <c:pt idx="1">
                  <c:v>Rahoitus 72 milj. €</c:v>
                </c:pt>
              </c:strCache>
            </c:strRef>
          </c:cat>
          <c:val>
            <c:numRef>
              <c:f>Kuviot!$AS$10:$AT$10</c:f>
              <c:numCache>
                <c:formatCode>#,##0</c:formatCode>
                <c:ptCount val="2"/>
                <c:pt idx="0" formatCode="General">
                  <c:v>0</c:v>
                </c:pt>
                <c:pt idx="1">
                  <c:v>39223.963193778771</c:v>
                </c:pt>
              </c:numCache>
            </c:numRef>
          </c:val>
          <c:extLst>
            <c:ext xmlns:c16="http://schemas.microsoft.com/office/drawing/2014/chart" uri="{C3380CC4-5D6E-409C-BE32-E72D297353CC}">
              <c16:uniqueId val="{00000007-74B0-4735-9D10-F6B3C8035E3A}"/>
            </c:ext>
          </c:extLst>
        </c:ser>
        <c:ser>
          <c:idx val="5"/>
          <c:order val="6"/>
          <c:tx>
            <c:strRef>
              <c:f>Kuviot!$AR$11</c:f>
              <c:strCache>
                <c:ptCount val="1"/>
              </c:strCache>
            </c:strRef>
          </c:tx>
          <c:spPr>
            <a:solidFill>
              <a:srgbClr val="00B050"/>
            </a:solidFill>
            <a:ln>
              <a:noFill/>
            </a:ln>
            <a:effectLst>
              <a:outerShdw blurRad="40000" dist="23000" dir="5400000" rotWithShape="0">
                <a:srgbClr val="000000">
                  <a:alpha val="35000"/>
                </a:srgbClr>
              </a:outerShdw>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8-74B0-4735-9D10-F6B3C8035E3A}"/>
                </c:ext>
              </c:extLst>
            </c:dLbl>
            <c:spPr>
              <a:noFill/>
              <a:ln w="25400">
                <a:noFill/>
              </a:ln>
            </c:spPr>
            <c:txPr>
              <a:bodyPr wrap="square" lIns="38100" tIns="19050" rIns="38100" bIns="19050" anchor="ctr">
                <a:spAutoFit/>
              </a:bodyPr>
              <a:lstStyle/>
              <a:p>
                <a:pPr>
                  <a:defRPr sz="900" b="0" i="0" u="none" strike="noStrike" baseline="0">
                    <a:solidFill>
                      <a:srgbClr val="000000"/>
                    </a:solidFill>
                    <a:latin typeface="Calibri"/>
                    <a:ea typeface="Calibri"/>
                    <a:cs typeface="Calibri"/>
                  </a:defRPr>
                </a:pPr>
                <a:endParaRPr lang="fi-FI"/>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Kuviot!$AS$5:$AT$5</c:f>
              <c:strCache>
                <c:ptCount val="2"/>
                <c:pt idx="0">
                  <c:v>Toimintakate+poistot +rahoituserät(netto) 70 milj. €</c:v>
                </c:pt>
                <c:pt idx="1">
                  <c:v>Rahoitus 72 milj. €</c:v>
                </c:pt>
              </c:strCache>
            </c:strRef>
          </c:cat>
          <c:val>
            <c:numRef>
              <c:f>Kuviot!$AS$11:$AT$11</c:f>
              <c:numCache>
                <c:formatCode>#,##0</c:formatCode>
                <c:ptCount val="2"/>
                <c:pt idx="0">
                  <c:v>430</c:v>
                </c:pt>
                <c:pt idx="1">
                  <c:v>0</c:v>
                </c:pt>
              </c:numCache>
            </c:numRef>
          </c:val>
          <c:extLst>
            <c:ext xmlns:c16="http://schemas.microsoft.com/office/drawing/2014/chart" uri="{C3380CC4-5D6E-409C-BE32-E72D297353CC}">
              <c16:uniqueId val="{00000009-74B0-4735-9D10-F6B3C8035E3A}"/>
            </c:ext>
          </c:extLst>
        </c:ser>
        <c:dLbls>
          <c:showLegendKey val="0"/>
          <c:showVal val="0"/>
          <c:showCatName val="0"/>
          <c:showSerName val="0"/>
          <c:showPercent val="0"/>
          <c:showBubbleSize val="0"/>
        </c:dLbls>
        <c:gapWidth val="40"/>
        <c:overlap val="100"/>
        <c:axId val="139493056"/>
        <c:axId val="1"/>
      </c:barChart>
      <c:catAx>
        <c:axId val="139493056"/>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0" vert="horz"/>
          <a:lstStyle/>
          <a:p>
            <a:pPr>
              <a:defRPr sz="900" b="0" i="0" u="none" strike="noStrike" baseline="0">
                <a:solidFill>
                  <a:srgbClr val="000000"/>
                </a:solidFill>
                <a:latin typeface="Calibri"/>
                <a:ea typeface="Calibri"/>
                <a:cs typeface="Calibri"/>
              </a:defRPr>
            </a:pPr>
            <a:endParaRPr lang="fi-FI"/>
          </a:p>
        </c:txPr>
        <c:crossAx val="1"/>
        <c:crossesAt val="0"/>
        <c:auto val="1"/>
        <c:lblAlgn val="ctr"/>
        <c:lblOffset val="100"/>
        <c:noMultiLvlLbl val="0"/>
      </c:catAx>
      <c:valAx>
        <c:axId val="1"/>
        <c:scaling>
          <c:orientation val="minMax"/>
        </c:scaling>
        <c:delete val="1"/>
        <c:axPos val="l"/>
        <c:majorGridlines>
          <c:spPr>
            <a:ln w="9525" cap="flat" cmpd="sng" algn="ctr">
              <a:solidFill>
                <a:schemeClr val="bg1">
                  <a:lumMod val="75000"/>
                </a:schemeClr>
              </a:solidFill>
              <a:prstDash val="dash"/>
              <a:round/>
            </a:ln>
            <a:effectLst/>
          </c:spPr>
        </c:majorGridlines>
        <c:numFmt formatCode="#,##0" sourceLinked="1"/>
        <c:majorTickMark val="out"/>
        <c:minorTickMark val="none"/>
        <c:tickLblPos val="nextTo"/>
        <c:crossAx val="139493056"/>
        <c:crosses val="autoZero"/>
        <c:crossBetween val="between"/>
      </c:valAx>
      <c:spPr>
        <a:noFill/>
        <a:ln w="25400">
          <a:noFill/>
        </a:ln>
      </c:spPr>
    </c:plotArea>
    <c:plotVisOnly val="1"/>
    <c:dispBlanksAs val="gap"/>
    <c:showDLblsOverMax val="0"/>
  </c:chart>
  <c:spPr>
    <a:solidFill>
      <a:schemeClr val="bg1"/>
    </a:solidFill>
    <a:ln w="12700" cap="flat" cmpd="sng" algn="ctr">
      <a:solidFill>
        <a:schemeClr val="bg1">
          <a:lumMod val="85000"/>
        </a:schemeClr>
      </a:solidFill>
      <a:round/>
    </a:ln>
    <a:effectLst/>
  </c:spPr>
  <c:txPr>
    <a:bodyPr/>
    <a:lstStyle/>
    <a:p>
      <a:pPr>
        <a:defRPr sz="1000" b="0" i="0" u="none" strike="noStrike" baseline="0">
          <a:solidFill>
            <a:srgbClr val="000000"/>
          </a:solidFill>
          <a:latin typeface="Calibri"/>
          <a:ea typeface="Calibri"/>
          <a:cs typeface="Calibri"/>
        </a:defRPr>
      </a:pPr>
      <a:endParaRPr lang="fi-F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Kuviot!$AU$6</c:f>
              <c:strCache>
                <c:ptCount val="1"/>
                <c:pt idx="0">
                  <c:v>toimintakate</c:v>
                </c:pt>
              </c:strCache>
            </c:strRef>
          </c:tx>
          <c:spPr>
            <a:solidFill>
              <a:schemeClr val="bg1">
                <a:lumMod val="75000"/>
              </a:schemeClr>
            </a:solidFill>
            <a:ln>
              <a:noFill/>
            </a:ln>
            <a:effectLst>
              <a:outerShdw blurRad="40000" dist="23000" dir="5400000" rotWithShape="0">
                <a:srgbClr val="000000">
                  <a:alpha val="35000"/>
                </a:srgbClr>
              </a:outerShdw>
            </a:effectLst>
          </c:spPr>
          <c:invertIfNegative val="0"/>
          <c:dLbls>
            <c:spPr>
              <a:noFill/>
              <a:ln w="25400">
                <a:noFill/>
              </a:ln>
            </c:spPr>
            <c:txPr>
              <a:bodyPr wrap="square" lIns="38100" tIns="19050" rIns="38100" bIns="19050" anchor="ctr">
                <a:spAutoFit/>
              </a:bodyPr>
              <a:lstStyle/>
              <a:p>
                <a:pPr>
                  <a:defRPr sz="900" b="0" i="0" u="none" strike="noStrike" baseline="0">
                    <a:solidFill>
                      <a:srgbClr val="000000"/>
                    </a:solidFill>
                    <a:latin typeface="Calibri"/>
                    <a:ea typeface="Calibri"/>
                    <a:cs typeface="Calibri"/>
                  </a:defRPr>
                </a:pPr>
                <a:endParaRPr lang="fi-FI"/>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Kuviot!$AV$5:$AW$5</c:f>
              <c:strCache>
                <c:ptCount val="2"/>
                <c:pt idx="0">
                  <c:v>Toimintakate+poistot+rahoituser.(netto)  27 milj. €</c:v>
                </c:pt>
                <c:pt idx="1">
                  <c:v>Rahoitus 31 milj. €</c:v>
                </c:pt>
              </c:strCache>
            </c:strRef>
          </c:cat>
          <c:val>
            <c:numRef>
              <c:f>Kuviot!$AV$6:$AW$6</c:f>
              <c:numCache>
                <c:formatCode>General</c:formatCode>
                <c:ptCount val="2"/>
                <c:pt idx="0" formatCode="#,##0">
                  <c:v>26273.622665702824</c:v>
                </c:pt>
              </c:numCache>
            </c:numRef>
          </c:val>
          <c:extLst>
            <c:ext xmlns:c16="http://schemas.microsoft.com/office/drawing/2014/chart" uri="{C3380CC4-5D6E-409C-BE32-E72D297353CC}">
              <c16:uniqueId val="{00000000-5D85-419F-BC28-FB014A885AD8}"/>
            </c:ext>
          </c:extLst>
        </c:ser>
        <c:ser>
          <c:idx val="1"/>
          <c:order val="1"/>
          <c:tx>
            <c:strRef>
              <c:f>Kuviot!$AU$7</c:f>
              <c:strCache>
                <c:ptCount val="1"/>
                <c:pt idx="0">
                  <c:v>kunnallisvero 39%</c:v>
                </c:pt>
              </c:strCache>
            </c:strRef>
          </c:tx>
          <c:spPr>
            <a:solidFill>
              <a:srgbClr val="FFFF00"/>
            </a:solidFill>
            <a:ln>
              <a:noFill/>
            </a:ln>
            <a:effectLst>
              <a:outerShdw blurRad="40000" dist="23000" dir="5400000" rotWithShape="0">
                <a:srgbClr val="000000">
                  <a:alpha val="35000"/>
                </a:srgbClr>
              </a:outerShdw>
            </a:effectLst>
          </c:spPr>
          <c:invertIfNegative val="0"/>
          <c:dLbls>
            <c:spPr>
              <a:noFill/>
              <a:ln w="25400">
                <a:noFill/>
              </a:ln>
            </c:spPr>
            <c:txPr>
              <a:bodyPr wrap="square" lIns="38100" tIns="19050" rIns="38100" bIns="19050" anchor="ctr">
                <a:spAutoFit/>
              </a:bodyPr>
              <a:lstStyle/>
              <a:p>
                <a:pPr>
                  <a:defRPr sz="900" b="0" i="0" u="none" strike="noStrike" baseline="0">
                    <a:solidFill>
                      <a:srgbClr val="000000"/>
                    </a:solidFill>
                    <a:latin typeface="Calibri"/>
                    <a:ea typeface="Calibri"/>
                    <a:cs typeface="Calibri"/>
                  </a:defRPr>
                </a:pPr>
                <a:endParaRPr lang="fi-FI"/>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Kuviot!$AV$5:$AW$5</c:f>
              <c:strCache>
                <c:ptCount val="2"/>
                <c:pt idx="0">
                  <c:v>Toimintakate+poistot+rahoituser.(netto)  27 milj. €</c:v>
                </c:pt>
                <c:pt idx="1">
                  <c:v>Rahoitus 31 milj. €</c:v>
                </c:pt>
              </c:strCache>
            </c:strRef>
          </c:cat>
          <c:val>
            <c:numRef>
              <c:f>Kuviot!$AV$7:$AW$7</c:f>
              <c:numCache>
                <c:formatCode>#,##0</c:formatCode>
                <c:ptCount val="2"/>
                <c:pt idx="1">
                  <c:v>12041.866224489415</c:v>
                </c:pt>
              </c:numCache>
            </c:numRef>
          </c:val>
          <c:extLst>
            <c:ext xmlns:c16="http://schemas.microsoft.com/office/drawing/2014/chart" uri="{C3380CC4-5D6E-409C-BE32-E72D297353CC}">
              <c16:uniqueId val="{00000001-5D85-419F-BC28-FB014A885AD8}"/>
            </c:ext>
          </c:extLst>
        </c:ser>
        <c:ser>
          <c:idx val="2"/>
          <c:order val="2"/>
          <c:tx>
            <c:strRef>
              <c:f>Kuviot!$AU$8</c:f>
              <c:strCache>
                <c:ptCount val="1"/>
                <c:pt idx="0">
                  <c:v>yhteisövero 6%</c:v>
                </c:pt>
              </c:strCache>
            </c:strRef>
          </c:tx>
          <c:spPr>
            <a:solidFill>
              <a:srgbClr val="CCCC00"/>
            </a:solidFill>
            <a:ln>
              <a:noFill/>
            </a:ln>
            <a:effectLst>
              <a:outerShdw blurRad="40000" dist="23000" dir="5400000" rotWithShape="0">
                <a:srgbClr val="000000">
                  <a:alpha val="35000"/>
                </a:srgbClr>
              </a:outerShdw>
            </a:effectLst>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Calibri"/>
                    <a:ea typeface="Calibri"/>
                    <a:cs typeface="Calibri"/>
                  </a:defRPr>
                </a:pPr>
                <a:endParaRPr lang="fi-FI"/>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Kuviot!$AV$5:$AW$5</c:f>
              <c:strCache>
                <c:ptCount val="2"/>
                <c:pt idx="0">
                  <c:v>Toimintakate+poistot+rahoituser.(netto)  27 milj. €</c:v>
                </c:pt>
                <c:pt idx="1">
                  <c:v>Rahoitus 31 milj. €</c:v>
                </c:pt>
              </c:strCache>
            </c:strRef>
          </c:cat>
          <c:val>
            <c:numRef>
              <c:f>Kuviot!$AV$8:$AW$8</c:f>
              <c:numCache>
                <c:formatCode>#,##0</c:formatCode>
                <c:ptCount val="2"/>
                <c:pt idx="1">
                  <c:v>1724.4451680000002</c:v>
                </c:pt>
              </c:numCache>
            </c:numRef>
          </c:val>
          <c:extLst>
            <c:ext xmlns:c16="http://schemas.microsoft.com/office/drawing/2014/chart" uri="{C3380CC4-5D6E-409C-BE32-E72D297353CC}">
              <c16:uniqueId val="{00000002-5D85-419F-BC28-FB014A885AD8}"/>
            </c:ext>
          </c:extLst>
        </c:ser>
        <c:ser>
          <c:idx val="3"/>
          <c:order val="3"/>
          <c:tx>
            <c:strRef>
              <c:f>Kuviot!$AU$9</c:f>
              <c:strCache>
                <c:ptCount val="1"/>
                <c:pt idx="0">
                  <c:v>kiinteistövero 7%</c:v>
                </c:pt>
              </c:strCache>
            </c:strRef>
          </c:tx>
          <c:spPr>
            <a:solidFill>
              <a:srgbClr val="FFCC00"/>
            </a:solidFill>
            <a:ln>
              <a:noFill/>
            </a:ln>
            <a:effectLst>
              <a:outerShdw blurRad="40000" dist="23000" dir="5400000" rotWithShape="0">
                <a:srgbClr val="000000">
                  <a:alpha val="35000"/>
                </a:srgbClr>
              </a:outerShdw>
            </a:effectLst>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Calibri"/>
                    <a:ea typeface="Calibri"/>
                    <a:cs typeface="Calibri"/>
                  </a:defRPr>
                </a:pPr>
                <a:endParaRPr lang="fi-FI"/>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Kuviot!$AV$5:$AW$5</c:f>
              <c:strCache>
                <c:ptCount val="2"/>
                <c:pt idx="0">
                  <c:v>Toimintakate+poistot+rahoituser.(netto)  27 milj. €</c:v>
                </c:pt>
                <c:pt idx="1">
                  <c:v>Rahoitus 31 milj. €</c:v>
                </c:pt>
              </c:strCache>
            </c:strRef>
          </c:cat>
          <c:val>
            <c:numRef>
              <c:f>Kuviot!$AV$9:$AW$9</c:f>
              <c:numCache>
                <c:formatCode>#,##0</c:formatCode>
                <c:ptCount val="2"/>
                <c:pt idx="1">
                  <c:v>2278.2456457000003</c:v>
                </c:pt>
              </c:numCache>
            </c:numRef>
          </c:val>
          <c:extLst>
            <c:ext xmlns:c16="http://schemas.microsoft.com/office/drawing/2014/chart" uri="{C3380CC4-5D6E-409C-BE32-E72D297353CC}">
              <c16:uniqueId val="{00000003-5D85-419F-BC28-FB014A885AD8}"/>
            </c:ext>
          </c:extLst>
        </c:ser>
        <c:ser>
          <c:idx val="7"/>
          <c:order val="4"/>
          <c:tx>
            <c:strRef>
              <c:f>Kuviot!$AU$12</c:f>
              <c:strCache>
                <c:ptCount val="1"/>
                <c:pt idx="0">
                  <c:v>poistot</c:v>
                </c:pt>
              </c:strCache>
            </c:strRef>
          </c:tx>
          <c:spPr>
            <a:solidFill>
              <a:schemeClr val="bg1">
                <a:lumMod val="50000"/>
              </a:schemeClr>
            </a:solidFill>
            <a:ln>
              <a:noFill/>
            </a:ln>
            <a:effectLst>
              <a:outerShdw blurRad="40000" dist="23000" dir="5400000" rotWithShape="0">
                <a:srgbClr val="000000">
                  <a:alpha val="35000"/>
                </a:srgbClr>
              </a:outerShdw>
            </a:effectLst>
          </c:spPr>
          <c:invertIfNegative val="0"/>
          <c:dLbls>
            <c:spPr>
              <a:noFill/>
              <a:ln w="25400">
                <a:noFill/>
              </a:ln>
            </c:spPr>
            <c:txPr>
              <a:bodyPr wrap="square" lIns="38100" tIns="19050" rIns="38100" bIns="19050" anchor="ctr">
                <a:spAutoFit/>
              </a:bodyPr>
              <a:lstStyle/>
              <a:p>
                <a:pPr>
                  <a:defRPr sz="900" b="0" i="0" u="none" strike="noStrike" baseline="0">
                    <a:solidFill>
                      <a:srgbClr val="000000"/>
                    </a:solidFill>
                    <a:latin typeface="Calibri"/>
                    <a:ea typeface="Calibri"/>
                    <a:cs typeface="Calibri"/>
                  </a:defRPr>
                </a:pPr>
                <a:endParaRPr lang="fi-FI"/>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Kuviot!$AV$12:$AW$12</c:f>
              <c:numCache>
                <c:formatCode>General</c:formatCode>
                <c:ptCount val="2"/>
                <c:pt idx="0" formatCode="#,##0">
                  <c:v>0</c:v>
                </c:pt>
              </c:numCache>
            </c:numRef>
          </c:val>
          <c:extLst>
            <c:ext xmlns:c16="http://schemas.microsoft.com/office/drawing/2014/chart" uri="{C3380CC4-5D6E-409C-BE32-E72D297353CC}">
              <c16:uniqueId val="{00000004-5D85-419F-BC28-FB014A885AD8}"/>
            </c:ext>
          </c:extLst>
        </c:ser>
        <c:ser>
          <c:idx val="4"/>
          <c:order val="5"/>
          <c:tx>
            <c:strRef>
              <c:f>Kuviot!$AU$10</c:f>
              <c:strCache>
                <c:ptCount val="1"/>
                <c:pt idx="0">
                  <c:v>vos 48%</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5-5D85-419F-BC28-FB014A885AD8}"/>
                </c:ext>
              </c:extLst>
            </c:dLbl>
            <c:spPr>
              <a:noFill/>
              <a:ln w="25400">
                <a:noFill/>
              </a:ln>
            </c:spPr>
            <c:txPr>
              <a:bodyPr wrap="square" lIns="38100" tIns="19050" rIns="38100" bIns="19050" anchor="ctr">
                <a:spAutoFit/>
              </a:bodyPr>
              <a:lstStyle/>
              <a:p>
                <a:pPr>
                  <a:defRPr sz="900" b="0" i="0" u="none" strike="noStrike" baseline="0">
                    <a:solidFill>
                      <a:srgbClr val="000000"/>
                    </a:solidFill>
                    <a:latin typeface="Calibri"/>
                    <a:ea typeface="Calibri"/>
                    <a:cs typeface="Calibri"/>
                  </a:defRPr>
                </a:pPr>
                <a:endParaRPr lang="fi-FI"/>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Kuviot!$AV$5:$AW$5</c:f>
              <c:strCache>
                <c:ptCount val="2"/>
                <c:pt idx="0">
                  <c:v>Toimintakate+poistot+rahoituser.(netto)  27 milj. €</c:v>
                </c:pt>
                <c:pt idx="1">
                  <c:v>Rahoitus 31 milj. €</c:v>
                </c:pt>
              </c:strCache>
            </c:strRef>
          </c:cat>
          <c:val>
            <c:numRef>
              <c:f>Kuviot!$AV$10:$AW$10</c:f>
              <c:numCache>
                <c:formatCode>#,##0</c:formatCode>
                <c:ptCount val="2"/>
                <c:pt idx="0" formatCode="0">
                  <c:v>0</c:v>
                </c:pt>
                <c:pt idx="1">
                  <c:v>14576.483097033459</c:v>
                </c:pt>
              </c:numCache>
            </c:numRef>
          </c:val>
          <c:extLst>
            <c:ext xmlns:c16="http://schemas.microsoft.com/office/drawing/2014/chart" uri="{C3380CC4-5D6E-409C-BE32-E72D297353CC}">
              <c16:uniqueId val="{00000006-5D85-419F-BC28-FB014A885AD8}"/>
            </c:ext>
          </c:extLst>
        </c:ser>
        <c:ser>
          <c:idx val="5"/>
          <c:order val="6"/>
          <c:tx>
            <c:strRef>
              <c:f>Kuviot!$AU$11</c:f>
              <c:strCache>
                <c:ptCount val="1"/>
              </c:strCache>
            </c:strRef>
          </c:tx>
          <c:spPr>
            <a:solidFill>
              <a:srgbClr val="00B050"/>
            </a:solidFill>
            <a:ln>
              <a:solidFill>
                <a:sysClr val="windowText" lastClr="000000">
                  <a:lumMod val="25000"/>
                  <a:lumOff val="75000"/>
                </a:sysClr>
              </a:solidFill>
            </a:ln>
            <a:effectLst>
              <a:outerShdw blurRad="40000" dist="23000" dir="5400000" rotWithShape="0">
                <a:srgbClr val="000000">
                  <a:alpha val="35000"/>
                </a:srgbClr>
              </a:outerShdw>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7-5D85-419F-BC28-FB014A885AD8}"/>
                </c:ext>
              </c:extLst>
            </c:dLbl>
            <c:spPr>
              <a:noFill/>
              <a:ln w="25400">
                <a:noFill/>
              </a:ln>
            </c:spPr>
            <c:txPr>
              <a:bodyPr wrap="square" lIns="38100" tIns="19050" rIns="38100" bIns="19050" anchor="ctr">
                <a:spAutoFit/>
              </a:bodyPr>
              <a:lstStyle/>
              <a:p>
                <a:pPr>
                  <a:defRPr sz="900" b="0" i="0" u="none" strike="noStrike" baseline="0">
                    <a:solidFill>
                      <a:srgbClr val="000000"/>
                    </a:solidFill>
                    <a:latin typeface="Calibri"/>
                    <a:ea typeface="Calibri"/>
                    <a:cs typeface="Calibri"/>
                  </a:defRPr>
                </a:pPr>
                <a:endParaRPr lang="fi-FI"/>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Kuviot!$AV$5:$AW$5</c:f>
              <c:strCache>
                <c:ptCount val="2"/>
                <c:pt idx="0">
                  <c:v>Toimintakate+poistot+rahoituser.(netto)  27 milj. €</c:v>
                </c:pt>
                <c:pt idx="1">
                  <c:v>Rahoitus 31 milj. €</c:v>
                </c:pt>
              </c:strCache>
            </c:strRef>
          </c:cat>
          <c:val>
            <c:numRef>
              <c:f>Kuviot!$AV$11:$AW$11</c:f>
              <c:numCache>
                <c:formatCode>#,##0</c:formatCode>
                <c:ptCount val="2"/>
                <c:pt idx="0">
                  <c:v>430</c:v>
                </c:pt>
                <c:pt idx="1">
                  <c:v>0</c:v>
                </c:pt>
              </c:numCache>
            </c:numRef>
          </c:val>
          <c:extLst>
            <c:ext xmlns:c16="http://schemas.microsoft.com/office/drawing/2014/chart" uri="{C3380CC4-5D6E-409C-BE32-E72D297353CC}">
              <c16:uniqueId val="{00000008-5D85-419F-BC28-FB014A885AD8}"/>
            </c:ext>
          </c:extLst>
        </c:ser>
        <c:ser>
          <c:idx val="6"/>
          <c:order val="7"/>
          <c:tx>
            <c:strRef>
              <c:f>Kuviot!$AU$14</c:f>
              <c:strCache>
                <c:ptCount val="1"/>
                <c:pt idx="0">
                  <c:v>poistuvat</c:v>
                </c:pt>
              </c:strCache>
            </c:strRef>
          </c:tx>
          <c:spPr>
            <a:noFill/>
            <a:ln>
              <a:solidFill>
                <a:schemeClr val="bg1">
                  <a:lumMod val="65000"/>
                </a:schemeClr>
              </a:solidFill>
            </a:ln>
            <a:effectLst>
              <a:outerShdw blurRad="40000" dist="23000" dir="5400000" rotWithShape="0">
                <a:srgbClr val="000000">
                  <a:alpha val="35000"/>
                </a:srgbClr>
              </a:outerShdw>
            </a:effectLst>
          </c:spPr>
          <c:invertIfNegative val="0"/>
          <c:dPt>
            <c:idx val="0"/>
            <c:invertIfNegative val="0"/>
            <c:bubble3D val="0"/>
            <c:spPr>
              <a:noFill/>
              <a:ln w="12700">
                <a:solidFill>
                  <a:schemeClr val="bg1">
                    <a:lumMod val="65000"/>
                  </a:schemeClr>
                </a:solidFill>
                <a:prstDash val="dashDot"/>
              </a:ln>
              <a:effectLst>
                <a:softEdge rad="0"/>
              </a:effectLst>
            </c:spPr>
            <c:extLst>
              <c:ext xmlns:c16="http://schemas.microsoft.com/office/drawing/2014/chart" uri="{C3380CC4-5D6E-409C-BE32-E72D297353CC}">
                <c16:uniqueId val="{00000009-5D85-419F-BC28-FB014A885AD8}"/>
              </c:ext>
            </c:extLst>
          </c:dPt>
          <c:dPt>
            <c:idx val="1"/>
            <c:invertIfNegative val="0"/>
            <c:bubble3D val="0"/>
            <c:spPr>
              <a:noFill/>
              <a:ln w="12700">
                <a:solidFill>
                  <a:schemeClr val="bg1">
                    <a:lumMod val="65000"/>
                  </a:schemeClr>
                </a:solidFill>
                <a:prstDash val="dashDot"/>
              </a:ln>
              <a:effectLst>
                <a:glow>
                  <a:schemeClr val="accent1"/>
                </a:glow>
                <a:outerShdw blurRad="40000" dist="23000" dir="5400000" rotWithShape="0">
                  <a:srgbClr val="000000">
                    <a:alpha val="35000"/>
                  </a:srgbClr>
                </a:outerShdw>
                <a:softEdge rad="0"/>
              </a:effectLst>
            </c:spPr>
            <c:extLst>
              <c:ext xmlns:c16="http://schemas.microsoft.com/office/drawing/2014/chart" uri="{C3380CC4-5D6E-409C-BE32-E72D297353CC}">
                <c16:uniqueId val="{0000000A-5D85-419F-BC28-FB014A885AD8}"/>
              </c:ext>
            </c:extLst>
          </c:dPt>
          <c:val>
            <c:numRef>
              <c:f>Kuviot!$AV$14:$AW$14</c:f>
              <c:numCache>
                <c:formatCode>#,##0</c:formatCode>
                <c:ptCount val="2"/>
                <c:pt idx="0">
                  <c:v>43130.104381658115</c:v>
                </c:pt>
                <c:pt idx="1">
                  <c:v>40883.160163225992</c:v>
                </c:pt>
              </c:numCache>
            </c:numRef>
          </c:val>
          <c:extLst>
            <c:ext xmlns:c16="http://schemas.microsoft.com/office/drawing/2014/chart" uri="{C3380CC4-5D6E-409C-BE32-E72D297353CC}">
              <c16:uniqueId val="{0000000B-5D85-419F-BC28-FB014A885AD8}"/>
            </c:ext>
          </c:extLst>
        </c:ser>
        <c:dLbls>
          <c:showLegendKey val="0"/>
          <c:showVal val="0"/>
          <c:showCatName val="0"/>
          <c:showSerName val="0"/>
          <c:showPercent val="0"/>
          <c:showBubbleSize val="0"/>
        </c:dLbls>
        <c:gapWidth val="40"/>
        <c:overlap val="100"/>
        <c:axId val="139495968"/>
        <c:axId val="1"/>
      </c:barChart>
      <c:catAx>
        <c:axId val="139495968"/>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0" vert="horz"/>
          <a:lstStyle/>
          <a:p>
            <a:pPr>
              <a:defRPr sz="900" b="0" i="0" u="none" strike="noStrike" baseline="0">
                <a:solidFill>
                  <a:srgbClr val="000000"/>
                </a:solidFill>
                <a:latin typeface="Calibri"/>
                <a:ea typeface="Calibri"/>
                <a:cs typeface="Calibri"/>
              </a:defRPr>
            </a:pPr>
            <a:endParaRPr lang="fi-FI"/>
          </a:p>
        </c:txPr>
        <c:crossAx val="1"/>
        <c:crosses val="autoZero"/>
        <c:auto val="1"/>
        <c:lblAlgn val="ctr"/>
        <c:lblOffset val="100"/>
        <c:noMultiLvlLbl val="0"/>
      </c:catAx>
      <c:valAx>
        <c:axId val="1"/>
        <c:scaling>
          <c:orientation val="minMax"/>
        </c:scaling>
        <c:delete val="1"/>
        <c:axPos val="l"/>
        <c:majorGridlines>
          <c:spPr>
            <a:ln w="9525" cap="flat" cmpd="sng" algn="ctr">
              <a:solidFill>
                <a:schemeClr val="bg1">
                  <a:lumMod val="75000"/>
                </a:schemeClr>
              </a:solidFill>
              <a:prstDash val="dash"/>
              <a:round/>
            </a:ln>
            <a:effectLst/>
          </c:spPr>
        </c:majorGridlines>
        <c:numFmt formatCode="#,##0" sourceLinked="1"/>
        <c:majorTickMark val="out"/>
        <c:minorTickMark val="none"/>
        <c:tickLblPos val="nextTo"/>
        <c:crossAx val="139495968"/>
        <c:crosses val="autoZero"/>
        <c:crossBetween val="between"/>
      </c:valAx>
      <c:spPr>
        <a:noFill/>
        <a:ln w="25400">
          <a:noFill/>
        </a:ln>
      </c:spPr>
    </c:plotArea>
    <c:plotVisOnly val="1"/>
    <c:dispBlanksAs val="gap"/>
    <c:showDLblsOverMax val="0"/>
  </c:chart>
  <c:spPr>
    <a:solidFill>
      <a:schemeClr val="bg1"/>
    </a:solidFill>
    <a:ln w="12700" cap="flat" cmpd="sng" algn="ctr">
      <a:solidFill>
        <a:schemeClr val="bg1">
          <a:lumMod val="85000"/>
        </a:schemeClr>
      </a:solidFill>
      <a:round/>
    </a:ln>
    <a:effectLst/>
  </c:spPr>
  <c:txPr>
    <a:bodyPr/>
    <a:lstStyle/>
    <a:p>
      <a:pPr>
        <a:defRPr sz="1000" b="0" i="0" u="none" strike="noStrike" baseline="0">
          <a:solidFill>
            <a:srgbClr val="000000"/>
          </a:solidFill>
          <a:latin typeface="Calibri"/>
          <a:ea typeface="Calibri"/>
          <a:cs typeface="Calibri"/>
        </a:defRPr>
      </a:pPr>
      <a:endParaRPr lang="fi-F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Kuviot!$AX$6</c:f>
              <c:strCache>
                <c:ptCount val="1"/>
                <c:pt idx="0">
                  <c:v>toimintakate</c:v>
                </c:pt>
              </c:strCache>
            </c:strRef>
          </c:tx>
          <c:spPr>
            <a:solidFill>
              <a:schemeClr val="bg1">
                <a:lumMod val="75000"/>
              </a:schemeClr>
            </a:solidFill>
            <a:ln>
              <a:noFill/>
            </a:ln>
            <a:effectLst>
              <a:outerShdw blurRad="40000" dist="23000" dir="5400000" rotWithShape="0">
                <a:srgbClr val="000000">
                  <a:alpha val="35000"/>
                </a:srgbClr>
              </a:outerShdw>
            </a:effectLst>
          </c:spPr>
          <c:invertIfNegative val="0"/>
          <c:dLbls>
            <c:spPr>
              <a:noFill/>
              <a:ln w="25400">
                <a:noFill/>
              </a:ln>
            </c:spPr>
            <c:txPr>
              <a:bodyPr wrap="square" lIns="38100" tIns="19050" rIns="38100" bIns="19050" anchor="ctr">
                <a:spAutoFit/>
              </a:bodyPr>
              <a:lstStyle/>
              <a:p>
                <a:pPr>
                  <a:defRPr sz="900" b="0" i="0" u="none" strike="noStrike" baseline="0">
                    <a:solidFill>
                      <a:srgbClr val="000000"/>
                    </a:solidFill>
                    <a:latin typeface="Calibri"/>
                    <a:ea typeface="Calibri"/>
                    <a:cs typeface="Calibri"/>
                  </a:defRPr>
                </a:pPr>
                <a:endParaRPr lang="fi-FI"/>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Kuviot!$AY$5:$AZ$5</c:f>
              <c:strCache>
                <c:ptCount val="2"/>
                <c:pt idx="0">
                  <c:v>Toimintakate+poistot+rahoituser.(netto)  27 milj. €</c:v>
                </c:pt>
                <c:pt idx="1">
                  <c:v>Rahoitus 28 milj. €</c:v>
                </c:pt>
              </c:strCache>
            </c:strRef>
          </c:cat>
          <c:val>
            <c:numRef>
              <c:f>Kuviot!$AY$6:$AZ$6</c:f>
              <c:numCache>
                <c:formatCode>General</c:formatCode>
                <c:ptCount val="2"/>
                <c:pt idx="0" formatCode="#,##0">
                  <c:v>26273.622665702824</c:v>
                </c:pt>
              </c:numCache>
            </c:numRef>
          </c:val>
          <c:extLst>
            <c:ext xmlns:c16="http://schemas.microsoft.com/office/drawing/2014/chart" uri="{C3380CC4-5D6E-409C-BE32-E72D297353CC}">
              <c16:uniqueId val="{00000000-F999-4CF0-8010-F8158B00F1DC}"/>
            </c:ext>
          </c:extLst>
        </c:ser>
        <c:ser>
          <c:idx val="1"/>
          <c:order val="1"/>
          <c:tx>
            <c:strRef>
              <c:f>Kuviot!$AX$7</c:f>
              <c:strCache>
                <c:ptCount val="1"/>
                <c:pt idx="0">
                  <c:v>kunnallisvero 43%</c:v>
                </c:pt>
              </c:strCache>
            </c:strRef>
          </c:tx>
          <c:spPr>
            <a:solidFill>
              <a:srgbClr val="FFFF00"/>
            </a:solidFill>
            <a:ln>
              <a:noFill/>
            </a:ln>
            <a:effectLst>
              <a:outerShdw blurRad="40000" dist="23000" dir="5400000" rotWithShape="0">
                <a:srgbClr val="000000">
                  <a:alpha val="35000"/>
                </a:srgbClr>
              </a:outerShdw>
            </a:effectLst>
          </c:spPr>
          <c:invertIfNegative val="0"/>
          <c:dLbls>
            <c:spPr>
              <a:noFill/>
              <a:ln w="25400">
                <a:noFill/>
              </a:ln>
            </c:spPr>
            <c:txPr>
              <a:bodyPr wrap="square" lIns="38100" tIns="19050" rIns="38100" bIns="19050" anchor="ctr">
                <a:spAutoFit/>
              </a:bodyPr>
              <a:lstStyle/>
              <a:p>
                <a:pPr>
                  <a:defRPr sz="900" b="0" i="0" u="none" strike="noStrike" baseline="0">
                    <a:solidFill>
                      <a:srgbClr val="000000"/>
                    </a:solidFill>
                    <a:latin typeface="Calibri"/>
                    <a:ea typeface="Calibri"/>
                    <a:cs typeface="Calibri"/>
                  </a:defRPr>
                </a:pPr>
                <a:endParaRPr lang="fi-FI"/>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Kuviot!$AY$5:$AZ$5</c:f>
              <c:strCache>
                <c:ptCount val="2"/>
                <c:pt idx="0">
                  <c:v>Toimintakate+poistot+rahoituser.(netto)  27 milj. €</c:v>
                </c:pt>
                <c:pt idx="1">
                  <c:v>Rahoitus 28 milj. €</c:v>
                </c:pt>
              </c:strCache>
            </c:strRef>
          </c:cat>
          <c:val>
            <c:numRef>
              <c:f>Kuviot!$AY$7:$AZ$7</c:f>
              <c:numCache>
                <c:formatCode>#,##0</c:formatCode>
                <c:ptCount val="2"/>
                <c:pt idx="1">
                  <c:v>12092.819823804575</c:v>
                </c:pt>
              </c:numCache>
            </c:numRef>
          </c:val>
          <c:extLst>
            <c:ext xmlns:c16="http://schemas.microsoft.com/office/drawing/2014/chart" uri="{C3380CC4-5D6E-409C-BE32-E72D297353CC}">
              <c16:uniqueId val="{00000001-F999-4CF0-8010-F8158B00F1DC}"/>
            </c:ext>
          </c:extLst>
        </c:ser>
        <c:ser>
          <c:idx val="2"/>
          <c:order val="2"/>
          <c:tx>
            <c:strRef>
              <c:f>Kuviot!$AX$8</c:f>
              <c:strCache>
                <c:ptCount val="1"/>
                <c:pt idx="0">
                  <c:v>yhteisövero 7%</c:v>
                </c:pt>
              </c:strCache>
            </c:strRef>
          </c:tx>
          <c:spPr>
            <a:solidFill>
              <a:srgbClr val="CCCC00"/>
            </a:solidFill>
            <a:ln>
              <a:noFill/>
            </a:ln>
            <a:effectLst>
              <a:outerShdw blurRad="40000" dist="23000" dir="5400000" rotWithShape="0">
                <a:srgbClr val="000000">
                  <a:alpha val="35000"/>
                </a:srgbClr>
              </a:outerShdw>
            </a:effectLst>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Calibri"/>
                    <a:ea typeface="Calibri"/>
                    <a:cs typeface="Calibri"/>
                  </a:defRPr>
                </a:pPr>
                <a:endParaRPr lang="fi-FI"/>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Kuviot!$AY$5:$AZ$5</c:f>
              <c:strCache>
                <c:ptCount val="2"/>
                <c:pt idx="0">
                  <c:v>Toimintakate+poistot+rahoituser.(netto)  27 milj. €</c:v>
                </c:pt>
                <c:pt idx="1">
                  <c:v>Rahoitus 28 milj. €</c:v>
                </c:pt>
              </c:strCache>
            </c:strRef>
          </c:cat>
          <c:val>
            <c:numRef>
              <c:f>Kuviot!$AY$8:$AZ$8</c:f>
              <c:numCache>
                <c:formatCode>#,##0</c:formatCode>
                <c:ptCount val="2"/>
                <c:pt idx="1">
                  <c:v>1871.4908800000003</c:v>
                </c:pt>
              </c:numCache>
            </c:numRef>
          </c:val>
          <c:extLst>
            <c:ext xmlns:c16="http://schemas.microsoft.com/office/drawing/2014/chart" uri="{C3380CC4-5D6E-409C-BE32-E72D297353CC}">
              <c16:uniqueId val="{00000002-F999-4CF0-8010-F8158B00F1DC}"/>
            </c:ext>
          </c:extLst>
        </c:ser>
        <c:ser>
          <c:idx val="3"/>
          <c:order val="3"/>
          <c:tx>
            <c:strRef>
              <c:f>Kuviot!$AX$9</c:f>
              <c:strCache>
                <c:ptCount val="1"/>
                <c:pt idx="0">
                  <c:v>kiinteistövero 8%</c:v>
                </c:pt>
              </c:strCache>
            </c:strRef>
          </c:tx>
          <c:spPr>
            <a:solidFill>
              <a:srgbClr val="FFCC00"/>
            </a:solidFill>
            <a:ln>
              <a:noFill/>
            </a:ln>
            <a:effectLst>
              <a:outerShdw blurRad="40000" dist="23000" dir="5400000" rotWithShape="0">
                <a:srgbClr val="000000">
                  <a:alpha val="35000"/>
                </a:srgbClr>
              </a:outerShdw>
            </a:effectLst>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Calibri"/>
                    <a:ea typeface="Calibri"/>
                    <a:cs typeface="Calibri"/>
                  </a:defRPr>
                </a:pPr>
                <a:endParaRPr lang="fi-FI"/>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Kuviot!$AY$5:$AZ$5</c:f>
              <c:strCache>
                <c:ptCount val="2"/>
                <c:pt idx="0">
                  <c:v>Toimintakate+poistot+rahoituser.(netto)  27 milj. €</c:v>
                </c:pt>
                <c:pt idx="1">
                  <c:v>Rahoitus 28 milj. €</c:v>
                </c:pt>
              </c:strCache>
            </c:strRef>
          </c:cat>
          <c:val>
            <c:numRef>
              <c:f>Kuviot!$AY$9:$AZ$9</c:f>
              <c:numCache>
                <c:formatCode>#,##0</c:formatCode>
                <c:ptCount val="2"/>
                <c:pt idx="1">
                  <c:v>2278.2456457000003</c:v>
                </c:pt>
              </c:numCache>
            </c:numRef>
          </c:val>
          <c:extLst>
            <c:ext xmlns:c16="http://schemas.microsoft.com/office/drawing/2014/chart" uri="{C3380CC4-5D6E-409C-BE32-E72D297353CC}">
              <c16:uniqueId val="{00000003-F999-4CF0-8010-F8158B00F1DC}"/>
            </c:ext>
          </c:extLst>
        </c:ser>
        <c:ser>
          <c:idx val="4"/>
          <c:order val="4"/>
          <c:tx>
            <c:strRef>
              <c:f>Kuviot!$AX$10</c:f>
              <c:strCache>
                <c:ptCount val="1"/>
                <c:pt idx="0">
                  <c:v>vos 43%</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4-F999-4CF0-8010-F8158B00F1DC}"/>
                </c:ext>
              </c:extLst>
            </c:dLbl>
            <c:spPr>
              <a:noFill/>
              <a:ln w="25400">
                <a:noFill/>
              </a:ln>
            </c:spPr>
            <c:txPr>
              <a:bodyPr wrap="square" lIns="38100" tIns="19050" rIns="38100" bIns="19050" anchor="ctr">
                <a:spAutoFit/>
              </a:bodyPr>
              <a:lstStyle/>
              <a:p>
                <a:pPr>
                  <a:defRPr sz="900" b="0" i="0" u="none" strike="noStrike" baseline="0">
                    <a:solidFill>
                      <a:srgbClr val="000000"/>
                    </a:solidFill>
                    <a:latin typeface="Calibri"/>
                    <a:ea typeface="Calibri"/>
                    <a:cs typeface="Calibri"/>
                  </a:defRPr>
                </a:pPr>
                <a:endParaRPr lang="fi-FI"/>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Kuviot!$AY$5:$AZ$5</c:f>
              <c:strCache>
                <c:ptCount val="2"/>
                <c:pt idx="0">
                  <c:v>Toimintakate+poistot+rahoituser.(netto)  27 milj. €</c:v>
                </c:pt>
                <c:pt idx="1">
                  <c:v>Rahoitus 28 milj. €</c:v>
                </c:pt>
              </c:strCache>
            </c:strRef>
          </c:cat>
          <c:val>
            <c:numRef>
              <c:f>Kuviot!$AY$10:$AZ$10</c:f>
              <c:numCache>
                <c:formatCode>#,##0</c:formatCode>
                <c:ptCount val="2"/>
                <c:pt idx="0" formatCode="0">
                  <c:v>0</c:v>
                </c:pt>
                <c:pt idx="1">
                  <c:v>12204.816764402087</c:v>
                </c:pt>
              </c:numCache>
            </c:numRef>
          </c:val>
          <c:extLst>
            <c:ext xmlns:c16="http://schemas.microsoft.com/office/drawing/2014/chart" uri="{C3380CC4-5D6E-409C-BE32-E72D297353CC}">
              <c16:uniqueId val="{00000005-F999-4CF0-8010-F8158B00F1DC}"/>
            </c:ext>
          </c:extLst>
        </c:ser>
        <c:ser>
          <c:idx val="7"/>
          <c:order val="5"/>
          <c:tx>
            <c:strRef>
              <c:f>Kuviot!$AX$12</c:f>
              <c:strCache>
                <c:ptCount val="1"/>
                <c:pt idx="0">
                  <c:v>poistot</c:v>
                </c:pt>
              </c:strCache>
            </c:strRef>
          </c:tx>
          <c:spPr>
            <a:solidFill>
              <a:schemeClr val="bg1">
                <a:lumMod val="50000"/>
              </a:schemeClr>
            </a:solidFill>
            <a:ln>
              <a:noFill/>
            </a:ln>
            <a:effectLst>
              <a:outerShdw blurRad="40000" dist="23000" dir="5400000" rotWithShape="0">
                <a:srgbClr val="000000">
                  <a:alpha val="35000"/>
                </a:srgbClr>
              </a:outerShdw>
            </a:effectLst>
          </c:spPr>
          <c:invertIfNegative val="0"/>
          <c:dLbls>
            <c:spPr>
              <a:noFill/>
              <a:ln w="25400">
                <a:noFill/>
              </a:ln>
            </c:spPr>
            <c:txPr>
              <a:bodyPr wrap="square" lIns="38100" tIns="19050" rIns="38100" bIns="19050" anchor="ctr">
                <a:spAutoFit/>
              </a:bodyPr>
              <a:lstStyle/>
              <a:p>
                <a:pPr>
                  <a:defRPr sz="900" b="0" i="0" u="none" strike="noStrike" baseline="0">
                    <a:solidFill>
                      <a:srgbClr val="000000"/>
                    </a:solidFill>
                    <a:latin typeface="Calibri"/>
                    <a:ea typeface="Calibri"/>
                    <a:cs typeface="Calibri"/>
                  </a:defRPr>
                </a:pPr>
                <a:endParaRPr lang="fi-FI"/>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Kuviot!$AY$5:$AZ$5</c:f>
              <c:strCache>
                <c:ptCount val="2"/>
                <c:pt idx="0">
                  <c:v>Toimintakate+poistot+rahoituser.(netto)  27 milj. €</c:v>
                </c:pt>
                <c:pt idx="1">
                  <c:v>Rahoitus 28 milj. €</c:v>
                </c:pt>
              </c:strCache>
            </c:strRef>
          </c:cat>
          <c:val>
            <c:numRef>
              <c:f>Kuviot!$AY$12:$AZ$12</c:f>
              <c:numCache>
                <c:formatCode>General</c:formatCode>
                <c:ptCount val="2"/>
                <c:pt idx="0" formatCode="#,##0">
                  <c:v>0</c:v>
                </c:pt>
              </c:numCache>
            </c:numRef>
          </c:val>
          <c:extLst>
            <c:ext xmlns:c16="http://schemas.microsoft.com/office/drawing/2014/chart" uri="{C3380CC4-5D6E-409C-BE32-E72D297353CC}">
              <c16:uniqueId val="{00000006-F999-4CF0-8010-F8158B00F1DC}"/>
            </c:ext>
          </c:extLst>
        </c:ser>
        <c:ser>
          <c:idx val="5"/>
          <c:order val="6"/>
          <c:tx>
            <c:strRef>
              <c:f>Kuviot!$AX$11</c:f>
              <c:strCache>
                <c:ptCount val="1"/>
              </c:strCache>
            </c:strRef>
          </c:tx>
          <c:spPr>
            <a:solidFill>
              <a:srgbClr val="00B050"/>
            </a:solidFill>
            <a:ln>
              <a:solidFill>
                <a:sysClr val="windowText" lastClr="000000">
                  <a:lumMod val="25000"/>
                  <a:lumOff val="75000"/>
                </a:sysClr>
              </a:solidFill>
            </a:ln>
            <a:effectLst>
              <a:outerShdw blurRad="40000" dist="23000" dir="5400000" rotWithShape="0">
                <a:srgbClr val="000000">
                  <a:alpha val="35000"/>
                </a:srgbClr>
              </a:outerShdw>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7-F999-4CF0-8010-F8158B00F1DC}"/>
                </c:ext>
              </c:extLst>
            </c:dLbl>
            <c:spPr>
              <a:noFill/>
              <a:ln w="25400">
                <a:noFill/>
              </a:ln>
            </c:spPr>
            <c:txPr>
              <a:bodyPr wrap="square" lIns="38100" tIns="19050" rIns="38100" bIns="19050" anchor="ctr">
                <a:spAutoFit/>
              </a:bodyPr>
              <a:lstStyle/>
              <a:p>
                <a:pPr>
                  <a:defRPr sz="900" b="0" i="0" u="none" strike="noStrike" baseline="0">
                    <a:solidFill>
                      <a:srgbClr val="000000"/>
                    </a:solidFill>
                    <a:latin typeface="Calibri"/>
                    <a:ea typeface="Calibri"/>
                    <a:cs typeface="Calibri"/>
                  </a:defRPr>
                </a:pPr>
                <a:endParaRPr lang="fi-FI"/>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Kuviot!$AY$5:$AZ$5</c:f>
              <c:strCache>
                <c:ptCount val="2"/>
                <c:pt idx="0">
                  <c:v>Toimintakate+poistot+rahoituser.(netto)  27 milj. €</c:v>
                </c:pt>
                <c:pt idx="1">
                  <c:v>Rahoitus 28 milj. €</c:v>
                </c:pt>
              </c:strCache>
            </c:strRef>
          </c:cat>
          <c:val>
            <c:numRef>
              <c:f>Kuviot!$AY$11:$AZ$11</c:f>
              <c:numCache>
                <c:formatCode>#,##0</c:formatCode>
                <c:ptCount val="2"/>
                <c:pt idx="0">
                  <c:v>430</c:v>
                </c:pt>
                <c:pt idx="1">
                  <c:v>0</c:v>
                </c:pt>
              </c:numCache>
            </c:numRef>
          </c:val>
          <c:extLst>
            <c:ext xmlns:c16="http://schemas.microsoft.com/office/drawing/2014/chart" uri="{C3380CC4-5D6E-409C-BE32-E72D297353CC}">
              <c16:uniqueId val="{00000008-F999-4CF0-8010-F8158B00F1DC}"/>
            </c:ext>
          </c:extLst>
        </c:ser>
        <c:ser>
          <c:idx val="6"/>
          <c:order val="7"/>
          <c:tx>
            <c:strRef>
              <c:f>Kuviot!$AX$14</c:f>
              <c:strCache>
                <c:ptCount val="1"/>
                <c:pt idx="0">
                  <c:v>poistuvat</c:v>
                </c:pt>
              </c:strCache>
            </c:strRef>
          </c:tx>
          <c:spPr>
            <a:noFill/>
            <a:ln>
              <a:solidFill>
                <a:schemeClr val="bg1">
                  <a:lumMod val="65000"/>
                </a:schemeClr>
              </a:solidFill>
            </a:ln>
            <a:effectLst>
              <a:outerShdw blurRad="40000" dist="23000" dir="5400000" rotWithShape="0">
                <a:srgbClr val="000000">
                  <a:alpha val="35000"/>
                </a:srgbClr>
              </a:outerShdw>
            </a:effectLst>
          </c:spPr>
          <c:invertIfNegative val="0"/>
          <c:dPt>
            <c:idx val="0"/>
            <c:invertIfNegative val="0"/>
            <c:bubble3D val="0"/>
            <c:spPr>
              <a:noFill/>
              <a:ln w="12700">
                <a:solidFill>
                  <a:schemeClr val="bg1">
                    <a:lumMod val="65000"/>
                  </a:schemeClr>
                </a:solidFill>
                <a:prstDash val="dashDot"/>
              </a:ln>
              <a:effectLst>
                <a:softEdge rad="0"/>
              </a:effectLst>
            </c:spPr>
            <c:extLst>
              <c:ext xmlns:c16="http://schemas.microsoft.com/office/drawing/2014/chart" uri="{C3380CC4-5D6E-409C-BE32-E72D297353CC}">
                <c16:uniqueId val="{00000009-F999-4CF0-8010-F8158B00F1DC}"/>
              </c:ext>
            </c:extLst>
          </c:dPt>
          <c:dPt>
            <c:idx val="1"/>
            <c:invertIfNegative val="0"/>
            <c:bubble3D val="0"/>
            <c:spPr>
              <a:noFill/>
              <a:ln w="12700">
                <a:solidFill>
                  <a:schemeClr val="bg1">
                    <a:lumMod val="65000"/>
                  </a:schemeClr>
                </a:solidFill>
                <a:prstDash val="dashDot"/>
              </a:ln>
              <a:effectLst>
                <a:glow>
                  <a:schemeClr val="accent1"/>
                </a:glow>
                <a:outerShdw blurRad="40000" dist="23000" dir="5400000" rotWithShape="0">
                  <a:srgbClr val="000000">
                    <a:alpha val="35000"/>
                  </a:srgbClr>
                </a:outerShdw>
                <a:softEdge rad="0"/>
              </a:effectLst>
            </c:spPr>
            <c:extLst>
              <c:ext xmlns:c16="http://schemas.microsoft.com/office/drawing/2014/chart" uri="{C3380CC4-5D6E-409C-BE32-E72D297353CC}">
                <c16:uniqueId val="{0000000A-F999-4CF0-8010-F8158B00F1DC}"/>
              </c:ext>
            </c:extLst>
          </c:dPt>
          <c:cat>
            <c:strRef>
              <c:f>Kuviot!$AY$5:$AZ$5</c:f>
              <c:strCache>
                <c:ptCount val="2"/>
                <c:pt idx="0">
                  <c:v>Toimintakate+poistot+rahoituser.(netto)  27 milj. €</c:v>
                </c:pt>
                <c:pt idx="1">
                  <c:v>Rahoitus 28 milj. €</c:v>
                </c:pt>
              </c:strCache>
            </c:strRef>
          </c:cat>
          <c:val>
            <c:numRef>
              <c:f>Kuviot!$AY$14:$AZ$14</c:f>
              <c:numCache>
                <c:formatCode>#,##0</c:formatCode>
                <c:ptCount val="2"/>
                <c:pt idx="0">
                  <c:v>43130.104381658115</c:v>
                </c:pt>
                <c:pt idx="1">
                  <c:v>43056.827184542199</c:v>
                </c:pt>
              </c:numCache>
            </c:numRef>
          </c:val>
          <c:extLst>
            <c:ext xmlns:c16="http://schemas.microsoft.com/office/drawing/2014/chart" uri="{C3380CC4-5D6E-409C-BE32-E72D297353CC}">
              <c16:uniqueId val="{0000000B-F999-4CF0-8010-F8158B00F1DC}"/>
            </c:ext>
          </c:extLst>
        </c:ser>
        <c:dLbls>
          <c:showLegendKey val="0"/>
          <c:showVal val="0"/>
          <c:showCatName val="0"/>
          <c:showSerName val="0"/>
          <c:showPercent val="0"/>
          <c:showBubbleSize val="0"/>
        </c:dLbls>
        <c:gapWidth val="40"/>
        <c:overlap val="100"/>
        <c:axId val="139496800"/>
        <c:axId val="1"/>
      </c:barChart>
      <c:catAx>
        <c:axId val="139496800"/>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0" vert="horz"/>
          <a:lstStyle/>
          <a:p>
            <a:pPr>
              <a:defRPr sz="900" b="0" i="0" u="none" strike="noStrike" baseline="0">
                <a:solidFill>
                  <a:srgbClr val="000000"/>
                </a:solidFill>
                <a:latin typeface="Calibri"/>
                <a:ea typeface="Calibri"/>
                <a:cs typeface="Calibri"/>
              </a:defRPr>
            </a:pPr>
            <a:endParaRPr lang="fi-FI"/>
          </a:p>
        </c:txPr>
        <c:crossAx val="1"/>
        <c:crosses val="autoZero"/>
        <c:auto val="1"/>
        <c:lblAlgn val="ctr"/>
        <c:lblOffset val="100"/>
        <c:noMultiLvlLbl val="0"/>
      </c:catAx>
      <c:valAx>
        <c:axId val="1"/>
        <c:scaling>
          <c:orientation val="minMax"/>
        </c:scaling>
        <c:delete val="1"/>
        <c:axPos val="l"/>
        <c:majorGridlines>
          <c:spPr>
            <a:ln w="9525" cap="flat" cmpd="sng" algn="ctr">
              <a:solidFill>
                <a:schemeClr val="bg1">
                  <a:lumMod val="75000"/>
                </a:schemeClr>
              </a:solidFill>
              <a:prstDash val="dash"/>
              <a:round/>
            </a:ln>
            <a:effectLst/>
          </c:spPr>
        </c:majorGridlines>
        <c:numFmt formatCode="#,##0" sourceLinked="1"/>
        <c:majorTickMark val="out"/>
        <c:minorTickMark val="none"/>
        <c:tickLblPos val="nextTo"/>
        <c:crossAx val="139496800"/>
        <c:crosses val="autoZero"/>
        <c:crossBetween val="between"/>
      </c:valAx>
      <c:spPr>
        <a:noFill/>
        <a:ln w="25400">
          <a:noFill/>
        </a:ln>
      </c:spPr>
    </c:plotArea>
    <c:plotVisOnly val="1"/>
    <c:dispBlanksAs val="gap"/>
    <c:showDLblsOverMax val="0"/>
  </c:chart>
  <c:spPr>
    <a:solidFill>
      <a:schemeClr val="bg1"/>
    </a:solidFill>
    <a:ln w="12700" cap="flat" cmpd="sng" algn="ctr">
      <a:solidFill>
        <a:schemeClr val="bg1">
          <a:lumMod val="85000"/>
        </a:schemeClr>
      </a:solidFill>
      <a:round/>
    </a:ln>
    <a:effectLst/>
  </c:spPr>
  <c:txPr>
    <a:bodyPr/>
    <a:lstStyle/>
    <a:p>
      <a:pPr>
        <a:defRPr sz="1000" b="0" i="0" u="none" strike="noStrike" baseline="0">
          <a:solidFill>
            <a:srgbClr val="000000"/>
          </a:solidFill>
          <a:latin typeface="Calibri"/>
          <a:ea typeface="Calibri"/>
          <a:cs typeface="Calibri"/>
        </a:defRPr>
      </a:pPr>
      <a:endParaRPr lang="fi-F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Kuviot!$BA$6</c:f>
              <c:strCache>
                <c:ptCount val="1"/>
                <c:pt idx="0">
                  <c:v>toimintakate</c:v>
                </c:pt>
              </c:strCache>
            </c:strRef>
          </c:tx>
          <c:spPr>
            <a:solidFill>
              <a:schemeClr val="bg1">
                <a:lumMod val="75000"/>
              </a:schemeClr>
            </a:solidFill>
            <a:ln>
              <a:noFill/>
            </a:ln>
            <a:effectLst>
              <a:outerShdw blurRad="40000" dist="23000" dir="5400000" rotWithShape="0">
                <a:srgbClr val="000000">
                  <a:alpha val="35000"/>
                </a:srgbClr>
              </a:outerShdw>
            </a:effectLst>
          </c:spPr>
          <c:invertIfNegative val="0"/>
          <c:dLbls>
            <c:spPr>
              <a:noFill/>
              <a:ln w="25400">
                <a:noFill/>
              </a:ln>
            </c:spPr>
            <c:txPr>
              <a:bodyPr wrap="square" lIns="38100" tIns="19050" rIns="38100" bIns="19050" anchor="ctr">
                <a:spAutoFit/>
              </a:bodyPr>
              <a:lstStyle/>
              <a:p>
                <a:pPr>
                  <a:defRPr sz="900" b="0" i="0" u="none" strike="noStrike" baseline="0">
                    <a:solidFill>
                      <a:srgbClr val="000000"/>
                    </a:solidFill>
                    <a:latin typeface="Calibri"/>
                    <a:ea typeface="Calibri"/>
                    <a:cs typeface="Calibri"/>
                  </a:defRPr>
                </a:pPr>
                <a:endParaRPr lang="fi-FI"/>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Kuviot!$BB$5:$BC$5</c:f>
              <c:strCache>
                <c:ptCount val="2"/>
                <c:pt idx="0">
                  <c:v>Toimintakate+poistot+rahoituser.(netto)  27 milj. €</c:v>
                </c:pt>
                <c:pt idx="1">
                  <c:v>Rahoitus 29 milj. €</c:v>
                </c:pt>
              </c:strCache>
            </c:strRef>
          </c:cat>
          <c:val>
            <c:numRef>
              <c:f>Kuviot!$BB$6:$BC$6</c:f>
              <c:numCache>
                <c:formatCode>General</c:formatCode>
                <c:ptCount val="2"/>
                <c:pt idx="0" formatCode="#,##0">
                  <c:v>26273.622665702824</c:v>
                </c:pt>
              </c:numCache>
            </c:numRef>
          </c:val>
          <c:extLst>
            <c:ext xmlns:c16="http://schemas.microsoft.com/office/drawing/2014/chart" uri="{C3380CC4-5D6E-409C-BE32-E72D297353CC}">
              <c16:uniqueId val="{00000000-7758-433E-8692-8F80FB091392}"/>
            </c:ext>
          </c:extLst>
        </c:ser>
        <c:ser>
          <c:idx val="1"/>
          <c:order val="1"/>
          <c:tx>
            <c:strRef>
              <c:f>Kuviot!$BA$7</c:f>
              <c:strCache>
                <c:ptCount val="1"/>
                <c:pt idx="0">
                  <c:v>kunnallisvero 42%</c:v>
                </c:pt>
              </c:strCache>
            </c:strRef>
          </c:tx>
          <c:spPr>
            <a:solidFill>
              <a:srgbClr val="FFFF00"/>
            </a:solidFill>
            <a:ln>
              <a:noFill/>
            </a:ln>
            <a:effectLst>
              <a:outerShdw blurRad="40000" dist="23000" dir="5400000" rotWithShape="0">
                <a:srgbClr val="000000">
                  <a:alpha val="35000"/>
                </a:srgbClr>
              </a:outerShdw>
            </a:effectLst>
          </c:spPr>
          <c:invertIfNegative val="0"/>
          <c:dLbls>
            <c:spPr>
              <a:noFill/>
              <a:ln w="25400">
                <a:noFill/>
              </a:ln>
            </c:spPr>
            <c:txPr>
              <a:bodyPr wrap="square" lIns="38100" tIns="19050" rIns="38100" bIns="19050" anchor="ctr">
                <a:spAutoFit/>
              </a:bodyPr>
              <a:lstStyle/>
              <a:p>
                <a:pPr>
                  <a:defRPr sz="900" b="0" i="0" u="none" strike="noStrike" baseline="0">
                    <a:solidFill>
                      <a:srgbClr val="000000"/>
                    </a:solidFill>
                    <a:latin typeface="Calibri"/>
                    <a:ea typeface="Calibri"/>
                    <a:cs typeface="Calibri"/>
                  </a:defRPr>
                </a:pPr>
                <a:endParaRPr lang="fi-FI"/>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Kuviot!$BB$5:$BC$5</c:f>
              <c:strCache>
                <c:ptCount val="2"/>
                <c:pt idx="0">
                  <c:v>Toimintakate+poistot+rahoituser.(netto)  27 milj. €</c:v>
                </c:pt>
                <c:pt idx="1">
                  <c:v>Rahoitus 29 milj. €</c:v>
                </c:pt>
              </c:strCache>
            </c:strRef>
          </c:cat>
          <c:val>
            <c:numRef>
              <c:f>Kuviot!$BB$7:$BC$7</c:f>
              <c:numCache>
                <c:formatCode>#,##0</c:formatCode>
                <c:ptCount val="2"/>
                <c:pt idx="1">
                  <c:v>12092.819823804575</c:v>
                </c:pt>
              </c:numCache>
            </c:numRef>
          </c:val>
          <c:extLst>
            <c:ext xmlns:c16="http://schemas.microsoft.com/office/drawing/2014/chart" uri="{C3380CC4-5D6E-409C-BE32-E72D297353CC}">
              <c16:uniqueId val="{00000001-7758-433E-8692-8F80FB091392}"/>
            </c:ext>
          </c:extLst>
        </c:ser>
        <c:ser>
          <c:idx val="2"/>
          <c:order val="2"/>
          <c:tx>
            <c:strRef>
              <c:f>Kuviot!$BA$8</c:f>
              <c:strCache>
                <c:ptCount val="1"/>
                <c:pt idx="0">
                  <c:v>yhteisövero 7%</c:v>
                </c:pt>
              </c:strCache>
            </c:strRef>
          </c:tx>
          <c:spPr>
            <a:solidFill>
              <a:srgbClr val="CCCC00"/>
            </a:solidFill>
            <a:ln>
              <a:noFill/>
            </a:ln>
            <a:effectLst>
              <a:outerShdw blurRad="40000" dist="23000" dir="5400000" rotWithShape="0">
                <a:srgbClr val="000000">
                  <a:alpha val="35000"/>
                </a:srgbClr>
              </a:outerShdw>
            </a:effectLst>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Calibri"/>
                    <a:ea typeface="Calibri"/>
                    <a:cs typeface="Calibri"/>
                  </a:defRPr>
                </a:pPr>
                <a:endParaRPr lang="fi-FI"/>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Kuviot!$BB$5:$BC$5</c:f>
              <c:strCache>
                <c:ptCount val="2"/>
                <c:pt idx="0">
                  <c:v>Toimintakate+poistot+rahoituser.(netto)  27 milj. €</c:v>
                </c:pt>
                <c:pt idx="1">
                  <c:v>Rahoitus 29 milj. €</c:v>
                </c:pt>
              </c:strCache>
            </c:strRef>
          </c:cat>
          <c:val>
            <c:numRef>
              <c:f>Kuviot!$BB$8:$BC$8</c:f>
              <c:numCache>
                <c:formatCode>#,##0</c:formatCode>
                <c:ptCount val="2"/>
                <c:pt idx="1">
                  <c:v>1871.4908800000003</c:v>
                </c:pt>
              </c:numCache>
            </c:numRef>
          </c:val>
          <c:extLst>
            <c:ext xmlns:c16="http://schemas.microsoft.com/office/drawing/2014/chart" uri="{C3380CC4-5D6E-409C-BE32-E72D297353CC}">
              <c16:uniqueId val="{00000002-7758-433E-8692-8F80FB091392}"/>
            </c:ext>
          </c:extLst>
        </c:ser>
        <c:ser>
          <c:idx val="3"/>
          <c:order val="3"/>
          <c:tx>
            <c:strRef>
              <c:f>Kuviot!$BA$9</c:f>
              <c:strCache>
                <c:ptCount val="1"/>
                <c:pt idx="0">
                  <c:v>kiinteistövero 8%</c:v>
                </c:pt>
              </c:strCache>
            </c:strRef>
          </c:tx>
          <c:spPr>
            <a:solidFill>
              <a:srgbClr val="FFCC00"/>
            </a:solidFill>
            <a:ln>
              <a:noFill/>
            </a:ln>
            <a:effectLst>
              <a:outerShdw blurRad="40000" dist="23000" dir="5400000" rotWithShape="0">
                <a:srgbClr val="000000">
                  <a:alpha val="35000"/>
                </a:srgbClr>
              </a:outerShdw>
            </a:effectLst>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Calibri"/>
                    <a:ea typeface="Calibri"/>
                    <a:cs typeface="Calibri"/>
                  </a:defRPr>
                </a:pPr>
                <a:endParaRPr lang="fi-FI"/>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Kuviot!$BB$5:$BC$5</c:f>
              <c:strCache>
                <c:ptCount val="2"/>
                <c:pt idx="0">
                  <c:v>Toimintakate+poistot+rahoituser.(netto)  27 milj. €</c:v>
                </c:pt>
                <c:pt idx="1">
                  <c:v>Rahoitus 29 milj. €</c:v>
                </c:pt>
              </c:strCache>
            </c:strRef>
          </c:cat>
          <c:val>
            <c:numRef>
              <c:f>Kuviot!$BB$9:$BC$9</c:f>
              <c:numCache>
                <c:formatCode>#,##0</c:formatCode>
                <c:ptCount val="2"/>
                <c:pt idx="1">
                  <c:v>2278.2456457000003</c:v>
                </c:pt>
              </c:numCache>
            </c:numRef>
          </c:val>
          <c:extLst>
            <c:ext xmlns:c16="http://schemas.microsoft.com/office/drawing/2014/chart" uri="{C3380CC4-5D6E-409C-BE32-E72D297353CC}">
              <c16:uniqueId val="{00000003-7758-433E-8692-8F80FB091392}"/>
            </c:ext>
          </c:extLst>
        </c:ser>
        <c:ser>
          <c:idx val="4"/>
          <c:order val="4"/>
          <c:tx>
            <c:strRef>
              <c:f>Kuviot!$BA$10</c:f>
              <c:strCache>
                <c:ptCount val="1"/>
                <c:pt idx="0">
                  <c:v>vos 43%</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4-7758-433E-8692-8F80FB091392}"/>
                </c:ext>
              </c:extLst>
            </c:dLbl>
            <c:spPr>
              <a:noFill/>
              <a:ln w="25400">
                <a:noFill/>
              </a:ln>
            </c:spPr>
            <c:txPr>
              <a:bodyPr wrap="square" lIns="38100" tIns="19050" rIns="38100" bIns="19050" anchor="ctr">
                <a:spAutoFit/>
              </a:bodyPr>
              <a:lstStyle/>
              <a:p>
                <a:pPr>
                  <a:defRPr sz="900" b="0" i="0" u="none" strike="noStrike" baseline="0">
                    <a:solidFill>
                      <a:srgbClr val="000000"/>
                    </a:solidFill>
                    <a:latin typeface="Calibri"/>
                    <a:ea typeface="Calibri"/>
                    <a:cs typeface="Calibri"/>
                  </a:defRPr>
                </a:pPr>
                <a:endParaRPr lang="fi-FI"/>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Kuviot!$BB$5:$BC$5</c:f>
              <c:strCache>
                <c:ptCount val="2"/>
                <c:pt idx="0">
                  <c:v>Toimintakate+poistot+rahoituser.(netto)  27 milj. €</c:v>
                </c:pt>
                <c:pt idx="1">
                  <c:v>Rahoitus 29 milj. €</c:v>
                </c:pt>
              </c:strCache>
            </c:strRef>
          </c:cat>
          <c:val>
            <c:numRef>
              <c:f>Kuviot!$BB$10:$BC$10</c:f>
              <c:numCache>
                <c:formatCode>#,##0</c:formatCode>
                <c:ptCount val="2"/>
                <c:pt idx="0" formatCode="0">
                  <c:v>0</c:v>
                </c:pt>
                <c:pt idx="1">
                  <c:v>12334.345189419511</c:v>
                </c:pt>
              </c:numCache>
            </c:numRef>
          </c:val>
          <c:extLst>
            <c:ext xmlns:c16="http://schemas.microsoft.com/office/drawing/2014/chart" uri="{C3380CC4-5D6E-409C-BE32-E72D297353CC}">
              <c16:uniqueId val="{00000005-7758-433E-8692-8F80FB091392}"/>
            </c:ext>
          </c:extLst>
        </c:ser>
        <c:ser>
          <c:idx val="5"/>
          <c:order val="5"/>
          <c:tx>
            <c:strRef>
              <c:f>Kuviot!$BA$11</c:f>
              <c:strCache>
                <c:ptCount val="1"/>
              </c:strCache>
            </c:strRef>
          </c:tx>
          <c:spPr>
            <a:solidFill>
              <a:srgbClr val="00B050"/>
            </a:solidFill>
            <a:ln>
              <a:solidFill>
                <a:sysClr val="windowText" lastClr="000000">
                  <a:lumMod val="25000"/>
                  <a:lumOff val="75000"/>
                </a:sysClr>
              </a:solidFill>
            </a:ln>
            <a:effectLst>
              <a:outerShdw blurRad="40000" dist="23000" dir="5400000" rotWithShape="0">
                <a:srgbClr val="000000">
                  <a:alpha val="35000"/>
                </a:srgbClr>
              </a:outerShdw>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6-7758-433E-8692-8F80FB091392}"/>
                </c:ext>
              </c:extLst>
            </c:dLbl>
            <c:spPr>
              <a:noFill/>
              <a:ln w="25400">
                <a:noFill/>
              </a:ln>
            </c:spPr>
            <c:txPr>
              <a:bodyPr wrap="square" lIns="38100" tIns="19050" rIns="38100" bIns="19050" anchor="ctr">
                <a:spAutoFit/>
              </a:bodyPr>
              <a:lstStyle/>
              <a:p>
                <a:pPr>
                  <a:defRPr sz="900" b="0" i="0" u="none" strike="noStrike" baseline="0">
                    <a:solidFill>
                      <a:srgbClr val="000000"/>
                    </a:solidFill>
                    <a:latin typeface="Calibri"/>
                    <a:ea typeface="Calibri"/>
                    <a:cs typeface="Calibri"/>
                  </a:defRPr>
                </a:pPr>
                <a:endParaRPr lang="fi-FI"/>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Kuviot!$BB$5:$BC$5</c:f>
              <c:strCache>
                <c:ptCount val="2"/>
                <c:pt idx="0">
                  <c:v>Toimintakate+poistot+rahoituser.(netto)  27 milj. €</c:v>
                </c:pt>
                <c:pt idx="1">
                  <c:v>Rahoitus 29 milj. €</c:v>
                </c:pt>
              </c:strCache>
            </c:strRef>
          </c:cat>
          <c:val>
            <c:numRef>
              <c:f>Kuviot!$BB$11:$BC$11</c:f>
              <c:numCache>
                <c:formatCode>#,##0</c:formatCode>
                <c:ptCount val="2"/>
                <c:pt idx="0">
                  <c:v>430</c:v>
                </c:pt>
                <c:pt idx="1">
                  <c:v>0</c:v>
                </c:pt>
              </c:numCache>
            </c:numRef>
          </c:val>
          <c:extLst>
            <c:ext xmlns:c16="http://schemas.microsoft.com/office/drawing/2014/chart" uri="{C3380CC4-5D6E-409C-BE32-E72D297353CC}">
              <c16:uniqueId val="{00000007-7758-433E-8692-8F80FB091392}"/>
            </c:ext>
          </c:extLst>
        </c:ser>
        <c:ser>
          <c:idx val="7"/>
          <c:order val="6"/>
          <c:tx>
            <c:strRef>
              <c:f>Kuviot!$BA$12</c:f>
              <c:strCache>
                <c:ptCount val="1"/>
                <c:pt idx="0">
                  <c:v>poistot</c:v>
                </c:pt>
              </c:strCache>
            </c:strRef>
          </c:tx>
          <c:spPr>
            <a:solidFill>
              <a:schemeClr val="bg1">
                <a:lumMod val="50000"/>
              </a:schemeClr>
            </a:solidFill>
            <a:ln>
              <a:noFill/>
            </a:ln>
            <a:effectLst>
              <a:outerShdw blurRad="40000" dist="23000" dir="5400000" rotWithShape="0">
                <a:srgbClr val="000000">
                  <a:alpha val="35000"/>
                </a:srgbClr>
              </a:outerShdw>
            </a:effectLst>
          </c:spPr>
          <c:invertIfNegative val="0"/>
          <c:dLbls>
            <c:spPr>
              <a:noFill/>
              <a:ln w="25400">
                <a:noFill/>
              </a:ln>
            </c:spPr>
            <c:txPr>
              <a:bodyPr wrap="square" lIns="38100" tIns="19050" rIns="38100" bIns="19050" anchor="ctr">
                <a:spAutoFit/>
              </a:bodyPr>
              <a:lstStyle/>
              <a:p>
                <a:pPr>
                  <a:defRPr sz="900" b="0" i="0" u="none" strike="noStrike" baseline="0">
                    <a:solidFill>
                      <a:srgbClr val="000000"/>
                    </a:solidFill>
                    <a:latin typeface="Calibri"/>
                    <a:ea typeface="Calibri"/>
                    <a:cs typeface="Calibri"/>
                  </a:defRPr>
                </a:pPr>
                <a:endParaRPr lang="fi-FI"/>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Kuviot!$BB$5:$BC$5</c:f>
              <c:strCache>
                <c:ptCount val="2"/>
                <c:pt idx="0">
                  <c:v>Toimintakate+poistot+rahoituser.(netto)  27 milj. €</c:v>
                </c:pt>
                <c:pt idx="1">
                  <c:v>Rahoitus 29 milj. €</c:v>
                </c:pt>
              </c:strCache>
            </c:strRef>
          </c:cat>
          <c:val>
            <c:numRef>
              <c:f>Kuviot!$BB$12:$BC$12</c:f>
              <c:numCache>
                <c:formatCode>General</c:formatCode>
                <c:ptCount val="2"/>
                <c:pt idx="0" formatCode="#,##0">
                  <c:v>0</c:v>
                </c:pt>
              </c:numCache>
            </c:numRef>
          </c:val>
          <c:extLst>
            <c:ext xmlns:c16="http://schemas.microsoft.com/office/drawing/2014/chart" uri="{C3380CC4-5D6E-409C-BE32-E72D297353CC}">
              <c16:uniqueId val="{00000008-7758-433E-8692-8F80FB091392}"/>
            </c:ext>
          </c:extLst>
        </c:ser>
        <c:ser>
          <c:idx val="6"/>
          <c:order val="7"/>
          <c:tx>
            <c:strRef>
              <c:f>Kuviot!$BA$14</c:f>
              <c:strCache>
                <c:ptCount val="1"/>
                <c:pt idx="0">
                  <c:v>poistuvat</c:v>
                </c:pt>
              </c:strCache>
            </c:strRef>
          </c:tx>
          <c:spPr>
            <a:noFill/>
            <a:ln>
              <a:solidFill>
                <a:schemeClr val="bg1">
                  <a:lumMod val="65000"/>
                </a:schemeClr>
              </a:solidFill>
            </a:ln>
            <a:effectLst>
              <a:outerShdw blurRad="40000" dist="23000" dir="5400000" rotWithShape="0">
                <a:srgbClr val="000000">
                  <a:alpha val="35000"/>
                </a:srgbClr>
              </a:outerShdw>
            </a:effectLst>
          </c:spPr>
          <c:invertIfNegative val="0"/>
          <c:dPt>
            <c:idx val="0"/>
            <c:invertIfNegative val="0"/>
            <c:bubble3D val="0"/>
            <c:spPr>
              <a:noFill/>
              <a:ln w="12700">
                <a:solidFill>
                  <a:schemeClr val="bg1">
                    <a:lumMod val="65000"/>
                  </a:schemeClr>
                </a:solidFill>
                <a:prstDash val="dashDot"/>
              </a:ln>
              <a:effectLst>
                <a:softEdge rad="0"/>
              </a:effectLst>
            </c:spPr>
            <c:extLst>
              <c:ext xmlns:c16="http://schemas.microsoft.com/office/drawing/2014/chart" uri="{C3380CC4-5D6E-409C-BE32-E72D297353CC}">
                <c16:uniqueId val="{00000009-7758-433E-8692-8F80FB091392}"/>
              </c:ext>
            </c:extLst>
          </c:dPt>
          <c:dPt>
            <c:idx val="1"/>
            <c:invertIfNegative val="0"/>
            <c:bubble3D val="0"/>
            <c:spPr>
              <a:noFill/>
              <a:ln w="12700">
                <a:solidFill>
                  <a:schemeClr val="bg1">
                    <a:lumMod val="65000"/>
                  </a:schemeClr>
                </a:solidFill>
                <a:prstDash val="dashDot"/>
              </a:ln>
              <a:effectLst>
                <a:glow>
                  <a:schemeClr val="accent1"/>
                </a:glow>
                <a:outerShdw blurRad="40000" dist="23000" dir="5400000" rotWithShape="0">
                  <a:srgbClr val="000000">
                    <a:alpha val="35000"/>
                  </a:srgbClr>
                </a:outerShdw>
                <a:softEdge rad="0"/>
              </a:effectLst>
            </c:spPr>
            <c:extLst>
              <c:ext xmlns:c16="http://schemas.microsoft.com/office/drawing/2014/chart" uri="{C3380CC4-5D6E-409C-BE32-E72D297353CC}">
                <c16:uniqueId val="{0000000A-7758-433E-8692-8F80FB091392}"/>
              </c:ext>
            </c:extLst>
          </c:dPt>
          <c:cat>
            <c:strRef>
              <c:f>Kuviot!$BB$5:$BC$5</c:f>
              <c:strCache>
                <c:ptCount val="2"/>
                <c:pt idx="0">
                  <c:v>Toimintakate+poistot+rahoituser.(netto)  27 milj. €</c:v>
                </c:pt>
                <c:pt idx="1">
                  <c:v>Rahoitus 29 milj. €</c:v>
                </c:pt>
              </c:strCache>
            </c:strRef>
          </c:cat>
          <c:val>
            <c:numRef>
              <c:f>Kuviot!$BB$14:$BC$14</c:f>
              <c:numCache>
                <c:formatCode>#,##0</c:formatCode>
                <c:ptCount val="2"/>
                <c:pt idx="0">
                  <c:v>43130.104381658115</c:v>
                </c:pt>
                <c:pt idx="1">
                  <c:v>42927.298759524776</c:v>
                </c:pt>
              </c:numCache>
            </c:numRef>
          </c:val>
          <c:extLst>
            <c:ext xmlns:c16="http://schemas.microsoft.com/office/drawing/2014/chart" uri="{C3380CC4-5D6E-409C-BE32-E72D297353CC}">
              <c16:uniqueId val="{0000000B-7758-433E-8692-8F80FB091392}"/>
            </c:ext>
          </c:extLst>
        </c:ser>
        <c:dLbls>
          <c:showLegendKey val="0"/>
          <c:showVal val="0"/>
          <c:showCatName val="0"/>
          <c:showSerName val="0"/>
          <c:showPercent val="0"/>
          <c:showBubbleSize val="0"/>
        </c:dLbls>
        <c:gapWidth val="40"/>
        <c:overlap val="100"/>
        <c:axId val="139497632"/>
        <c:axId val="1"/>
      </c:barChart>
      <c:catAx>
        <c:axId val="139497632"/>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0" vert="horz"/>
          <a:lstStyle/>
          <a:p>
            <a:pPr>
              <a:defRPr sz="900" b="0" i="0" u="none" strike="noStrike" baseline="0">
                <a:solidFill>
                  <a:srgbClr val="000000"/>
                </a:solidFill>
                <a:latin typeface="Calibri"/>
                <a:ea typeface="Calibri"/>
                <a:cs typeface="Calibri"/>
              </a:defRPr>
            </a:pPr>
            <a:endParaRPr lang="fi-FI"/>
          </a:p>
        </c:txPr>
        <c:crossAx val="1"/>
        <c:crosses val="autoZero"/>
        <c:auto val="1"/>
        <c:lblAlgn val="ctr"/>
        <c:lblOffset val="100"/>
        <c:noMultiLvlLbl val="0"/>
      </c:catAx>
      <c:valAx>
        <c:axId val="1"/>
        <c:scaling>
          <c:orientation val="minMax"/>
        </c:scaling>
        <c:delete val="1"/>
        <c:axPos val="l"/>
        <c:majorGridlines>
          <c:spPr>
            <a:ln w="9525" cap="flat" cmpd="sng" algn="ctr">
              <a:solidFill>
                <a:schemeClr val="bg1">
                  <a:lumMod val="75000"/>
                </a:schemeClr>
              </a:solidFill>
              <a:prstDash val="dash"/>
              <a:round/>
            </a:ln>
            <a:effectLst/>
          </c:spPr>
        </c:majorGridlines>
        <c:numFmt formatCode="#,##0" sourceLinked="1"/>
        <c:majorTickMark val="out"/>
        <c:minorTickMark val="none"/>
        <c:tickLblPos val="nextTo"/>
        <c:crossAx val="139497632"/>
        <c:crosses val="autoZero"/>
        <c:crossBetween val="between"/>
      </c:valAx>
      <c:spPr>
        <a:noFill/>
        <a:ln w="25400">
          <a:noFill/>
        </a:ln>
      </c:spPr>
    </c:plotArea>
    <c:plotVisOnly val="1"/>
    <c:dispBlanksAs val="gap"/>
    <c:showDLblsOverMax val="0"/>
  </c:chart>
  <c:spPr>
    <a:solidFill>
      <a:schemeClr val="bg1"/>
    </a:solidFill>
    <a:ln w="12700" cap="flat" cmpd="sng" algn="ctr">
      <a:solidFill>
        <a:schemeClr val="bg1">
          <a:lumMod val="85000"/>
        </a:schemeClr>
      </a:solidFill>
      <a:round/>
    </a:ln>
    <a:effectLst/>
  </c:spPr>
  <c:txPr>
    <a:bodyPr/>
    <a:lstStyle/>
    <a:p>
      <a:pPr>
        <a:defRPr sz="1000" b="0" i="0" u="none" strike="noStrike" baseline="0">
          <a:solidFill>
            <a:srgbClr val="000000"/>
          </a:solidFill>
          <a:latin typeface="Calibri"/>
          <a:ea typeface="Calibri"/>
          <a:cs typeface="Calibri"/>
        </a:defRPr>
      </a:pPr>
      <a:endParaRPr lang="fi-F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Kuviot!$BD$6</c:f>
              <c:strCache>
                <c:ptCount val="1"/>
                <c:pt idx="0">
                  <c:v>toimintakate</c:v>
                </c:pt>
              </c:strCache>
            </c:strRef>
          </c:tx>
          <c:spPr>
            <a:solidFill>
              <a:schemeClr val="bg1">
                <a:lumMod val="75000"/>
              </a:schemeClr>
            </a:solidFill>
            <a:ln>
              <a:noFill/>
            </a:ln>
            <a:effectLst>
              <a:outerShdw blurRad="40000" dist="23000" dir="5400000" rotWithShape="0">
                <a:srgbClr val="000000">
                  <a:alpha val="35000"/>
                </a:srgbClr>
              </a:outerShdw>
            </a:effectLst>
          </c:spPr>
          <c:invertIfNegative val="0"/>
          <c:dLbls>
            <c:spPr>
              <a:noFill/>
              <a:ln w="25400">
                <a:noFill/>
              </a:ln>
            </c:spPr>
            <c:txPr>
              <a:bodyPr wrap="square" lIns="38100" tIns="19050" rIns="38100" bIns="19050" anchor="ctr">
                <a:spAutoFit/>
              </a:bodyPr>
              <a:lstStyle/>
              <a:p>
                <a:pPr>
                  <a:defRPr sz="900" b="0" i="0" u="none" strike="noStrike" baseline="0">
                    <a:solidFill>
                      <a:srgbClr val="000000"/>
                    </a:solidFill>
                    <a:latin typeface="Calibri"/>
                    <a:ea typeface="Calibri"/>
                    <a:cs typeface="Calibri"/>
                  </a:defRPr>
                </a:pPr>
                <a:endParaRPr lang="fi-FI"/>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Kuviot!$BE$5:$BF$5</c:f>
              <c:strCache>
                <c:ptCount val="2"/>
                <c:pt idx="0">
                  <c:v>Toimintakate+poistot+rahoituser.(netto)  27 milj. €</c:v>
                </c:pt>
                <c:pt idx="1">
                  <c:v>Rahoitus 29 milj. €</c:v>
                </c:pt>
              </c:strCache>
            </c:strRef>
          </c:cat>
          <c:val>
            <c:numRef>
              <c:f>Kuviot!$BE$6:$BF$6</c:f>
              <c:numCache>
                <c:formatCode>General</c:formatCode>
                <c:ptCount val="2"/>
                <c:pt idx="0" formatCode="#,##0">
                  <c:v>26273.622665702824</c:v>
                </c:pt>
              </c:numCache>
            </c:numRef>
          </c:val>
          <c:extLst>
            <c:ext xmlns:c16="http://schemas.microsoft.com/office/drawing/2014/chart" uri="{C3380CC4-5D6E-409C-BE32-E72D297353CC}">
              <c16:uniqueId val="{00000000-A769-41B8-B2F4-CA89103C935A}"/>
            </c:ext>
          </c:extLst>
        </c:ser>
        <c:ser>
          <c:idx val="1"/>
          <c:order val="1"/>
          <c:tx>
            <c:strRef>
              <c:f>Kuviot!$BD$7</c:f>
              <c:strCache>
                <c:ptCount val="1"/>
                <c:pt idx="0">
                  <c:v>kunnallisvero 42%</c:v>
                </c:pt>
              </c:strCache>
            </c:strRef>
          </c:tx>
          <c:spPr>
            <a:solidFill>
              <a:srgbClr val="FFFF00"/>
            </a:solidFill>
            <a:ln>
              <a:noFill/>
            </a:ln>
            <a:effectLst>
              <a:outerShdw blurRad="40000" dist="23000" dir="5400000" rotWithShape="0">
                <a:srgbClr val="000000">
                  <a:alpha val="35000"/>
                </a:srgbClr>
              </a:outerShdw>
            </a:effectLst>
          </c:spPr>
          <c:invertIfNegative val="0"/>
          <c:dLbls>
            <c:spPr>
              <a:noFill/>
              <a:ln w="25400">
                <a:noFill/>
              </a:ln>
            </c:spPr>
            <c:txPr>
              <a:bodyPr wrap="square" lIns="38100" tIns="19050" rIns="38100" bIns="19050" anchor="ctr">
                <a:spAutoFit/>
              </a:bodyPr>
              <a:lstStyle/>
              <a:p>
                <a:pPr>
                  <a:defRPr sz="900" b="0" i="0" u="none" strike="noStrike" baseline="0">
                    <a:solidFill>
                      <a:srgbClr val="000000"/>
                    </a:solidFill>
                    <a:latin typeface="Calibri"/>
                    <a:ea typeface="Calibri"/>
                    <a:cs typeface="Calibri"/>
                  </a:defRPr>
                </a:pPr>
                <a:endParaRPr lang="fi-FI"/>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Kuviot!$BE$5:$BF$5</c:f>
              <c:strCache>
                <c:ptCount val="2"/>
                <c:pt idx="0">
                  <c:v>Toimintakate+poistot+rahoituser.(netto)  27 milj. €</c:v>
                </c:pt>
                <c:pt idx="1">
                  <c:v>Rahoitus 29 milj. €</c:v>
                </c:pt>
              </c:strCache>
            </c:strRef>
          </c:cat>
          <c:val>
            <c:numRef>
              <c:f>Kuviot!$BE$7:$BF$7</c:f>
              <c:numCache>
                <c:formatCode>#,##0</c:formatCode>
                <c:ptCount val="2"/>
                <c:pt idx="1">
                  <c:v>12092.819823804575</c:v>
                </c:pt>
              </c:numCache>
            </c:numRef>
          </c:val>
          <c:extLst>
            <c:ext xmlns:c16="http://schemas.microsoft.com/office/drawing/2014/chart" uri="{C3380CC4-5D6E-409C-BE32-E72D297353CC}">
              <c16:uniqueId val="{00000001-A769-41B8-B2F4-CA89103C935A}"/>
            </c:ext>
          </c:extLst>
        </c:ser>
        <c:ser>
          <c:idx val="2"/>
          <c:order val="2"/>
          <c:tx>
            <c:strRef>
              <c:f>Kuviot!$BD$8</c:f>
              <c:strCache>
                <c:ptCount val="1"/>
                <c:pt idx="0">
                  <c:v>yhteisövero 6%</c:v>
                </c:pt>
              </c:strCache>
            </c:strRef>
          </c:tx>
          <c:spPr>
            <a:solidFill>
              <a:srgbClr val="CCCC00"/>
            </a:solidFill>
            <a:ln>
              <a:noFill/>
            </a:ln>
            <a:effectLst>
              <a:outerShdw blurRad="40000" dist="23000" dir="5400000" rotWithShape="0">
                <a:srgbClr val="000000">
                  <a:alpha val="35000"/>
                </a:srgbClr>
              </a:outerShdw>
            </a:effectLst>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Calibri"/>
                    <a:ea typeface="Calibri"/>
                    <a:cs typeface="Calibri"/>
                  </a:defRPr>
                </a:pPr>
                <a:endParaRPr lang="fi-FI"/>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Kuviot!$BE$5:$BF$5</c:f>
              <c:strCache>
                <c:ptCount val="2"/>
                <c:pt idx="0">
                  <c:v>Toimintakate+poistot+rahoituser.(netto)  27 milj. €</c:v>
                </c:pt>
                <c:pt idx="1">
                  <c:v>Rahoitus 29 milj. €</c:v>
                </c:pt>
              </c:strCache>
            </c:strRef>
          </c:cat>
          <c:val>
            <c:numRef>
              <c:f>Kuviot!$BE$8:$BF$8</c:f>
              <c:numCache>
                <c:formatCode>#,##0</c:formatCode>
                <c:ptCount val="2"/>
                <c:pt idx="1">
                  <c:v>1871.4908800000003</c:v>
                </c:pt>
              </c:numCache>
            </c:numRef>
          </c:val>
          <c:extLst>
            <c:ext xmlns:c16="http://schemas.microsoft.com/office/drawing/2014/chart" uri="{C3380CC4-5D6E-409C-BE32-E72D297353CC}">
              <c16:uniqueId val="{00000002-A769-41B8-B2F4-CA89103C935A}"/>
            </c:ext>
          </c:extLst>
        </c:ser>
        <c:ser>
          <c:idx val="3"/>
          <c:order val="3"/>
          <c:tx>
            <c:strRef>
              <c:f>Kuviot!$BD$9</c:f>
              <c:strCache>
                <c:ptCount val="1"/>
                <c:pt idx="0">
                  <c:v>kiinteistövero 8%</c:v>
                </c:pt>
              </c:strCache>
            </c:strRef>
          </c:tx>
          <c:spPr>
            <a:solidFill>
              <a:srgbClr val="FFCC00"/>
            </a:solidFill>
            <a:ln>
              <a:noFill/>
            </a:ln>
            <a:effectLst>
              <a:outerShdw blurRad="40000" dist="23000" dir="5400000" rotWithShape="0">
                <a:srgbClr val="000000">
                  <a:alpha val="35000"/>
                </a:srgbClr>
              </a:outerShdw>
            </a:effectLst>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Calibri"/>
                    <a:ea typeface="Calibri"/>
                    <a:cs typeface="Calibri"/>
                  </a:defRPr>
                </a:pPr>
                <a:endParaRPr lang="fi-FI"/>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Kuviot!$BE$5:$BF$5</c:f>
              <c:strCache>
                <c:ptCount val="2"/>
                <c:pt idx="0">
                  <c:v>Toimintakate+poistot+rahoituser.(netto)  27 milj. €</c:v>
                </c:pt>
                <c:pt idx="1">
                  <c:v>Rahoitus 29 milj. €</c:v>
                </c:pt>
              </c:strCache>
            </c:strRef>
          </c:cat>
          <c:val>
            <c:numRef>
              <c:f>Kuviot!$BE$9:$BF$9</c:f>
              <c:numCache>
                <c:formatCode>#,##0</c:formatCode>
                <c:ptCount val="2"/>
                <c:pt idx="1">
                  <c:v>2278.2456457000003</c:v>
                </c:pt>
              </c:numCache>
            </c:numRef>
          </c:val>
          <c:extLst>
            <c:ext xmlns:c16="http://schemas.microsoft.com/office/drawing/2014/chart" uri="{C3380CC4-5D6E-409C-BE32-E72D297353CC}">
              <c16:uniqueId val="{00000003-A769-41B8-B2F4-CA89103C935A}"/>
            </c:ext>
          </c:extLst>
        </c:ser>
        <c:ser>
          <c:idx val="4"/>
          <c:order val="4"/>
          <c:tx>
            <c:strRef>
              <c:f>Kuviot!$BD$10</c:f>
              <c:strCache>
                <c:ptCount val="1"/>
                <c:pt idx="0">
                  <c:v>vos 44%</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4-A769-41B8-B2F4-CA89103C935A}"/>
                </c:ext>
              </c:extLst>
            </c:dLbl>
            <c:spPr>
              <a:noFill/>
              <a:ln w="25400">
                <a:noFill/>
              </a:ln>
            </c:spPr>
            <c:txPr>
              <a:bodyPr wrap="square" lIns="38100" tIns="19050" rIns="38100" bIns="19050" anchor="ctr">
                <a:spAutoFit/>
              </a:bodyPr>
              <a:lstStyle/>
              <a:p>
                <a:pPr>
                  <a:defRPr sz="900" b="0" i="0" u="none" strike="noStrike" baseline="0">
                    <a:solidFill>
                      <a:srgbClr val="000000"/>
                    </a:solidFill>
                    <a:latin typeface="Calibri"/>
                    <a:ea typeface="Calibri"/>
                    <a:cs typeface="Calibri"/>
                  </a:defRPr>
                </a:pPr>
                <a:endParaRPr lang="fi-FI"/>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Kuviot!$BE$5:$BF$5</c:f>
              <c:strCache>
                <c:ptCount val="2"/>
                <c:pt idx="0">
                  <c:v>Toimintakate+poistot+rahoituser.(netto)  27 milj. €</c:v>
                </c:pt>
                <c:pt idx="1">
                  <c:v>Rahoitus 29 milj. €</c:v>
                </c:pt>
              </c:strCache>
            </c:strRef>
          </c:cat>
          <c:val>
            <c:numRef>
              <c:f>Kuviot!$BE$10:$BF$10</c:f>
              <c:numCache>
                <c:formatCode>#,##0</c:formatCode>
                <c:ptCount val="2"/>
                <c:pt idx="0" formatCode="0">
                  <c:v>0</c:v>
                </c:pt>
                <c:pt idx="1">
                  <c:v>12556.037874164949</c:v>
                </c:pt>
              </c:numCache>
            </c:numRef>
          </c:val>
          <c:extLst>
            <c:ext xmlns:c16="http://schemas.microsoft.com/office/drawing/2014/chart" uri="{C3380CC4-5D6E-409C-BE32-E72D297353CC}">
              <c16:uniqueId val="{00000005-A769-41B8-B2F4-CA89103C935A}"/>
            </c:ext>
          </c:extLst>
        </c:ser>
        <c:ser>
          <c:idx val="5"/>
          <c:order val="5"/>
          <c:tx>
            <c:strRef>
              <c:f>Kuviot!$BD$11</c:f>
              <c:strCache>
                <c:ptCount val="1"/>
              </c:strCache>
            </c:strRef>
          </c:tx>
          <c:spPr>
            <a:solidFill>
              <a:srgbClr val="00B050"/>
            </a:solidFill>
            <a:ln>
              <a:solidFill>
                <a:sysClr val="windowText" lastClr="000000">
                  <a:lumMod val="25000"/>
                  <a:lumOff val="75000"/>
                </a:sysClr>
              </a:solidFill>
            </a:ln>
            <a:effectLst>
              <a:outerShdw blurRad="40000" dist="23000" dir="5400000" rotWithShape="0">
                <a:srgbClr val="000000">
                  <a:alpha val="35000"/>
                </a:srgbClr>
              </a:outerShdw>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6-A769-41B8-B2F4-CA89103C935A}"/>
                </c:ext>
              </c:extLst>
            </c:dLbl>
            <c:spPr>
              <a:noFill/>
              <a:ln w="25400">
                <a:noFill/>
              </a:ln>
            </c:spPr>
            <c:txPr>
              <a:bodyPr wrap="square" lIns="38100" tIns="19050" rIns="38100" bIns="19050" anchor="ctr">
                <a:spAutoFit/>
              </a:bodyPr>
              <a:lstStyle/>
              <a:p>
                <a:pPr>
                  <a:defRPr sz="900" b="0" i="0" u="none" strike="noStrike" baseline="0">
                    <a:solidFill>
                      <a:srgbClr val="000000"/>
                    </a:solidFill>
                    <a:latin typeface="Calibri"/>
                    <a:ea typeface="Calibri"/>
                    <a:cs typeface="Calibri"/>
                  </a:defRPr>
                </a:pPr>
                <a:endParaRPr lang="fi-FI"/>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Kuviot!$BE$5:$BF$5</c:f>
              <c:strCache>
                <c:ptCount val="2"/>
                <c:pt idx="0">
                  <c:v>Toimintakate+poistot+rahoituser.(netto)  27 milj. €</c:v>
                </c:pt>
                <c:pt idx="1">
                  <c:v>Rahoitus 29 milj. €</c:v>
                </c:pt>
              </c:strCache>
            </c:strRef>
          </c:cat>
          <c:val>
            <c:numRef>
              <c:f>Kuviot!$BE$11:$BF$11</c:f>
              <c:numCache>
                <c:formatCode>#,##0</c:formatCode>
                <c:ptCount val="2"/>
                <c:pt idx="0">
                  <c:v>430</c:v>
                </c:pt>
                <c:pt idx="1">
                  <c:v>0</c:v>
                </c:pt>
              </c:numCache>
            </c:numRef>
          </c:val>
          <c:extLst>
            <c:ext xmlns:c16="http://schemas.microsoft.com/office/drawing/2014/chart" uri="{C3380CC4-5D6E-409C-BE32-E72D297353CC}">
              <c16:uniqueId val="{00000007-A769-41B8-B2F4-CA89103C935A}"/>
            </c:ext>
          </c:extLst>
        </c:ser>
        <c:ser>
          <c:idx val="7"/>
          <c:order val="6"/>
          <c:tx>
            <c:strRef>
              <c:f>Kuviot!$BD$12</c:f>
              <c:strCache>
                <c:ptCount val="1"/>
                <c:pt idx="0">
                  <c:v>poistot</c:v>
                </c:pt>
              </c:strCache>
            </c:strRef>
          </c:tx>
          <c:spPr>
            <a:solidFill>
              <a:schemeClr val="bg1">
                <a:lumMod val="50000"/>
              </a:schemeClr>
            </a:solidFill>
            <a:ln>
              <a:noFill/>
            </a:ln>
            <a:effectLst>
              <a:outerShdw blurRad="40000" dist="23000" dir="5400000" rotWithShape="0">
                <a:srgbClr val="000000">
                  <a:alpha val="35000"/>
                </a:srgbClr>
              </a:outerShdw>
            </a:effectLst>
          </c:spPr>
          <c:invertIfNegative val="0"/>
          <c:dLbls>
            <c:spPr>
              <a:noFill/>
              <a:ln w="25400">
                <a:noFill/>
              </a:ln>
            </c:spPr>
            <c:txPr>
              <a:bodyPr wrap="square" lIns="38100" tIns="19050" rIns="38100" bIns="19050" anchor="ctr">
                <a:spAutoFit/>
              </a:bodyPr>
              <a:lstStyle/>
              <a:p>
                <a:pPr>
                  <a:defRPr sz="900" b="0" i="0" u="none" strike="noStrike" baseline="0">
                    <a:solidFill>
                      <a:srgbClr val="000000"/>
                    </a:solidFill>
                    <a:latin typeface="Calibri"/>
                    <a:ea typeface="Calibri"/>
                    <a:cs typeface="Calibri"/>
                  </a:defRPr>
                </a:pPr>
                <a:endParaRPr lang="fi-FI"/>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Kuviot!$BE$5:$BF$5</c:f>
              <c:strCache>
                <c:ptCount val="2"/>
                <c:pt idx="0">
                  <c:v>Toimintakate+poistot+rahoituser.(netto)  27 milj. €</c:v>
                </c:pt>
                <c:pt idx="1">
                  <c:v>Rahoitus 29 milj. €</c:v>
                </c:pt>
              </c:strCache>
            </c:strRef>
          </c:cat>
          <c:val>
            <c:numRef>
              <c:f>Kuviot!$BE$12:$BF$12</c:f>
              <c:numCache>
                <c:formatCode>General</c:formatCode>
                <c:ptCount val="2"/>
                <c:pt idx="0" formatCode="#,##0">
                  <c:v>0</c:v>
                </c:pt>
              </c:numCache>
            </c:numRef>
          </c:val>
          <c:extLst>
            <c:ext xmlns:c16="http://schemas.microsoft.com/office/drawing/2014/chart" uri="{C3380CC4-5D6E-409C-BE32-E72D297353CC}">
              <c16:uniqueId val="{00000008-A769-41B8-B2F4-CA89103C935A}"/>
            </c:ext>
          </c:extLst>
        </c:ser>
        <c:ser>
          <c:idx val="6"/>
          <c:order val="7"/>
          <c:tx>
            <c:strRef>
              <c:f>Kuviot!$BD$14</c:f>
              <c:strCache>
                <c:ptCount val="1"/>
                <c:pt idx="0">
                  <c:v>poistuvat</c:v>
                </c:pt>
              </c:strCache>
            </c:strRef>
          </c:tx>
          <c:spPr>
            <a:noFill/>
            <a:ln>
              <a:solidFill>
                <a:schemeClr val="bg1">
                  <a:lumMod val="65000"/>
                </a:schemeClr>
              </a:solidFill>
            </a:ln>
            <a:effectLst>
              <a:outerShdw blurRad="40000" dist="23000" dir="5400000" rotWithShape="0">
                <a:srgbClr val="000000">
                  <a:alpha val="35000"/>
                </a:srgbClr>
              </a:outerShdw>
            </a:effectLst>
          </c:spPr>
          <c:invertIfNegative val="0"/>
          <c:dPt>
            <c:idx val="0"/>
            <c:invertIfNegative val="0"/>
            <c:bubble3D val="0"/>
            <c:spPr>
              <a:noFill/>
              <a:ln w="12700">
                <a:solidFill>
                  <a:schemeClr val="bg1">
                    <a:lumMod val="65000"/>
                  </a:schemeClr>
                </a:solidFill>
                <a:prstDash val="dashDot"/>
              </a:ln>
              <a:effectLst>
                <a:softEdge rad="0"/>
              </a:effectLst>
            </c:spPr>
            <c:extLst>
              <c:ext xmlns:c16="http://schemas.microsoft.com/office/drawing/2014/chart" uri="{C3380CC4-5D6E-409C-BE32-E72D297353CC}">
                <c16:uniqueId val="{00000009-A769-41B8-B2F4-CA89103C935A}"/>
              </c:ext>
            </c:extLst>
          </c:dPt>
          <c:dPt>
            <c:idx val="1"/>
            <c:invertIfNegative val="0"/>
            <c:bubble3D val="0"/>
            <c:spPr>
              <a:noFill/>
              <a:ln w="12700">
                <a:solidFill>
                  <a:schemeClr val="bg1">
                    <a:lumMod val="65000"/>
                  </a:schemeClr>
                </a:solidFill>
                <a:prstDash val="dashDot"/>
              </a:ln>
              <a:effectLst>
                <a:glow>
                  <a:schemeClr val="accent1"/>
                </a:glow>
                <a:outerShdw blurRad="40000" dist="23000" dir="5400000" rotWithShape="0">
                  <a:srgbClr val="000000">
                    <a:alpha val="35000"/>
                  </a:srgbClr>
                </a:outerShdw>
                <a:softEdge rad="0"/>
              </a:effectLst>
            </c:spPr>
            <c:extLst>
              <c:ext xmlns:c16="http://schemas.microsoft.com/office/drawing/2014/chart" uri="{C3380CC4-5D6E-409C-BE32-E72D297353CC}">
                <c16:uniqueId val="{0000000A-A769-41B8-B2F4-CA89103C935A}"/>
              </c:ext>
            </c:extLst>
          </c:dPt>
          <c:cat>
            <c:strRef>
              <c:f>Kuviot!$BE$5:$BF$5</c:f>
              <c:strCache>
                <c:ptCount val="2"/>
                <c:pt idx="0">
                  <c:v>Toimintakate+poistot+rahoituser.(netto)  27 milj. €</c:v>
                </c:pt>
                <c:pt idx="1">
                  <c:v>Rahoitus 29 milj. €</c:v>
                </c:pt>
              </c:strCache>
            </c:strRef>
          </c:cat>
          <c:val>
            <c:numRef>
              <c:f>Kuviot!$BE$14:$BF$14</c:f>
              <c:numCache>
                <c:formatCode>#,##0</c:formatCode>
                <c:ptCount val="2"/>
                <c:pt idx="0">
                  <c:v>43130.104381658115</c:v>
                </c:pt>
                <c:pt idx="1">
                  <c:v>42705.606074779338</c:v>
                </c:pt>
              </c:numCache>
            </c:numRef>
          </c:val>
          <c:extLst>
            <c:ext xmlns:c16="http://schemas.microsoft.com/office/drawing/2014/chart" uri="{C3380CC4-5D6E-409C-BE32-E72D297353CC}">
              <c16:uniqueId val="{0000000B-A769-41B8-B2F4-CA89103C935A}"/>
            </c:ext>
          </c:extLst>
        </c:ser>
        <c:dLbls>
          <c:showLegendKey val="0"/>
          <c:showVal val="0"/>
          <c:showCatName val="0"/>
          <c:showSerName val="0"/>
          <c:showPercent val="0"/>
          <c:showBubbleSize val="0"/>
        </c:dLbls>
        <c:gapWidth val="40"/>
        <c:overlap val="100"/>
        <c:axId val="139499712"/>
        <c:axId val="1"/>
      </c:barChart>
      <c:catAx>
        <c:axId val="139499712"/>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0" vert="horz"/>
          <a:lstStyle/>
          <a:p>
            <a:pPr>
              <a:defRPr sz="900" b="0" i="0" u="none" strike="noStrike" baseline="0">
                <a:solidFill>
                  <a:srgbClr val="000000"/>
                </a:solidFill>
                <a:latin typeface="Calibri"/>
                <a:ea typeface="Calibri"/>
                <a:cs typeface="Calibri"/>
              </a:defRPr>
            </a:pPr>
            <a:endParaRPr lang="fi-FI"/>
          </a:p>
        </c:txPr>
        <c:crossAx val="1"/>
        <c:crosses val="autoZero"/>
        <c:auto val="1"/>
        <c:lblAlgn val="ctr"/>
        <c:lblOffset val="100"/>
        <c:noMultiLvlLbl val="0"/>
      </c:catAx>
      <c:valAx>
        <c:axId val="1"/>
        <c:scaling>
          <c:orientation val="minMax"/>
        </c:scaling>
        <c:delete val="1"/>
        <c:axPos val="l"/>
        <c:majorGridlines>
          <c:spPr>
            <a:ln w="9525" cap="flat" cmpd="sng" algn="ctr">
              <a:solidFill>
                <a:schemeClr val="bg1">
                  <a:lumMod val="75000"/>
                </a:schemeClr>
              </a:solidFill>
              <a:prstDash val="dash"/>
              <a:round/>
            </a:ln>
            <a:effectLst/>
          </c:spPr>
        </c:majorGridlines>
        <c:numFmt formatCode="#,##0" sourceLinked="1"/>
        <c:majorTickMark val="out"/>
        <c:minorTickMark val="none"/>
        <c:tickLblPos val="nextTo"/>
        <c:crossAx val="139499712"/>
        <c:crosses val="autoZero"/>
        <c:crossBetween val="between"/>
      </c:valAx>
      <c:spPr>
        <a:noFill/>
        <a:ln w="25400">
          <a:noFill/>
        </a:ln>
      </c:spPr>
    </c:plotArea>
    <c:plotVisOnly val="1"/>
    <c:dispBlanksAs val="gap"/>
    <c:showDLblsOverMax val="0"/>
  </c:chart>
  <c:spPr>
    <a:solidFill>
      <a:schemeClr val="bg1"/>
    </a:solidFill>
    <a:ln w="12700" cap="flat" cmpd="sng" algn="ctr">
      <a:solidFill>
        <a:schemeClr val="bg1">
          <a:lumMod val="85000"/>
        </a:schemeClr>
      </a:solidFill>
      <a:round/>
    </a:ln>
    <a:effectLst/>
  </c:spPr>
  <c:txPr>
    <a:bodyPr/>
    <a:lstStyle/>
    <a:p>
      <a:pPr>
        <a:defRPr sz="1000" b="0" i="0" u="none" strike="noStrike" baseline="0">
          <a:solidFill>
            <a:srgbClr val="000000"/>
          </a:solidFill>
          <a:latin typeface="Calibri"/>
          <a:ea typeface="Calibri"/>
          <a:cs typeface="Calibri"/>
        </a:defRPr>
      </a:pPr>
      <a:endParaRPr lang="fi-F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Kuviot!$BG$6</c:f>
              <c:strCache>
                <c:ptCount val="1"/>
                <c:pt idx="0">
                  <c:v>toimintakate</c:v>
                </c:pt>
              </c:strCache>
            </c:strRef>
          </c:tx>
          <c:spPr>
            <a:solidFill>
              <a:schemeClr val="bg1">
                <a:lumMod val="75000"/>
              </a:schemeClr>
            </a:solidFill>
            <a:ln>
              <a:noFill/>
            </a:ln>
            <a:effectLst>
              <a:outerShdw blurRad="40000" dist="23000" dir="5400000" rotWithShape="0">
                <a:srgbClr val="000000">
                  <a:alpha val="35000"/>
                </a:srgbClr>
              </a:outerShdw>
            </a:effectLst>
          </c:spPr>
          <c:invertIfNegative val="0"/>
          <c:dLbls>
            <c:spPr>
              <a:noFill/>
              <a:ln w="25400">
                <a:noFill/>
              </a:ln>
            </c:spPr>
            <c:txPr>
              <a:bodyPr wrap="square" lIns="38100" tIns="19050" rIns="38100" bIns="19050" anchor="ctr">
                <a:spAutoFit/>
              </a:bodyPr>
              <a:lstStyle/>
              <a:p>
                <a:pPr>
                  <a:defRPr sz="900" b="0" i="0" u="none" strike="noStrike" baseline="0">
                    <a:solidFill>
                      <a:srgbClr val="000000"/>
                    </a:solidFill>
                    <a:latin typeface="Calibri"/>
                    <a:ea typeface="Calibri"/>
                    <a:cs typeface="Calibri"/>
                  </a:defRPr>
                </a:pPr>
                <a:endParaRPr lang="fi-FI"/>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Kuviot!$BH$5:$BI$5</c:f>
              <c:strCache>
                <c:ptCount val="2"/>
                <c:pt idx="0">
                  <c:v>Toimintakate+poistot+rahoituser.(netto)  27 milj. €</c:v>
                </c:pt>
                <c:pt idx="1">
                  <c:v>Rahoitus 29 milj. €</c:v>
                </c:pt>
              </c:strCache>
            </c:strRef>
          </c:cat>
          <c:val>
            <c:numRef>
              <c:f>Kuviot!$BH$6:$BI$6</c:f>
              <c:numCache>
                <c:formatCode>General</c:formatCode>
                <c:ptCount val="2"/>
                <c:pt idx="0" formatCode="#,##0">
                  <c:v>26273.622665702824</c:v>
                </c:pt>
              </c:numCache>
            </c:numRef>
          </c:val>
          <c:extLst>
            <c:ext xmlns:c16="http://schemas.microsoft.com/office/drawing/2014/chart" uri="{C3380CC4-5D6E-409C-BE32-E72D297353CC}">
              <c16:uniqueId val="{00000000-315C-4209-B3D8-300265EA42FD}"/>
            </c:ext>
          </c:extLst>
        </c:ser>
        <c:ser>
          <c:idx val="1"/>
          <c:order val="1"/>
          <c:tx>
            <c:strRef>
              <c:f>Kuviot!$BG$7</c:f>
              <c:strCache>
                <c:ptCount val="1"/>
                <c:pt idx="0">
                  <c:v>kunnallisvero 42%</c:v>
                </c:pt>
              </c:strCache>
            </c:strRef>
          </c:tx>
          <c:spPr>
            <a:solidFill>
              <a:srgbClr val="FFFF00"/>
            </a:solidFill>
            <a:ln>
              <a:noFill/>
            </a:ln>
            <a:effectLst>
              <a:outerShdw blurRad="40000" dist="23000" dir="5400000" rotWithShape="0">
                <a:srgbClr val="000000">
                  <a:alpha val="35000"/>
                </a:srgbClr>
              </a:outerShdw>
            </a:effectLst>
          </c:spPr>
          <c:invertIfNegative val="0"/>
          <c:dLbls>
            <c:spPr>
              <a:noFill/>
              <a:ln w="25400">
                <a:noFill/>
              </a:ln>
            </c:spPr>
            <c:txPr>
              <a:bodyPr wrap="square" lIns="38100" tIns="19050" rIns="38100" bIns="19050" anchor="ctr">
                <a:spAutoFit/>
              </a:bodyPr>
              <a:lstStyle/>
              <a:p>
                <a:pPr>
                  <a:defRPr sz="900" b="0" i="0" u="none" strike="noStrike" baseline="0">
                    <a:solidFill>
                      <a:srgbClr val="000000"/>
                    </a:solidFill>
                    <a:latin typeface="Calibri"/>
                    <a:ea typeface="Calibri"/>
                    <a:cs typeface="Calibri"/>
                  </a:defRPr>
                </a:pPr>
                <a:endParaRPr lang="fi-FI"/>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Kuviot!$BH$5:$BI$5</c:f>
              <c:strCache>
                <c:ptCount val="2"/>
                <c:pt idx="0">
                  <c:v>Toimintakate+poistot+rahoituser.(netto)  27 milj. €</c:v>
                </c:pt>
                <c:pt idx="1">
                  <c:v>Rahoitus 29 milj. €</c:v>
                </c:pt>
              </c:strCache>
            </c:strRef>
          </c:cat>
          <c:val>
            <c:numRef>
              <c:f>Kuviot!$BH$7:$BI$7</c:f>
              <c:numCache>
                <c:formatCode>#,##0</c:formatCode>
                <c:ptCount val="2"/>
                <c:pt idx="1">
                  <c:v>12092.819823804575</c:v>
                </c:pt>
              </c:numCache>
            </c:numRef>
          </c:val>
          <c:extLst>
            <c:ext xmlns:c16="http://schemas.microsoft.com/office/drawing/2014/chart" uri="{C3380CC4-5D6E-409C-BE32-E72D297353CC}">
              <c16:uniqueId val="{00000001-315C-4209-B3D8-300265EA42FD}"/>
            </c:ext>
          </c:extLst>
        </c:ser>
        <c:ser>
          <c:idx val="2"/>
          <c:order val="2"/>
          <c:tx>
            <c:strRef>
              <c:f>Kuviot!$BG$8</c:f>
              <c:strCache>
                <c:ptCount val="1"/>
                <c:pt idx="0">
                  <c:v>yhteisövero 6%</c:v>
                </c:pt>
              </c:strCache>
            </c:strRef>
          </c:tx>
          <c:spPr>
            <a:solidFill>
              <a:srgbClr val="CCCC00"/>
            </a:solidFill>
            <a:ln>
              <a:noFill/>
            </a:ln>
            <a:effectLst>
              <a:outerShdw blurRad="40000" dist="23000" dir="5400000" rotWithShape="0">
                <a:srgbClr val="000000">
                  <a:alpha val="35000"/>
                </a:srgbClr>
              </a:outerShdw>
            </a:effectLst>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Calibri"/>
                    <a:ea typeface="Calibri"/>
                    <a:cs typeface="Calibri"/>
                  </a:defRPr>
                </a:pPr>
                <a:endParaRPr lang="fi-FI"/>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Kuviot!$BH$5:$BI$5</c:f>
              <c:strCache>
                <c:ptCount val="2"/>
                <c:pt idx="0">
                  <c:v>Toimintakate+poistot+rahoituser.(netto)  27 milj. €</c:v>
                </c:pt>
                <c:pt idx="1">
                  <c:v>Rahoitus 29 milj. €</c:v>
                </c:pt>
              </c:strCache>
            </c:strRef>
          </c:cat>
          <c:val>
            <c:numRef>
              <c:f>Kuviot!$BH$8:$BI$8</c:f>
              <c:numCache>
                <c:formatCode>#,##0</c:formatCode>
                <c:ptCount val="2"/>
                <c:pt idx="1">
                  <c:v>1871.4908800000003</c:v>
                </c:pt>
              </c:numCache>
            </c:numRef>
          </c:val>
          <c:extLst>
            <c:ext xmlns:c16="http://schemas.microsoft.com/office/drawing/2014/chart" uri="{C3380CC4-5D6E-409C-BE32-E72D297353CC}">
              <c16:uniqueId val="{00000002-315C-4209-B3D8-300265EA42FD}"/>
            </c:ext>
          </c:extLst>
        </c:ser>
        <c:ser>
          <c:idx val="3"/>
          <c:order val="3"/>
          <c:tx>
            <c:strRef>
              <c:f>Kuviot!$BG$9</c:f>
              <c:strCache>
                <c:ptCount val="1"/>
                <c:pt idx="0">
                  <c:v>kiinteistövero 8%</c:v>
                </c:pt>
              </c:strCache>
            </c:strRef>
          </c:tx>
          <c:spPr>
            <a:solidFill>
              <a:srgbClr val="FFCC00"/>
            </a:solidFill>
            <a:ln>
              <a:noFill/>
            </a:ln>
            <a:effectLst>
              <a:outerShdw blurRad="40000" dist="23000" dir="5400000" rotWithShape="0">
                <a:srgbClr val="000000">
                  <a:alpha val="35000"/>
                </a:srgbClr>
              </a:outerShdw>
            </a:effectLst>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Calibri"/>
                    <a:ea typeface="Calibri"/>
                    <a:cs typeface="Calibri"/>
                  </a:defRPr>
                </a:pPr>
                <a:endParaRPr lang="fi-FI"/>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Kuviot!$BH$5:$BI$5</c:f>
              <c:strCache>
                <c:ptCount val="2"/>
                <c:pt idx="0">
                  <c:v>Toimintakate+poistot+rahoituser.(netto)  27 milj. €</c:v>
                </c:pt>
                <c:pt idx="1">
                  <c:v>Rahoitus 29 milj. €</c:v>
                </c:pt>
              </c:strCache>
            </c:strRef>
          </c:cat>
          <c:val>
            <c:numRef>
              <c:f>Kuviot!$BH$9:$BI$9</c:f>
              <c:numCache>
                <c:formatCode>#,##0</c:formatCode>
                <c:ptCount val="2"/>
                <c:pt idx="1">
                  <c:v>2278.2456457000003</c:v>
                </c:pt>
              </c:numCache>
            </c:numRef>
          </c:val>
          <c:extLst>
            <c:ext xmlns:c16="http://schemas.microsoft.com/office/drawing/2014/chart" uri="{C3380CC4-5D6E-409C-BE32-E72D297353CC}">
              <c16:uniqueId val="{00000003-315C-4209-B3D8-300265EA42FD}"/>
            </c:ext>
          </c:extLst>
        </c:ser>
        <c:ser>
          <c:idx val="4"/>
          <c:order val="4"/>
          <c:tx>
            <c:strRef>
              <c:f>Kuviot!$BG$10</c:f>
              <c:strCache>
                <c:ptCount val="1"/>
                <c:pt idx="0">
                  <c:v>vos 44%</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4-315C-4209-B3D8-300265EA42FD}"/>
                </c:ext>
              </c:extLst>
            </c:dLbl>
            <c:spPr>
              <a:noFill/>
              <a:ln w="25400">
                <a:noFill/>
              </a:ln>
            </c:spPr>
            <c:txPr>
              <a:bodyPr wrap="square" lIns="38100" tIns="19050" rIns="38100" bIns="19050" anchor="ctr">
                <a:spAutoFit/>
              </a:bodyPr>
              <a:lstStyle/>
              <a:p>
                <a:pPr>
                  <a:defRPr sz="900" b="0" i="0" u="none" strike="noStrike" baseline="0">
                    <a:solidFill>
                      <a:srgbClr val="000000"/>
                    </a:solidFill>
                    <a:latin typeface="Calibri"/>
                    <a:ea typeface="Calibri"/>
                    <a:cs typeface="Calibri"/>
                  </a:defRPr>
                </a:pPr>
                <a:endParaRPr lang="fi-FI"/>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Kuviot!$BH$5:$BI$5</c:f>
              <c:strCache>
                <c:ptCount val="2"/>
                <c:pt idx="0">
                  <c:v>Toimintakate+poistot+rahoituser.(netto)  27 milj. €</c:v>
                </c:pt>
                <c:pt idx="1">
                  <c:v>Rahoitus 29 milj. €</c:v>
                </c:pt>
              </c:strCache>
            </c:strRef>
          </c:cat>
          <c:val>
            <c:numRef>
              <c:f>Kuviot!$BH$10:$BI$10</c:f>
              <c:numCache>
                <c:formatCode>#,##0</c:formatCode>
                <c:ptCount val="2"/>
                <c:pt idx="0" formatCode="0">
                  <c:v>0</c:v>
                </c:pt>
                <c:pt idx="1">
                  <c:v>12686.613483816112</c:v>
                </c:pt>
              </c:numCache>
            </c:numRef>
          </c:val>
          <c:extLst>
            <c:ext xmlns:c16="http://schemas.microsoft.com/office/drawing/2014/chart" uri="{C3380CC4-5D6E-409C-BE32-E72D297353CC}">
              <c16:uniqueId val="{00000005-315C-4209-B3D8-300265EA42FD}"/>
            </c:ext>
          </c:extLst>
        </c:ser>
        <c:ser>
          <c:idx val="5"/>
          <c:order val="5"/>
          <c:tx>
            <c:strRef>
              <c:f>Kuviot!$BG$11</c:f>
              <c:strCache>
                <c:ptCount val="1"/>
              </c:strCache>
            </c:strRef>
          </c:tx>
          <c:spPr>
            <a:solidFill>
              <a:srgbClr val="00B050"/>
            </a:solidFill>
            <a:ln>
              <a:solidFill>
                <a:sysClr val="windowText" lastClr="000000">
                  <a:lumMod val="25000"/>
                  <a:lumOff val="75000"/>
                </a:sysClr>
              </a:solidFill>
            </a:ln>
            <a:effectLst>
              <a:outerShdw blurRad="40000" dist="23000" dir="5400000" rotWithShape="0">
                <a:srgbClr val="000000">
                  <a:alpha val="35000"/>
                </a:srgbClr>
              </a:outerShdw>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6-315C-4209-B3D8-300265EA42FD}"/>
                </c:ext>
              </c:extLst>
            </c:dLbl>
            <c:spPr>
              <a:noFill/>
              <a:ln w="25400">
                <a:noFill/>
              </a:ln>
            </c:spPr>
            <c:txPr>
              <a:bodyPr wrap="square" lIns="38100" tIns="19050" rIns="38100" bIns="19050" anchor="ctr">
                <a:spAutoFit/>
              </a:bodyPr>
              <a:lstStyle/>
              <a:p>
                <a:pPr>
                  <a:defRPr sz="900" b="0" i="0" u="none" strike="noStrike" baseline="0">
                    <a:solidFill>
                      <a:srgbClr val="000000"/>
                    </a:solidFill>
                    <a:latin typeface="Calibri"/>
                    <a:ea typeface="Calibri"/>
                    <a:cs typeface="Calibri"/>
                  </a:defRPr>
                </a:pPr>
                <a:endParaRPr lang="fi-FI"/>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Kuviot!$BH$5:$BI$5</c:f>
              <c:strCache>
                <c:ptCount val="2"/>
                <c:pt idx="0">
                  <c:v>Toimintakate+poistot+rahoituser.(netto)  27 milj. €</c:v>
                </c:pt>
                <c:pt idx="1">
                  <c:v>Rahoitus 29 milj. €</c:v>
                </c:pt>
              </c:strCache>
            </c:strRef>
          </c:cat>
          <c:val>
            <c:numRef>
              <c:f>Kuviot!$BH$11:$BI$11</c:f>
              <c:numCache>
                <c:formatCode>#,##0</c:formatCode>
                <c:ptCount val="2"/>
                <c:pt idx="0">
                  <c:v>430</c:v>
                </c:pt>
                <c:pt idx="1">
                  <c:v>0</c:v>
                </c:pt>
              </c:numCache>
            </c:numRef>
          </c:val>
          <c:extLst>
            <c:ext xmlns:c16="http://schemas.microsoft.com/office/drawing/2014/chart" uri="{C3380CC4-5D6E-409C-BE32-E72D297353CC}">
              <c16:uniqueId val="{00000007-315C-4209-B3D8-300265EA42FD}"/>
            </c:ext>
          </c:extLst>
        </c:ser>
        <c:ser>
          <c:idx val="7"/>
          <c:order val="6"/>
          <c:tx>
            <c:strRef>
              <c:f>Kuviot!$BG$12</c:f>
              <c:strCache>
                <c:ptCount val="1"/>
                <c:pt idx="0">
                  <c:v>poistot</c:v>
                </c:pt>
              </c:strCache>
            </c:strRef>
          </c:tx>
          <c:spPr>
            <a:solidFill>
              <a:schemeClr val="bg1">
                <a:lumMod val="50000"/>
              </a:schemeClr>
            </a:solidFill>
            <a:ln>
              <a:noFill/>
            </a:ln>
            <a:effectLst>
              <a:outerShdw blurRad="40000" dist="23000" dir="5400000" rotWithShape="0">
                <a:srgbClr val="000000">
                  <a:alpha val="35000"/>
                </a:srgbClr>
              </a:outerShdw>
            </a:effectLst>
          </c:spPr>
          <c:invertIfNegative val="0"/>
          <c:dLbls>
            <c:spPr>
              <a:noFill/>
              <a:ln w="25400">
                <a:noFill/>
              </a:ln>
            </c:spPr>
            <c:txPr>
              <a:bodyPr wrap="square" lIns="38100" tIns="19050" rIns="38100" bIns="19050" anchor="ctr">
                <a:spAutoFit/>
              </a:bodyPr>
              <a:lstStyle/>
              <a:p>
                <a:pPr>
                  <a:defRPr sz="900" b="0" i="0" u="none" strike="noStrike" baseline="0">
                    <a:solidFill>
                      <a:srgbClr val="000000"/>
                    </a:solidFill>
                    <a:latin typeface="Calibri"/>
                    <a:ea typeface="Calibri"/>
                    <a:cs typeface="Calibri"/>
                  </a:defRPr>
                </a:pPr>
                <a:endParaRPr lang="fi-FI"/>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Kuviot!$BH$5:$BI$5</c:f>
              <c:strCache>
                <c:ptCount val="2"/>
                <c:pt idx="0">
                  <c:v>Toimintakate+poistot+rahoituser.(netto)  27 milj. €</c:v>
                </c:pt>
                <c:pt idx="1">
                  <c:v>Rahoitus 29 milj. €</c:v>
                </c:pt>
              </c:strCache>
            </c:strRef>
          </c:cat>
          <c:val>
            <c:numRef>
              <c:f>Kuviot!$BH$12:$BI$12</c:f>
              <c:numCache>
                <c:formatCode>General</c:formatCode>
                <c:ptCount val="2"/>
                <c:pt idx="0" formatCode="#,##0">
                  <c:v>0</c:v>
                </c:pt>
              </c:numCache>
            </c:numRef>
          </c:val>
          <c:extLst>
            <c:ext xmlns:c16="http://schemas.microsoft.com/office/drawing/2014/chart" uri="{C3380CC4-5D6E-409C-BE32-E72D297353CC}">
              <c16:uniqueId val="{00000008-315C-4209-B3D8-300265EA42FD}"/>
            </c:ext>
          </c:extLst>
        </c:ser>
        <c:ser>
          <c:idx val="6"/>
          <c:order val="7"/>
          <c:tx>
            <c:strRef>
              <c:f>Kuviot!$BG$14</c:f>
              <c:strCache>
                <c:ptCount val="1"/>
                <c:pt idx="0">
                  <c:v>poistuvat</c:v>
                </c:pt>
              </c:strCache>
            </c:strRef>
          </c:tx>
          <c:spPr>
            <a:noFill/>
            <a:ln>
              <a:solidFill>
                <a:schemeClr val="bg1">
                  <a:lumMod val="65000"/>
                </a:schemeClr>
              </a:solidFill>
            </a:ln>
            <a:effectLst>
              <a:outerShdw blurRad="40000" dist="23000" dir="5400000" rotWithShape="0">
                <a:srgbClr val="000000">
                  <a:alpha val="35000"/>
                </a:srgbClr>
              </a:outerShdw>
            </a:effectLst>
          </c:spPr>
          <c:invertIfNegative val="0"/>
          <c:dPt>
            <c:idx val="0"/>
            <c:invertIfNegative val="0"/>
            <c:bubble3D val="0"/>
            <c:spPr>
              <a:noFill/>
              <a:ln w="12700">
                <a:solidFill>
                  <a:schemeClr val="bg1">
                    <a:lumMod val="65000"/>
                  </a:schemeClr>
                </a:solidFill>
                <a:prstDash val="dashDot"/>
              </a:ln>
              <a:effectLst>
                <a:softEdge rad="0"/>
              </a:effectLst>
            </c:spPr>
            <c:extLst>
              <c:ext xmlns:c16="http://schemas.microsoft.com/office/drawing/2014/chart" uri="{C3380CC4-5D6E-409C-BE32-E72D297353CC}">
                <c16:uniqueId val="{00000009-315C-4209-B3D8-300265EA42FD}"/>
              </c:ext>
            </c:extLst>
          </c:dPt>
          <c:dPt>
            <c:idx val="1"/>
            <c:invertIfNegative val="0"/>
            <c:bubble3D val="0"/>
            <c:spPr>
              <a:noFill/>
              <a:ln w="12700">
                <a:solidFill>
                  <a:schemeClr val="bg1">
                    <a:lumMod val="65000"/>
                  </a:schemeClr>
                </a:solidFill>
                <a:prstDash val="dashDot"/>
              </a:ln>
              <a:effectLst>
                <a:glow>
                  <a:schemeClr val="accent1"/>
                </a:glow>
                <a:outerShdw blurRad="40000" dist="23000" dir="5400000" rotWithShape="0">
                  <a:srgbClr val="000000">
                    <a:alpha val="35000"/>
                  </a:srgbClr>
                </a:outerShdw>
                <a:softEdge rad="0"/>
              </a:effectLst>
            </c:spPr>
            <c:extLst>
              <c:ext xmlns:c16="http://schemas.microsoft.com/office/drawing/2014/chart" uri="{C3380CC4-5D6E-409C-BE32-E72D297353CC}">
                <c16:uniqueId val="{0000000A-315C-4209-B3D8-300265EA42FD}"/>
              </c:ext>
            </c:extLst>
          </c:dPt>
          <c:cat>
            <c:strRef>
              <c:f>Kuviot!$BH$5:$BI$5</c:f>
              <c:strCache>
                <c:ptCount val="2"/>
                <c:pt idx="0">
                  <c:v>Toimintakate+poistot+rahoituser.(netto)  27 milj. €</c:v>
                </c:pt>
                <c:pt idx="1">
                  <c:v>Rahoitus 29 milj. €</c:v>
                </c:pt>
              </c:strCache>
            </c:strRef>
          </c:cat>
          <c:val>
            <c:numRef>
              <c:f>Kuviot!$BH$14:$BI$14</c:f>
              <c:numCache>
                <c:formatCode>#,##0</c:formatCode>
                <c:ptCount val="2"/>
                <c:pt idx="0">
                  <c:v>43130.104381658115</c:v>
                </c:pt>
                <c:pt idx="1">
                  <c:v>42575.030465128177</c:v>
                </c:pt>
              </c:numCache>
            </c:numRef>
          </c:val>
          <c:extLst>
            <c:ext xmlns:c16="http://schemas.microsoft.com/office/drawing/2014/chart" uri="{C3380CC4-5D6E-409C-BE32-E72D297353CC}">
              <c16:uniqueId val="{0000000B-315C-4209-B3D8-300265EA42FD}"/>
            </c:ext>
          </c:extLst>
        </c:ser>
        <c:dLbls>
          <c:showLegendKey val="0"/>
          <c:showVal val="0"/>
          <c:showCatName val="0"/>
          <c:showSerName val="0"/>
          <c:showPercent val="0"/>
          <c:showBubbleSize val="0"/>
        </c:dLbls>
        <c:gapWidth val="40"/>
        <c:overlap val="100"/>
        <c:axId val="139500544"/>
        <c:axId val="1"/>
      </c:barChart>
      <c:catAx>
        <c:axId val="139500544"/>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0" vert="horz"/>
          <a:lstStyle/>
          <a:p>
            <a:pPr>
              <a:defRPr sz="900" b="0" i="0" u="none" strike="noStrike" baseline="0">
                <a:solidFill>
                  <a:srgbClr val="000000"/>
                </a:solidFill>
                <a:latin typeface="Calibri"/>
                <a:ea typeface="Calibri"/>
                <a:cs typeface="Calibri"/>
              </a:defRPr>
            </a:pPr>
            <a:endParaRPr lang="fi-FI"/>
          </a:p>
        </c:txPr>
        <c:crossAx val="1"/>
        <c:crosses val="autoZero"/>
        <c:auto val="1"/>
        <c:lblAlgn val="ctr"/>
        <c:lblOffset val="100"/>
        <c:noMultiLvlLbl val="0"/>
      </c:catAx>
      <c:valAx>
        <c:axId val="1"/>
        <c:scaling>
          <c:orientation val="minMax"/>
        </c:scaling>
        <c:delete val="1"/>
        <c:axPos val="l"/>
        <c:majorGridlines>
          <c:spPr>
            <a:ln w="9525" cap="flat" cmpd="sng" algn="ctr">
              <a:solidFill>
                <a:schemeClr val="bg1">
                  <a:lumMod val="75000"/>
                </a:schemeClr>
              </a:solidFill>
              <a:prstDash val="dash"/>
              <a:round/>
            </a:ln>
            <a:effectLst/>
          </c:spPr>
        </c:majorGridlines>
        <c:numFmt formatCode="#,##0" sourceLinked="1"/>
        <c:majorTickMark val="out"/>
        <c:minorTickMark val="none"/>
        <c:tickLblPos val="nextTo"/>
        <c:crossAx val="139500544"/>
        <c:crosses val="autoZero"/>
        <c:crossBetween val="between"/>
      </c:valAx>
      <c:spPr>
        <a:noFill/>
        <a:ln w="25400">
          <a:noFill/>
        </a:ln>
      </c:spPr>
    </c:plotArea>
    <c:plotVisOnly val="1"/>
    <c:dispBlanksAs val="gap"/>
    <c:showDLblsOverMax val="0"/>
  </c:chart>
  <c:spPr>
    <a:solidFill>
      <a:schemeClr val="bg1"/>
    </a:solidFill>
    <a:ln w="12700" cap="flat" cmpd="sng" algn="ctr">
      <a:solidFill>
        <a:schemeClr val="bg1">
          <a:lumMod val="85000"/>
        </a:schemeClr>
      </a:solidFill>
      <a:round/>
    </a:ln>
    <a:effectLst/>
  </c:spPr>
  <c:txPr>
    <a:bodyPr/>
    <a:lstStyle/>
    <a:p>
      <a:pPr>
        <a:defRPr sz="1000" b="0" i="0" u="none" strike="noStrike" baseline="0">
          <a:solidFill>
            <a:srgbClr val="000000"/>
          </a:solidFill>
          <a:latin typeface="Calibri"/>
          <a:ea typeface="Calibri"/>
          <a:cs typeface="Calibri"/>
        </a:defRPr>
      </a:pPr>
      <a:endParaRPr lang="fi-F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fi-FI" sz="1800">
                <a:effectLst/>
              </a:rPr>
              <a:t>Laskennallinen</a:t>
            </a:r>
            <a:r>
              <a:rPr lang="fi-FI" sz="1800" baseline="0">
                <a:effectLst/>
              </a:rPr>
              <a:t> tasaus </a:t>
            </a:r>
            <a:r>
              <a:rPr lang="fi-FI" sz="1800">
                <a:effectLst/>
              </a:rPr>
              <a:t>ja siirtymätasaus</a:t>
            </a:r>
            <a:r>
              <a:rPr lang="fi-FI" sz="1800" baseline="0">
                <a:effectLst/>
              </a:rPr>
              <a:t> €/asukas</a:t>
            </a:r>
            <a:endParaRPr lang="fi-FI"/>
          </a:p>
        </c:rich>
      </c:tx>
      <c:overlay val="0"/>
    </c:title>
    <c:autoTitleDeleted val="0"/>
    <c:plotArea>
      <c:layout/>
      <c:barChart>
        <c:barDir val="col"/>
        <c:grouping val="stacked"/>
        <c:varyColors val="0"/>
        <c:ser>
          <c:idx val="0"/>
          <c:order val="0"/>
          <c:tx>
            <c:strRef>
              <c:f>'Siirtymätasaus (lopullinen)'!$B$2</c:f>
              <c:strCache>
                <c:ptCount val="1"/>
                <c:pt idx="0">
                  <c:v>Tasapaino ilman siirtymätasausta</c:v>
                </c:pt>
              </c:strCache>
            </c:strRef>
          </c:tx>
          <c:spPr>
            <a:solidFill>
              <a:schemeClr val="accent1"/>
            </a:solidFill>
            <a:ln w="25400">
              <a:noFill/>
            </a:ln>
          </c:spPr>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01EB-41F7-96D0-B35EE8A8E05A}"/>
              </c:ext>
            </c:extLst>
          </c:dPt>
          <c:dPt>
            <c:idx val="1"/>
            <c:invertIfNegative val="0"/>
            <c:bubble3D val="0"/>
            <c:spPr>
              <a:solidFill>
                <a:schemeClr val="bg1">
                  <a:lumMod val="50000"/>
                </a:schemeClr>
              </a:solidFill>
              <a:ln>
                <a:noFill/>
              </a:ln>
              <a:effectLst/>
            </c:spPr>
            <c:extLst>
              <c:ext xmlns:c16="http://schemas.microsoft.com/office/drawing/2014/chart" uri="{C3380CC4-5D6E-409C-BE32-E72D297353CC}">
                <c16:uniqueId val="{00000003-01EB-41F7-96D0-B35EE8A8E05A}"/>
              </c:ext>
            </c:extLst>
          </c:dPt>
          <c:cat>
            <c:strRef>
              <c:f>'Siirtymätasaus (lopullinen)'!$A$3:$A$8</c:f>
              <c:strCache>
                <c:ptCount val="6"/>
                <c:pt idx="0">
                  <c:v>Tasapaino 2022</c:v>
                </c:pt>
                <c:pt idx="1">
                  <c:v>Tasapaino 2023 (alustava laskelma)</c:v>
                </c:pt>
                <c:pt idx="2">
                  <c:v>Tasapaino 2024</c:v>
                </c:pt>
                <c:pt idx="3">
                  <c:v>Tasapaino 2025</c:v>
                </c:pt>
                <c:pt idx="4">
                  <c:v>Tasapaino 2026</c:v>
                </c:pt>
                <c:pt idx="5">
                  <c:v>Tasapaino 2027</c:v>
                </c:pt>
              </c:strCache>
            </c:strRef>
          </c:cat>
          <c:val>
            <c:numRef>
              <c:f>'Siirtymätasaus (lopullinen)'!$B$3:$B$8</c:f>
              <c:numCache>
                <c:formatCode>0</c:formatCode>
                <c:ptCount val="6"/>
                <c:pt idx="0">
                  <c:v>179.40857599483684</c:v>
                </c:pt>
                <c:pt idx="1">
                  <c:v>403.91220694023605</c:v>
                </c:pt>
                <c:pt idx="2">
                  <c:v>252.12479163123817</c:v>
                </c:pt>
                <c:pt idx="3">
                  <c:v>252.12479163123803</c:v>
                </c:pt>
                <c:pt idx="4">
                  <c:v>262.12479163123817</c:v>
                </c:pt>
                <c:pt idx="5">
                  <c:v>262.12479163123828</c:v>
                </c:pt>
              </c:numCache>
            </c:numRef>
          </c:val>
          <c:extLst>
            <c:ext xmlns:c16="http://schemas.microsoft.com/office/drawing/2014/chart" uri="{C3380CC4-5D6E-409C-BE32-E72D297353CC}">
              <c16:uniqueId val="{00000004-01EB-41F7-96D0-B35EE8A8E05A}"/>
            </c:ext>
          </c:extLst>
        </c:ser>
        <c:ser>
          <c:idx val="1"/>
          <c:order val="1"/>
          <c:tx>
            <c:strRef>
              <c:f>'Siirtymätasaus (lopullinen)'!$C$2</c:f>
              <c:strCache>
                <c:ptCount val="1"/>
                <c:pt idx="0">
                  <c:v>Siirtymätasaus parantaa tasapainoa näin paljon</c:v>
                </c:pt>
              </c:strCache>
            </c:strRef>
          </c:tx>
          <c:spPr>
            <a:solidFill>
              <a:srgbClr val="00B050">
                <a:alpha val="30000"/>
              </a:srgbClr>
            </a:solidFill>
          </c:spPr>
          <c:invertIfNegative val="0"/>
          <c:dPt>
            <c:idx val="1"/>
            <c:invertIfNegative val="0"/>
            <c:bubble3D val="0"/>
            <c:spPr>
              <a:solidFill>
                <a:schemeClr val="bg1">
                  <a:lumMod val="75000"/>
                  <a:alpha val="30000"/>
                </a:schemeClr>
              </a:solidFill>
            </c:spPr>
            <c:extLst>
              <c:ext xmlns:c16="http://schemas.microsoft.com/office/drawing/2014/chart" uri="{C3380CC4-5D6E-409C-BE32-E72D297353CC}">
                <c16:uniqueId val="{00000005-324C-401B-95AB-6A0926B12751}"/>
              </c:ext>
            </c:extLst>
          </c:dPt>
          <c:val>
            <c:numRef>
              <c:f>'Siirtymätasaus (lopullinen)'!$C$3:$C$8</c:f>
              <c:numCache>
                <c:formatCode>0</c:formatCode>
                <c:ptCount val="6"/>
                <c:pt idx="1">
                  <c:v>16.817840264151343</c:v>
                </c:pt>
                <c:pt idx="2">
                  <c:v>0</c:v>
                </c:pt>
                <c:pt idx="3">
                  <c:v>0</c:v>
                </c:pt>
                <c:pt idx="4">
                  <c:v>0</c:v>
                </c:pt>
                <c:pt idx="5">
                  <c:v>0</c:v>
                </c:pt>
              </c:numCache>
            </c:numRef>
          </c:val>
          <c:extLst>
            <c:ext xmlns:c16="http://schemas.microsoft.com/office/drawing/2014/chart" uri="{C3380CC4-5D6E-409C-BE32-E72D297353CC}">
              <c16:uniqueId val="{00000004-C401-4722-9FF8-C4399CAB12C5}"/>
            </c:ext>
          </c:extLst>
        </c:ser>
        <c:ser>
          <c:idx val="2"/>
          <c:order val="2"/>
          <c:tx>
            <c:strRef>
              <c:f>'Siirtymätasaus (lopullinen)'!$D$2</c:f>
              <c:strCache>
                <c:ptCount val="1"/>
              </c:strCache>
            </c:strRef>
          </c:tx>
          <c:spPr>
            <a:solidFill>
              <a:srgbClr val="FF0000">
                <a:alpha val="24000"/>
              </a:srgbClr>
            </a:solidFill>
          </c:spPr>
          <c:invertIfNegative val="0"/>
          <c:dPt>
            <c:idx val="1"/>
            <c:invertIfNegative val="0"/>
            <c:bubble3D val="0"/>
            <c:spPr>
              <a:solidFill>
                <a:schemeClr val="bg1">
                  <a:lumMod val="65000"/>
                  <a:alpha val="24000"/>
                </a:schemeClr>
              </a:solidFill>
            </c:spPr>
            <c:extLst>
              <c:ext xmlns:c16="http://schemas.microsoft.com/office/drawing/2014/chart" uri="{C3380CC4-5D6E-409C-BE32-E72D297353CC}">
                <c16:uniqueId val="{00000006-324C-401B-95AB-6A0926B12751}"/>
              </c:ext>
            </c:extLst>
          </c:dPt>
          <c:val>
            <c:numRef>
              <c:f>'Siirtymätasaus (lopullinen)'!$D$3:$D$8</c:f>
              <c:numCache>
                <c:formatCode>0</c:formatCode>
                <c:ptCount val="6"/>
                <c:pt idx="1">
                  <c:v>0</c:v>
                </c:pt>
                <c:pt idx="2">
                  <c:v>-64.846255684096263</c:v>
                </c:pt>
                <c:pt idx="3">
                  <c:v>-50.934922313091448</c:v>
                </c:pt>
                <c:pt idx="4">
                  <c:v>-37.12516130509696</c:v>
                </c:pt>
                <c:pt idx="5">
                  <c:v>-23.10136046188331</c:v>
                </c:pt>
              </c:numCache>
            </c:numRef>
          </c:val>
          <c:extLst>
            <c:ext xmlns:c16="http://schemas.microsoft.com/office/drawing/2014/chart" uri="{C3380CC4-5D6E-409C-BE32-E72D297353CC}">
              <c16:uniqueId val="{00000005-C401-4722-9FF8-C4399CAB12C5}"/>
            </c:ext>
          </c:extLst>
        </c:ser>
        <c:dLbls>
          <c:showLegendKey val="0"/>
          <c:showVal val="0"/>
          <c:showCatName val="0"/>
          <c:showSerName val="0"/>
          <c:showPercent val="0"/>
          <c:showBubbleSize val="0"/>
        </c:dLbls>
        <c:gapWidth val="135"/>
        <c:overlap val="100"/>
        <c:axId val="139504288"/>
        <c:axId val="1"/>
      </c:barChart>
      <c:lineChart>
        <c:grouping val="stacked"/>
        <c:varyColors val="0"/>
        <c:ser>
          <c:idx val="3"/>
          <c:order val="3"/>
          <c:tx>
            <c:strRef>
              <c:f>'Siirtymätasaus (lopullinen)'!$E$2</c:f>
              <c:strCache>
                <c:ptCount val="1"/>
                <c:pt idx="0">
                  <c:v>Tasapaino</c:v>
                </c:pt>
              </c:strCache>
            </c:strRef>
          </c:tx>
          <c:spPr>
            <a:ln>
              <a:solidFill>
                <a:schemeClr val="tx1"/>
              </a:solidFill>
              <a:prstDash val="sysDash"/>
            </a:ln>
          </c:spPr>
          <c:marker>
            <c:symbol val="none"/>
          </c:marker>
          <c:val>
            <c:numRef>
              <c:f>'Siirtymätasaus (lopullinen)'!$E$3:$E$8</c:f>
              <c:numCache>
                <c:formatCode>0</c:formatCode>
                <c:ptCount val="6"/>
                <c:pt idx="0">
                  <c:v>179.40857599483684</c:v>
                </c:pt>
                <c:pt idx="1">
                  <c:v>420.7300472043874</c:v>
                </c:pt>
                <c:pt idx="2">
                  <c:v>187.2785359471419</c:v>
                </c:pt>
                <c:pt idx="3">
                  <c:v>201.18986931814658</c:v>
                </c:pt>
                <c:pt idx="4">
                  <c:v>224.99963032614122</c:v>
                </c:pt>
                <c:pt idx="5">
                  <c:v>239.02343116935495</c:v>
                </c:pt>
              </c:numCache>
            </c:numRef>
          </c:val>
          <c:smooth val="0"/>
          <c:extLst>
            <c:ext xmlns:c16="http://schemas.microsoft.com/office/drawing/2014/chart" uri="{C3380CC4-5D6E-409C-BE32-E72D297353CC}">
              <c16:uniqueId val="{00000004-324C-401B-95AB-6A0926B12751}"/>
            </c:ext>
          </c:extLst>
        </c:ser>
        <c:dLbls>
          <c:showLegendKey val="0"/>
          <c:showVal val="0"/>
          <c:showCatName val="0"/>
          <c:showSerName val="0"/>
          <c:showPercent val="0"/>
          <c:showBubbleSize val="0"/>
        </c:dLbls>
        <c:marker val="1"/>
        <c:smooth val="0"/>
        <c:axId val="139504288"/>
        <c:axId val="1"/>
      </c:lineChart>
      <c:catAx>
        <c:axId val="139504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fi-FI"/>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 sourceLinked="1"/>
        <c:majorTickMark val="none"/>
        <c:minorTickMark val="none"/>
        <c:tickLblPos val="nextTo"/>
        <c:spPr>
          <a:ln w="9525">
            <a:noFill/>
          </a:ln>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fi-FI"/>
          </a:p>
        </c:txPr>
        <c:crossAx val="139504288"/>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fi-F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i-FI"/>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0</xdr:col>
      <xdr:colOff>68580</xdr:colOff>
      <xdr:row>3</xdr:row>
      <xdr:rowOff>30480</xdr:rowOff>
    </xdr:from>
    <xdr:to>
      <xdr:col>6</xdr:col>
      <xdr:colOff>60960</xdr:colOff>
      <xdr:row>23</xdr:row>
      <xdr:rowOff>99060</xdr:rowOff>
    </xdr:to>
    <xdr:graphicFrame macro="">
      <xdr:nvGraphicFramePr>
        <xdr:cNvPr id="3067218" name="Kaavio 10">
          <a:extLst>
            <a:ext uri="{FF2B5EF4-FFF2-40B4-BE49-F238E27FC236}">
              <a16:creationId xmlns:a16="http://schemas.microsoft.com/office/drawing/2014/main" id="{4237F4FC-97F1-237A-A33D-B9105EED55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22860</xdr:colOff>
      <xdr:row>3</xdr:row>
      <xdr:rowOff>22860</xdr:rowOff>
    </xdr:from>
    <xdr:to>
      <xdr:col>13</xdr:col>
      <xdr:colOff>350520</xdr:colOff>
      <xdr:row>23</xdr:row>
      <xdr:rowOff>99060</xdr:rowOff>
    </xdr:to>
    <xdr:graphicFrame macro="">
      <xdr:nvGraphicFramePr>
        <xdr:cNvPr id="3067219" name="Kaavio 11">
          <a:extLst>
            <a:ext uri="{FF2B5EF4-FFF2-40B4-BE49-F238E27FC236}">
              <a16:creationId xmlns:a16="http://schemas.microsoft.com/office/drawing/2014/main" id="{114EAB94-BC91-52CD-3642-E167B45792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102593</xdr:colOff>
      <xdr:row>10</xdr:row>
      <xdr:rowOff>73161</xdr:rowOff>
    </xdr:from>
    <xdr:to>
      <xdr:col>6</xdr:col>
      <xdr:colOff>526392</xdr:colOff>
      <xdr:row>14</xdr:row>
      <xdr:rowOff>26574</xdr:rowOff>
    </xdr:to>
    <xdr:sp macro="" textlink="">
      <xdr:nvSpPr>
        <xdr:cNvPr id="13" name="Nuoli oikealle 12">
          <a:extLst>
            <a:ext uri="{FF2B5EF4-FFF2-40B4-BE49-F238E27FC236}">
              <a16:creationId xmlns:a16="http://schemas.microsoft.com/office/drawing/2014/main" id="{056AB678-C2CD-B3B7-34C3-4DD81DF2870E}"/>
            </a:ext>
          </a:extLst>
        </xdr:cNvPr>
        <xdr:cNvSpPr/>
      </xdr:nvSpPr>
      <xdr:spPr>
        <a:xfrm>
          <a:off x="4185998" y="1712575"/>
          <a:ext cx="461433" cy="65116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i-FI"/>
        </a:p>
      </xdr:txBody>
    </xdr:sp>
    <xdr:clientData/>
  </xdr:twoCellAnchor>
  <xdr:twoCellAnchor>
    <xdr:from>
      <xdr:col>15</xdr:col>
      <xdr:colOff>22860</xdr:colOff>
      <xdr:row>3</xdr:row>
      <xdr:rowOff>22860</xdr:rowOff>
    </xdr:from>
    <xdr:to>
      <xdr:col>20</xdr:col>
      <xdr:colOff>266700</xdr:colOff>
      <xdr:row>23</xdr:row>
      <xdr:rowOff>99060</xdr:rowOff>
    </xdr:to>
    <xdr:graphicFrame macro="">
      <xdr:nvGraphicFramePr>
        <xdr:cNvPr id="3067221" name="Kaavio 11">
          <a:extLst>
            <a:ext uri="{FF2B5EF4-FFF2-40B4-BE49-F238E27FC236}">
              <a16:creationId xmlns:a16="http://schemas.microsoft.com/office/drawing/2014/main" id="{7D41FC71-5DA0-A052-6EF4-7D7A1CBCCD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1926</xdr:colOff>
      <xdr:row>10</xdr:row>
      <xdr:rowOff>90842</xdr:rowOff>
    </xdr:from>
    <xdr:to>
      <xdr:col>14</xdr:col>
      <xdr:colOff>461770</xdr:colOff>
      <xdr:row>14</xdr:row>
      <xdr:rowOff>73875</xdr:rowOff>
    </xdr:to>
    <xdr:sp macro="" textlink="">
      <xdr:nvSpPr>
        <xdr:cNvPr id="7" name="Nuoli oikealle 6">
          <a:extLst>
            <a:ext uri="{FF2B5EF4-FFF2-40B4-BE49-F238E27FC236}">
              <a16:creationId xmlns:a16="http://schemas.microsoft.com/office/drawing/2014/main" id="{842642A4-5DE3-9070-6C63-2C50A1E5301C}"/>
            </a:ext>
          </a:extLst>
        </xdr:cNvPr>
        <xdr:cNvSpPr/>
      </xdr:nvSpPr>
      <xdr:spPr>
        <a:xfrm>
          <a:off x="9360671" y="1767993"/>
          <a:ext cx="473708" cy="661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i-FI"/>
        </a:p>
      </xdr:txBody>
    </xdr:sp>
    <xdr:clientData/>
  </xdr:twoCellAnchor>
  <xdr:twoCellAnchor>
    <xdr:from>
      <xdr:col>21</xdr:col>
      <xdr:colOff>76200</xdr:colOff>
      <xdr:row>3</xdr:row>
      <xdr:rowOff>30480</xdr:rowOff>
    </xdr:from>
    <xdr:to>
      <xdr:col>28</xdr:col>
      <xdr:colOff>60960</xdr:colOff>
      <xdr:row>23</xdr:row>
      <xdr:rowOff>106680</xdr:rowOff>
    </xdr:to>
    <xdr:graphicFrame macro="">
      <xdr:nvGraphicFramePr>
        <xdr:cNvPr id="3067223" name="Kaavio 11">
          <a:extLst>
            <a:ext uri="{FF2B5EF4-FFF2-40B4-BE49-F238E27FC236}">
              <a16:creationId xmlns:a16="http://schemas.microsoft.com/office/drawing/2014/main" id="{4888658C-2EE2-883E-9D6B-EC57B16CE9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20</xdr:col>
      <xdr:colOff>313366</xdr:colOff>
      <xdr:row>10</xdr:row>
      <xdr:rowOff>63162</xdr:rowOff>
    </xdr:from>
    <xdr:to>
      <xdr:col>20</xdr:col>
      <xdr:colOff>729427</xdr:colOff>
      <xdr:row>14</xdr:row>
      <xdr:rowOff>13215</xdr:rowOff>
    </xdr:to>
    <xdr:sp macro="" textlink="">
      <xdr:nvSpPr>
        <xdr:cNvPr id="9" name="Nuoli oikealle 8">
          <a:extLst>
            <a:ext uri="{FF2B5EF4-FFF2-40B4-BE49-F238E27FC236}">
              <a16:creationId xmlns:a16="http://schemas.microsoft.com/office/drawing/2014/main" id="{82C61914-DBCC-86DD-B1AE-F9879471D78D}"/>
            </a:ext>
          </a:extLst>
        </xdr:cNvPr>
        <xdr:cNvSpPr/>
      </xdr:nvSpPr>
      <xdr:spPr>
        <a:xfrm>
          <a:off x="14403725" y="1698720"/>
          <a:ext cx="473708" cy="661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i-FI"/>
        </a:p>
      </xdr:txBody>
    </xdr:sp>
    <xdr:clientData/>
  </xdr:twoCellAnchor>
  <xdr:twoCellAnchor>
    <xdr:from>
      <xdr:col>29</xdr:col>
      <xdr:colOff>60960</xdr:colOff>
      <xdr:row>3</xdr:row>
      <xdr:rowOff>30480</xdr:rowOff>
    </xdr:from>
    <xdr:to>
      <xdr:col>36</xdr:col>
      <xdr:colOff>68580</xdr:colOff>
      <xdr:row>23</xdr:row>
      <xdr:rowOff>99060</xdr:rowOff>
    </xdr:to>
    <xdr:graphicFrame macro="">
      <xdr:nvGraphicFramePr>
        <xdr:cNvPr id="3067225" name="Kaavio 11">
          <a:extLst>
            <a:ext uri="{FF2B5EF4-FFF2-40B4-BE49-F238E27FC236}">
              <a16:creationId xmlns:a16="http://schemas.microsoft.com/office/drawing/2014/main" id="{B07BAF86-2CB7-30A5-BA10-072F145638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28</xdr:col>
      <xdr:colOff>114321</xdr:colOff>
      <xdr:row>10</xdr:row>
      <xdr:rowOff>94286</xdr:rowOff>
    </xdr:from>
    <xdr:to>
      <xdr:col>28</xdr:col>
      <xdr:colOff>505063</xdr:colOff>
      <xdr:row>14</xdr:row>
      <xdr:rowOff>90392</xdr:rowOff>
    </xdr:to>
    <xdr:sp macro="" textlink="">
      <xdr:nvSpPr>
        <xdr:cNvPr id="11" name="Nuoli oikealle 10">
          <a:extLst>
            <a:ext uri="{FF2B5EF4-FFF2-40B4-BE49-F238E27FC236}">
              <a16:creationId xmlns:a16="http://schemas.microsoft.com/office/drawing/2014/main" id="{9E0A11DE-8398-3C8A-4186-98BB25C59BE6}"/>
            </a:ext>
          </a:extLst>
        </xdr:cNvPr>
        <xdr:cNvSpPr/>
      </xdr:nvSpPr>
      <xdr:spPr>
        <a:xfrm>
          <a:off x="19356725" y="1825720"/>
          <a:ext cx="473708" cy="67371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i-FI"/>
        </a:p>
      </xdr:txBody>
    </xdr:sp>
    <xdr:clientData/>
  </xdr:twoCellAnchor>
  <xdr:twoCellAnchor>
    <xdr:from>
      <xdr:col>37</xdr:col>
      <xdr:colOff>99060</xdr:colOff>
      <xdr:row>3</xdr:row>
      <xdr:rowOff>30480</xdr:rowOff>
    </xdr:from>
    <xdr:to>
      <xdr:col>42</xdr:col>
      <xdr:colOff>129540</xdr:colOff>
      <xdr:row>23</xdr:row>
      <xdr:rowOff>106680</xdr:rowOff>
    </xdr:to>
    <xdr:graphicFrame macro="">
      <xdr:nvGraphicFramePr>
        <xdr:cNvPr id="3067227" name="Kaavio 11">
          <a:extLst>
            <a:ext uri="{FF2B5EF4-FFF2-40B4-BE49-F238E27FC236}">
              <a16:creationId xmlns:a16="http://schemas.microsoft.com/office/drawing/2014/main" id="{7B3FFF86-23AE-0ED1-456A-F5E9F559DE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36</xdr:col>
      <xdr:colOff>175598</xdr:colOff>
      <xdr:row>10</xdr:row>
      <xdr:rowOff>96614</xdr:rowOff>
    </xdr:from>
    <xdr:to>
      <xdr:col>37</xdr:col>
      <xdr:colOff>3906</xdr:colOff>
      <xdr:row>14</xdr:row>
      <xdr:rowOff>75513</xdr:rowOff>
    </xdr:to>
    <xdr:sp macro="" textlink="">
      <xdr:nvSpPr>
        <xdr:cNvPr id="14" name="Nuoli oikealle 13">
          <a:extLst>
            <a:ext uri="{FF2B5EF4-FFF2-40B4-BE49-F238E27FC236}">
              <a16:creationId xmlns:a16="http://schemas.microsoft.com/office/drawing/2014/main" id="{A5BC1F92-418B-F981-F69B-A0297ED769BF}"/>
            </a:ext>
          </a:extLst>
        </xdr:cNvPr>
        <xdr:cNvSpPr/>
      </xdr:nvSpPr>
      <xdr:spPr>
        <a:xfrm>
          <a:off x="24324965" y="1780000"/>
          <a:ext cx="473708" cy="6669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i-FI"/>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133287</xdr:colOff>
      <xdr:row>1</xdr:row>
      <xdr:rowOff>103188</xdr:rowOff>
    </xdr:from>
    <xdr:to>
      <xdr:col>4</xdr:col>
      <xdr:colOff>1058448</xdr:colOff>
      <xdr:row>3</xdr:row>
      <xdr:rowOff>111125</xdr:rowOff>
    </xdr:to>
    <xdr:pic>
      <xdr:nvPicPr>
        <xdr:cNvPr id="2" name="Kuva 1">
          <a:extLst>
            <a:ext uri="{FF2B5EF4-FFF2-40B4-BE49-F238E27FC236}">
              <a16:creationId xmlns:a16="http://schemas.microsoft.com/office/drawing/2014/main" id="{5D15FC2D-D3F3-042E-4EC6-83F2CA77B404}"/>
            </a:ext>
          </a:extLst>
        </xdr:cNvPr>
        <xdr:cNvPicPr>
          <a:picLocks noChangeAspect="1"/>
        </xdr:cNvPicPr>
      </xdr:nvPicPr>
      <xdr:blipFill>
        <a:blip xmlns:r="http://schemas.openxmlformats.org/officeDocument/2006/relationships" r:embed="rId1"/>
        <a:stretch>
          <a:fillRect/>
        </a:stretch>
      </xdr:blipFill>
      <xdr:spPr>
        <a:xfrm>
          <a:off x="7570725" y="103188"/>
          <a:ext cx="925161" cy="4127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350520</xdr:colOff>
      <xdr:row>5</xdr:row>
      <xdr:rowOff>106680</xdr:rowOff>
    </xdr:from>
    <xdr:to>
      <xdr:col>9</xdr:col>
      <xdr:colOff>534439</xdr:colOff>
      <xdr:row>19</xdr:row>
      <xdr:rowOff>114300</xdr:rowOff>
    </xdr:to>
    <xdr:pic>
      <xdr:nvPicPr>
        <xdr:cNvPr id="1480541" name="Kuva 1">
          <a:extLst>
            <a:ext uri="{FF2B5EF4-FFF2-40B4-BE49-F238E27FC236}">
              <a16:creationId xmlns:a16="http://schemas.microsoft.com/office/drawing/2014/main" id="{27926962-35BD-D42B-C84C-5FF242C9D43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95800" y="967740"/>
          <a:ext cx="2895600" cy="2415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383540</xdr:colOff>
      <xdr:row>20</xdr:row>
      <xdr:rowOff>78740</xdr:rowOff>
    </xdr:from>
    <xdr:to>
      <xdr:col>5</xdr:col>
      <xdr:colOff>309399</xdr:colOff>
      <xdr:row>26</xdr:row>
      <xdr:rowOff>51449</xdr:rowOff>
    </xdr:to>
    <xdr:sp macro="" textlink="">
      <xdr:nvSpPr>
        <xdr:cNvPr id="3" name="Nuoli oikealle 2">
          <a:extLst>
            <a:ext uri="{FF2B5EF4-FFF2-40B4-BE49-F238E27FC236}">
              <a16:creationId xmlns:a16="http://schemas.microsoft.com/office/drawing/2014/main" id="{17E7AB7E-9843-49C2-5F58-EED4D17ACBB8}"/>
            </a:ext>
          </a:extLst>
        </xdr:cNvPr>
        <xdr:cNvSpPr/>
      </xdr:nvSpPr>
      <xdr:spPr>
        <a:xfrm>
          <a:off x="3571240" y="3576322"/>
          <a:ext cx="989753" cy="103889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i-FI"/>
        </a:p>
      </xdr:txBody>
    </xdr:sp>
    <xdr:clientData/>
  </xdr:twoCellAnchor>
  <xdr:twoCellAnchor>
    <xdr:from>
      <xdr:col>9</xdr:col>
      <xdr:colOff>178964</xdr:colOff>
      <xdr:row>20</xdr:row>
      <xdr:rowOff>100648</xdr:rowOff>
    </xdr:from>
    <xdr:to>
      <xdr:col>10</xdr:col>
      <xdr:colOff>454448</xdr:colOff>
      <xdr:row>26</xdr:row>
      <xdr:rowOff>51302</xdr:rowOff>
    </xdr:to>
    <xdr:sp macro="" textlink="">
      <xdr:nvSpPr>
        <xdr:cNvPr id="4" name="Nuoli oikealle 3">
          <a:extLst>
            <a:ext uri="{FF2B5EF4-FFF2-40B4-BE49-F238E27FC236}">
              <a16:creationId xmlns:a16="http://schemas.microsoft.com/office/drawing/2014/main" id="{E47594FC-9677-A939-FB09-9AD60013DB0E}"/>
            </a:ext>
          </a:extLst>
        </xdr:cNvPr>
        <xdr:cNvSpPr/>
      </xdr:nvSpPr>
      <xdr:spPr>
        <a:xfrm rot="10800000">
          <a:off x="7154333" y="3365501"/>
          <a:ext cx="1041400" cy="1016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i-FI"/>
        </a:p>
      </xdr:txBody>
    </xdr:sp>
    <xdr:clientData/>
  </xdr:twoCellAnchor>
  <xdr:twoCellAnchor>
    <xdr:from>
      <xdr:col>3</xdr:col>
      <xdr:colOff>616527</xdr:colOff>
      <xdr:row>1</xdr:row>
      <xdr:rowOff>124691</xdr:rowOff>
    </xdr:from>
    <xdr:to>
      <xdr:col>13</xdr:col>
      <xdr:colOff>62345</xdr:colOff>
      <xdr:row>5</xdr:row>
      <xdr:rowOff>6927</xdr:rowOff>
    </xdr:to>
    <xdr:sp macro="" textlink="">
      <xdr:nvSpPr>
        <xdr:cNvPr id="2" name="Tekstiruutu 1">
          <a:extLst>
            <a:ext uri="{FF2B5EF4-FFF2-40B4-BE49-F238E27FC236}">
              <a16:creationId xmlns:a16="http://schemas.microsoft.com/office/drawing/2014/main" id="{3F5E8194-B172-19ED-DF46-40C472C3D7F1}"/>
            </a:ext>
          </a:extLst>
        </xdr:cNvPr>
        <xdr:cNvSpPr txBox="1"/>
      </xdr:nvSpPr>
      <xdr:spPr>
        <a:xfrm>
          <a:off x="2445327" y="318655"/>
          <a:ext cx="6726382" cy="547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i-FI" sz="3200"/>
            <a:t>LOPULLINEN </a:t>
          </a:r>
          <a:r>
            <a:rPr lang="fi-FI" sz="3200" baseline="0"/>
            <a:t>MUUTOSRAJOITIN</a:t>
          </a:r>
          <a:endParaRPr lang="fi-FI" sz="32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247650</xdr:colOff>
      <xdr:row>5</xdr:row>
      <xdr:rowOff>187325</xdr:rowOff>
    </xdr:from>
    <xdr:to>
      <xdr:col>22</xdr:col>
      <xdr:colOff>381000</xdr:colOff>
      <xdr:row>43</xdr:row>
      <xdr:rowOff>127000</xdr:rowOff>
    </xdr:to>
    <xdr:sp macro="" textlink="">
      <xdr:nvSpPr>
        <xdr:cNvPr id="4" name="Tekstiruutu 3">
          <a:extLst>
            <a:ext uri="{FF2B5EF4-FFF2-40B4-BE49-F238E27FC236}">
              <a16:creationId xmlns:a16="http://schemas.microsoft.com/office/drawing/2014/main" id="{ACD40ED7-D2E7-4FE1-9EE9-7A3E6B27024D}"/>
            </a:ext>
          </a:extLst>
        </xdr:cNvPr>
        <xdr:cNvSpPr txBox="1"/>
      </xdr:nvSpPr>
      <xdr:spPr>
        <a:xfrm>
          <a:off x="10016067" y="1108075"/>
          <a:ext cx="9340850" cy="6448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500"/>
            </a:lnSpc>
          </a:pPr>
          <a:r>
            <a:rPr lang="fi-FI" sz="1600" baseline="0">
              <a:solidFill>
                <a:sysClr val="windowText" lastClr="000000"/>
              </a:solidFill>
            </a:rPr>
            <a:t>Katkoviiva = laskennallinen tasapainotila (ml. siirtymätasaus)</a:t>
          </a:r>
        </a:p>
        <a:p>
          <a:pPr>
            <a:lnSpc>
              <a:spcPts val="1500"/>
            </a:lnSpc>
          </a:pPr>
          <a:r>
            <a:rPr lang="fi-FI" sz="1600" baseline="0">
              <a:solidFill>
                <a:schemeClr val="tx2">
                  <a:lumMod val="60000"/>
                  <a:lumOff val="40000"/>
                </a:schemeClr>
              </a:solidFill>
            </a:rPr>
            <a:t>Sininen palkki = laskennallinen tasapainotila (ilman siirtymätasausta)</a:t>
          </a:r>
        </a:p>
        <a:p>
          <a:pPr>
            <a:lnSpc>
              <a:spcPts val="1500"/>
            </a:lnSpc>
          </a:pPr>
          <a:r>
            <a:rPr lang="fi-FI" sz="1600" baseline="0">
              <a:solidFill>
                <a:srgbClr val="00B050"/>
              </a:solidFill>
            </a:rPr>
            <a:t>Vihreä palkki = positiivinen siirtymätasaus joka parantaa tasapainoa</a:t>
          </a:r>
        </a:p>
        <a:p>
          <a:pPr>
            <a:lnSpc>
              <a:spcPts val="1500"/>
            </a:lnSpc>
          </a:pPr>
          <a:r>
            <a:rPr lang="fi-FI" sz="1600" baseline="0">
              <a:solidFill>
                <a:srgbClr val="FF0000"/>
              </a:solidFill>
            </a:rPr>
            <a:t>Punainen palkki = negatiivinen siirtymätasaus joka heikentää tasapainoa</a:t>
          </a:r>
        </a:p>
        <a:p>
          <a:pPr>
            <a:lnSpc>
              <a:spcPts val="1500"/>
            </a:lnSpc>
          </a:pPr>
          <a:r>
            <a:rPr lang="fi-FI" sz="1600" baseline="0">
              <a:solidFill>
                <a:schemeClr val="tx1">
                  <a:lumMod val="50000"/>
                  <a:lumOff val="50000"/>
                </a:schemeClr>
              </a:solidFill>
            </a:rPr>
            <a:t>Harmaat palkit = kuluvan vuoden (2023) vos-maksatukseen lukittu siirtolaskelma joka ei enää muutu</a:t>
          </a:r>
        </a:p>
        <a:p>
          <a:pPr>
            <a:lnSpc>
              <a:spcPts val="1500"/>
            </a:lnSpc>
          </a:pPr>
          <a:endParaRPr lang="fi-FI" sz="1600" baseline="0">
            <a:solidFill>
              <a:sysClr val="windowText" lastClr="000000"/>
            </a:solidFill>
          </a:endParaRPr>
        </a:p>
        <a:p>
          <a:pPr>
            <a:lnSpc>
              <a:spcPts val="1500"/>
            </a:lnSpc>
          </a:pPr>
          <a:r>
            <a:rPr lang="fi-FI" sz="1600" baseline="0">
              <a:solidFill>
                <a:sysClr val="windowText" lastClr="000000"/>
              </a:solidFill>
            </a:rPr>
            <a:t>Laskennallisen tasapainon muutokset rajataan uudistuksessa 60 euroon asukasta kohden. Siirtymätasaus varmistaa sen, että muutokset pysyvät sallitun vaihteluvälin puitteissa.</a:t>
          </a:r>
        </a:p>
        <a:p>
          <a:pPr>
            <a:lnSpc>
              <a:spcPts val="1500"/>
            </a:lnSpc>
          </a:pPr>
          <a:endParaRPr lang="fi-FI" sz="1600" baseline="0">
            <a:solidFill>
              <a:sysClr val="windowText" lastClr="000000"/>
            </a:solidFill>
          </a:endParaRPr>
        </a:p>
        <a:p>
          <a:pPr>
            <a:lnSpc>
              <a:spcPts val="1500"/>
            </a:lnSpc>
          </a:pPr>
          <a:r>
            <a:rPr lang="fi-FI" sz="1600" baseline="0">
              <a:solidFill>
                <a:sysClr val="windowText" lastClr="000000"/>
              </a:solidFill>
            </a:rPr>
            <a:t>Vuoden 2023 valtionosuusmaksatus (harmaa palkki) perustuu ennakolliseen siirtolaskelmaan joka laadittiin loppuvuodesta 2022. Vuoden 2023 palkit on esitetty harmaana koska kyseiselle vuodelle ei enää tehdä muutoksia kuluvan vuoden aikana. Vuoden 2023 valtionosuus oikaistaan takautuvasti vuosina 2024 ja 2025 kun lopulliset siirtolaskelmat tarkistetaan. Voit simuloida Jakoavaimella lopputarkistuksen vaikutuksia.</a:t>
          </a:r>
        </a:p>
        <a:p>
          <a:pPr>
            <a:lnSpc>
              <a:spcPts val="1500"/>
            </a:lnSpc>
          </a:pPr>
          <a:endParaRPr lang="fi-FI" sz="1600" baseline="0">
            <a:solidFill>
              <a:sysClr val="windowText" lastClr="000000"/>
            </a:solidFill>
          </a:endParaRPr>
        </a:p>
        <a:p>
          <a:pPr>
            <a:lnSpc>
              <a:spcPts val="1500"/>
            </a:lnSpc>
          </a:pPr>
          <a:r>
            <a:rPr lang="fi-FI" sz="1600" baseline="0">
              <a:solidFill>
                <a:sysClr val="windowText" lastClr="000000"/>
              </a:solidFill>
            </a:rPr>
            <a:t>Kuvion tasapainossa on huomioitu myös tasasuuruinen (€/as) kaikille kunnille tuleva valtionosuusvähennys sekä vuosille 2024 ja 2025 kohdistuva takautuva valtionosuuden takaisinperintä vuodelta 2023. Sen vuoksi tasapaino notkahtaa joillakin kunnilla vuosina 2024 ja 2025.</a:t>
          </a:r>
        </a:p>
        <a:p>
          <a:pPr>
            <a:lnSpc>
              <a:spcPts val="1500"/>
            </a:lnSpc>
          </a:pPr>
          <a:endParaRPr lang="fi-FI" sz="1600" baseline="0">
            <a:solidFill>
              <a:sysClr val="windowText" lastClr="000000"/>
            </a:solidFill>
          </a:endParaRPr>
        </a:p>
        <a:p>
          <a:pPr>
            <a:lnSpc>
              <a:spcPts val="1500"/>
            </a:lnSpc>
          </a:pPr>
          <a:r>
            <a:rPr lang="fi-FI" sz="1600" baseline="0">
              <a:solidFill>
                <a:sysClr val="windowText" lastClr="000000"/>
              </a:solidFill>
            </a:rPr>
            <a:t>Katkoviiva kuvaa siirtymätasauksen (sekä muiden erien) vaikutuksen tasapainoon. Vihreä palkkina näkyvä siirtymätasaus parantaa kunnan tasapainotilaa eli varmistaa sen, ettei sote-uudistus heikennä liikaa kunnan tasapainotilaa. Punaisena palkkina näkyvä siirtymätasaus varmistaa vastaavasti taas, ettei sote-uudistus paranna kunnan tasapainotilaa sallittuja rajoja enemmän.</a:t>
          </a:r>
        </a:p>
        <a:p>
          <a:pPr>
            <a:lnSpc>
              <a:spcPts val="1500"/>
            </a:lnSpc>
          </a:pPr>
          <a:endParaRPr lang="fi-FI" sz="1600" baseline="0">
            <a:solidFill>
              <a:srgbClr val="FF0000"/>
            </a:solidFill>
          </a:endParaRPr>
        </a:p>
        <a:p>
          <a:pPr>
            <a:lnSpc>
              <a:spcPts val="1500"/>
            </a:lnSpc>
          </a:pPr>
          <a:r>
            <a:rPr lang="fi-FI" sz="1600" baseline="0">
              <a:solidFill>
                <a:sysClr val="windowText" lastClr="000000"/>
              </a:solidFill>
            </a:rPr>
            <a:t>Siirtolaskelmissa ja Jakoavaimessa kuvattu tasapainotila (katkoviiva) on usemmastakin syystä laskennallinen. Ensinnäkin tiedot perustuvat vuoden 2022 tasoon eli verotulot ovat vuoden 2022 maksuunpantuja verotuloja eikä ne sisällä esimerkiksi vuoden 2023 veroennustetta. Sama pätee myös kuluihin. Ne ovat vuoden 2022 kuluja joista on vähennetty siirtyvien tehtävien kulut (kulujen keskiarvo vuosilta 2021 ja 2022 on korotettu 2022 vuoden tasoon). Kaikki tiedot kuvaavat siten uudistuksen voimaantulon poikkileikkaustilannetta. Tästä johtuen </a:t>
          </a:r>
          <a:r>
            <a:rPr lang="fi-FI" sz="1600" b="1" baseline="0">
              <a:solidFill>
                <a:sysClr val="windowText" lastClr="000000"/>
              </a:solidFill>
            </a:rPr>
            <a:t>siirtolaskelma ja Jakoavain kuvaavat vain sote-uudistuksen vaikutusta</a:t>
          </a:r>
          <a:r>
            <a:rPr lang="fi-FI" sz="1600" baseline="0">
              <a:solidFill>
                <a:sysClr val="windowText" lastClr="000000"/>
              </a:solidFill>
            </a:rPr>
            <a:t>. Esimerkiksi väestömuutos, talouskasvu ja työllisyysmuutokset jäävät tämän tarkastelun ulkopuolella. Taloussuunnittelun kannalta siirtolaskelmien ja Jakoavaimen keskeisin anti on siinä, että voit simuloida esimerkiksi lopputarkistuksen suuruutta kunnan valtionosuuksiin ennen virallisten laskelmien julkaisua.</a:t>
          </a:r>
        </a:p>
        <a:p>
          <a:pPr>
            <a:lnSpc>
              <a:spcPts val="1500"/>
            </a:lnSpc>
          </a:pPr>
          <a:endParaRPr lang="fi-FI" sz="1600" baseline="0">
            <a:solidFill>
              <a:srgbClr val="FF0000"/>
            </a:solidFill>
          </a:endParaRPr>
        </a:p>
      </xdr:txBody>
    </xdr:sp>
    <xdr:clientData/>
  </xdr:twoCellAnchor>
  <xdr:twoCellAnchor>
    <xdr:from>
      <xdr:col>0</xdr:col>
      <xdr:colOff>302714</xdr:colOff>
      <xdr:row>10</xdr:row>
      <xdr:rowOff>29089</xdr:rowOff>
    </xdr:from>
    <xdr:to>
      <xdr:col>7</xdr:col>
      <xdr:colOff>137583</xdr:colOff>
      <xdr:row>41</xdr:row>
      <xdr:rowOff>10583</xdr:rowOff>
    </xdr:to>
    <xdr:graphicFrame macro="">
      <xdr:nvGraphicFramePr>
        <xdr:cNvPr id="6" name="Kaavio 1">
          <a:extLst>
            <a:ext uri="{FF2B5EF4-FFF2-40B4-BE49-F238E27FC236}">
              <a16:creationId xmlns:a16="http://schemas.microsoft.com/office/drawing/2014/main" id="{48885CD7-01E3-4599-A968-2795A229BF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4434840</xdr:colOff>
      <xdr:row>1</xdr:row>
      <xdr:rowOff>30480</xdr:rowOff>
    </xdr:from>
    <xdr:to>
      <xdr:col>5</xdr:col>
      <xdr:colOff>5623560</xdr:colOff>
      <xdr:row>4</xdr:row>
      <xdr:rowOff>0</xdr:rowOff>
    </xdr:to>
    <xdr:pic>
      <xdr:nvPicPr>
        <xdr:cNvPr id="3904" name="Kuva 1">
          <a:extLst>
            <a:ext uri="{FF2B5EF4-FFF2-40B4-BE49-F238E27FC236}">
              <a16:creationId xmlns:a16="http://schemas.microsoft.com/office/drawing/2014/main" id="{2E61F972-55B8-BF82-89D8-FCA85B6A9A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71860" y="198120"/>
          <a:ext cx="1188720"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5554980</xdr:colOff>
      <xdr:row>2</xdr:row>
      <xdr:rowOff>30480</xdr:rowOff>
    </xdr:from>
    <xdr:to>
      <xdr:col>4</xdr:col>
      <xdr:colOff>6720840</xdr:colOff>
      <xdr:row>4</xdr:row>
      <xdr:rowOff>144780</xdr:rowOff>
    </xdr:to>
    <xdr:pic>
      <xdr:nvPicPr>
        <xdr:cNvPr id="4927" name="Kuva 1">
          <a:extLst>
            <a:ext uri="{FF2B5EF4-FFF2-40B4-BE49-F238E27FC236}">
              <a16:creationId xmlns:a16="http://schemas.microsoft.com/office/drawing/2014/main" id="{38DADCA9-6ABB-A19A-C271-ED73F3FB6F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734800" y="411480"/>
          <a:ext cx="116586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13</xdr:col>
      <xdr:colOff>114300</xdr:colOff>
      <xdr:row>8</xdr:row>
      <xdr:rowOff>99060</xdr:rowOff>
    </xdr:from>
    <xdr:to>
      <xdr:col>20</xdr:col>
      <xdr:colOff>60960</xdr:colOff>
      <xdr:row>15</xdr:row>
      <xdr:rowOff>106680</xdr:rowOff>
    </xdr:to>
    <xdr:pic>
      <xdr:nvPicPr>
        <xdr:cNvPr id="1034586" name="Kuva 2">
          <a:extLst>
            <a:ext uri="{FF2B5EF4-FFF2-40B4-BE49-F238E27FC236}">
              <a16:creationId xmlns:a16="http://schemas.microsoft.com/office/drawing/2014/main" id="{C70F4751-235E-C4F0-C399-056C061249A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13620" y="1440180"/>
          <a:ext cx="421386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Mehtonen Mikko" id="{FA4D684B-3704-4C6B-B340-1304A3D47770}" userId="S::Mikko.Mehtonen@kuntaliitto.fi::69bd3d20-143f-48ed-a68c-c6569ca4261c" providerId="AD"/>
</personList>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4" dT="2023-01-17T11:37:57.01" personId="{FA4D684B-3704-4C6B-B340-1304A3D47770}" id="{35BA52BF-2B31-4ABB-9471-5DCF2D583485}">
    <text>Lähde: Tilastokeskus (tp- ja väestötiedot), VM(siirtolaskelma marraskuu 2022) ja Kuntaliitto(muut laskelmat)</text>
  </threadedComment>
  <threadedComment ref="D8" dT="2023-01-17T11:11:34.43" personId="{FA4D684B-3704-4C6B-B340-1304A3D47770}" id="{E8874A58-AEE5-4FCD-8E41-BDA49ADA4A3F}">
    <text>Vuoden 2023 valtionosuusmaksatusta varten laskettu siirtolaskelma, joka ei muutu vuoden 2023 aikana, mutta joka peritään takaisin tai hyvitetään vuosina 2024 ja 2025. Ks. Rivi 58. Lopputarkistus lasketaan koko maan tasoisesti, ei kuntakohtaisesti.</text>
  </threadedComment>
  <threadedComment ref="A29" dT="2023-03-16T10:57:03.45" personId="{FA4D684B-3704-4C6B-B340-1304A3D47770}" id="{14F851E8-FB80-460E-86AB-E4139D454765}">
    <text>Sisältäen verotuskustannusten alenema vuodesta 2023 alkaen.</text>
  </threadedComment>
  <threadedComment ref="C29" dT="2022-12-08T12:21:52.93" personId="{FA4D684B-3704-4C6B-B340-1304A3D47770}" id="{2ACBCEE9-74B4-4D37-9AFB-81C7E81619A7}">
    <text>Jakoavain laskee toimintakatteen kahden luvun keskiarvona joka korotetaan vuoden 2022 tasoon kertoimella . Jakoavain laskee keskiarvon alla olevista laatikoista.</text>
  </threadedComment>
  <threadedComment ref="C29" dT="2023-01-17T11:05:36.46" personId="{FA4D684B-3704-4C6B-B340-1304A3D47770}" id="{16118969-AF09-46C7-BFA0-6FA54E73272D}" parentId="{2ACBCEE9-74B4-4D37-9AFB-81C7E81619A7}">
    <text>Siirtyvä toimintakate lasketaan kuntien ilmoittamista tiedoista. Se lasketaan ottamalla siirtyvien tehtävien nettokulujen keskiarvo vuosilta 2021 ja 2022. Keskiarvo kerrotaan korotuskertoimella vuoden 2022 tasoon. Tämä sen vuoksi, että laskelmat on määrätty tehtäväksi vuoden 2022 tasossa. Keskiarvon käyttäminen vähentää kuitenkin yksittäisten kuntien kulujen heilahtelun vaikutuksia. Kunnat ovat ilmoittaneet vuoden 2021 kustannukset KKTPP raportin yhteydessä Valtiokonttorille. Alustavassa laskelmassa vuoden 2022 kulutietona käytetään talousarviotietoa, jonka Tilastokeskus on kerännyt vuoden 2022 alussa. Siirtolaskelmien lopputarkistuksessa TA2022 tieto korvataan TP2022 tiedolla. Voit simuloida lopputarkistuksen vaikutusta syöttämällä soluihin C34 ja C35 tilinpäätöksen 2022 mukaiset nettokulut (toimintakate). Poistot on syötetty riville 68.</text>
  </threadedComment>
  <threadedComment ref="C34" dT="2022-12-08T12:21:20.25" personId="{FA4D684B-3704-4C6B-B340-1304A3D47770}" id="{C0175BCE-348E-462C-8221-10F8920F4E0C}">
    <text>Voit täyttää tähän vuoden 2022 tilinpäätöstä vastaavan luvun. Jakoavain laskee siirtolaskelmissa käytettävän keskiarvon. Syötä tähän toimintakate + poistot.</text>
  </threadedComment>
  <threadedComment ref="C34" dT="2023-03-16T07:34:44.76" personId="{FA4D684B-3704-4C6B-B340-1304A3D47770}" id="{DEA07AE5-A3A7-4F5B-914E-1C98B9706BC8}" parentId="{C0175BCE-348E-462C-8221-10F8920F4E0C}">
    <text>Esitäytetty tilinpäätösarvio 2022 mukaiset kulut.</text>
  </threadedComment>
  <threadedComment ref="C34" dT="2023-03-16T10:37:10.75" personId="{FA4D684B-3704-4C6B-B340-1304A3D47770}" id="{4850B621-CE93-46EA-9F0E-D961177F9BCC}" parentId="{C0175BCE-348E-462C-8221-10F8920F4E0C}">
    <text>Muutos: poistoja ei enää eritellä alempana vaan ne sisältyvät tähän.</text>
  </threadedComment>
  <threadedComment ref="C35" dT="2023-02-06T10:42:07.74" personId="{FA4D684B-3704-4C6B-B340-1304A3D47770}" id="{5018C8E3-3B3C-4E25-803B-D63BC2B78538}">
    <text>Voit täyttää tähän vuoden 2022 tilinpäätöstä vastaavan luvun. Jakoavain laskee siirtolaskelmissa käytettävän keskiarvon. Syötä tähän toimintakate + poistot.</text>
  </threadedComment>
  <threadedComment ref="C35" dT="2023-03-16T07:34:49.28" personId="{FA4D684B-3704-4C6B-B340-1304A3D47770}" id="{A6806185-3564-450B-9DDB-85913C48C684}" parentId="{5018C8E3-3B3C-4E25-803B-D63BC2B78538}">
    <text>Esitäytetty tilinpäätösarvio 2022 mukaiset kulut.</text>
  </threadedComment>
  <threadedComment ref="C35" dT="2023-03-16T10:37:22.01" personId="{FA4D684B-3704-4C6B-B340-1304A3D47770}" id="{BA9CD627-C4D6-45E0-9BAB-A954ED2AF131}" parentId="{5018C8E3-3B3C-4E25-803B-D63BC2B78538}">
    <text>Muutos: poistoja ei enää eritellä alempana vaan ne sisältyvät tähän.</text>
  </threadedComment>
  <threadedComment ref="B38" dT="2023-01-17T11:16:50.12" personId="{FA4D684B-3704-4C6B-B340-1304A3D47770}" id="{91904040-C26E-4221-8790-DE2D804778EA}">
    <text>Siirtolaskelmissa käytetään maksuunpantuja verotuloja. Verotulojen tietopohja lukittiin peruspalveluiden valtionosuusasetuksessa. Maksuunpannut verotulot kuvaavat poikkileikkaustilannetta kuten myös siirrettävät kulut sekä valtionosuudet.</text>
  </threadedComment>
  <threadedComment ref="B38" dT="2023-01-17T11:17:13.21" personId="{FA4D684B-3704-4C6B-B340-1304A3D47770}" id="{E4E9A78D-C707-4050-B42B-3B586511059D}" parentId="{91904040-C26E-4221-8790-DE2D804778EA}">
    <text>Myös verotiedot päivitetään siirtolaskelmassa vastaamaan lopullista. Siirtolaskelman lopputarkistuksessa käytetään vuoden 2022 lopullisia maksuunpantuja veroja siten, että siirtyvä kunnallisvero vastaa 12,64 prosenttiyksikön leikkausta kun taas siirtyvä yhteisövero vastaa 1/3 osaa kunnan yhteisöveroista.</text>
  </threadedComment>
  <threadedComment ref="B39" dT="2022-12-21T06:39:47.57" personId="{FA4D684B-3704-4C6B-B340-1304A3D47770}" id="{B16388A7-B995-4981-820A-DF16E5976BDA}">
    <text>Voit täyttää tähän päivitetyn arvion kunnan verotuloista. Syötä maksuunpannut kunnallisverot vuonna 2022.</text>
  </threadedComment>
  <threadedComment ref="B39" dT="2023-01-17T11:09:43.57" personId="{FA4D684B-3704-4C6B-B340-1304A3D47770}" id="{128DBD67-F7F1-4977-8861-4BF8FEEBAFFF}" parentId="{B16388A7-B995-4981-820A-DF16E5976BDA}">
    <text>syötä kehikosta: välilehti A1, solu I62</text>
  </threadedComment>
  <threadedComment ref="B39" dT="2023-01-17T11:18:24.02" personId="{FA4D684B-3704-4C6B-B340-1304A3D47770}" id="{CE82CCC8-408E-4905-BD9D-1E6A97E66E40}" parentId="{B16388A7-B995-4981-820A-DF16E5976BDA}">
    <text>Jakoavain laskee automaattisesti valitun kunnan siirtyvät verotulot.</text>
  </threadedComment>
  <threadedComment ref="B39" dT="2023-03-16T11:54:32.02" personId="{FA4D684B-3704-4C6B-B340-1304A3D47770}" id="{4B5684E0-EAA1-4ACC-BAC3-46E106948280}" parentId="{B16388A7-B995-4981-820A-DF16E5976BDA}">
    <text>Tässä on nyt esitäytettynä kehikon MP2022 luku. Verotuloarviot tarkentuvat kesäkuussa. Nyt käytössä olevat arviot saattavat vielä muuttua merkittävästi.</text>
  </threadedComment>
  <threadedComment ref="B40" dT="2022-12-29T12:45:35.14" personId="{FA4D684B-3704-4C6B-B340-1304A3D47770}" id="{5CDCB149-ECAF-45D8-86EB-B0C388B43562}">
    <text>Voit täyttää tähän päivitetyn arvion kunnan verotuloista. Syötä maksuunpannut yhteisöverotulot vuonna 2022.</text>
  </threadedComment>
  <threadedComment ref="B40" dT="2023-01-17T11:09:57.72" personId="{FA4D684B-3704-4C6B-B340-1304A3D47770}" id="{70E5A4A9-EBB9-42E3-879A-B1206587BD8E}" parentId="{5CDCB149-ECAF-45D8-86EB-B0C388B43562}">
    <text>syötä kehikosta: välilehti "B1ja2", solu I12</text>
  </threadedComment>
  <threadedComment ref="B40" dT="2023-01-17T11:20:46.60" personId="{FA4D684B-3704-4C6B-B340-1304A3D47770}" id="{F6296EAB-9232-45F7-84D3-688A873D977B}" parentId="{5CDCB149-ECAF-45D8-86EB-B0C388B43562}">
    <text>Jakoavain laskee automaattisesti valitun kunnan siirtyvät verotulot.</text>
  </threadedComment>
  <threadedComment ref="B40" dT="2023-03-16T11:54:36.71" personId="{FA4D684B-3704-4C6B-B340-1304A3D47770}" id="{6FA263EB-C4B3-4EBF-AAD3-6A0AE8895D80}" parentId="{5CDCB149-ECAF-45D8-86EB-B0C388B43562}">
    <text xml:space="preserve">Tässä on nyt esitäytettynä kehikon MP2022 luku. Verotuloarviot tarkentuvat kesäkuussa. Nyt käytössä olevat arviot saattavat vielä muuttua merkittävästi.
</text>
  </threadedComment>
  <threadedComment ref="C47" dT="2023-01-17T11:32:20.87" personId="{FA4D684B-3704-4C6B-B340-1304A3D47770}" id="{340AE68A-C3D7-4804-8BC5-A8BCE5A166FA}">
    <text>Huomio myös se, että veroennustekehikossa vuoden 2023 maksuunpantuihin verotuloihin on arvioitu myös esimerkiksi ansiotulojen kehitys 2022-&gt;2023, kun taas siirtolaskelmat tehdään aina 2022 tasossa. Toki siirtolaskelmissa huomioidaan verovähennyksissä tapahtuvat muutokset mutta niissä ei huomioida esimerkiksi väestössä tai työllisyydessä tapahtuvia muutoksia 2022 ja 2023 vuosien välillä.</text>
  </threadedComment>
  <threadedComment ref="C47" dT="2023-01-17T11:32:33.63" personId="{FA4D684B-3704-4C6B-B340-1304A3D47770}" id="{3D17F79F-7434-4FB7-B7AB-EBCA8865C2EC}" parentId="{340AE68A-C3D7-4804-8BC5-A8BCE5A166FA}">
    <text>Näistä syistä johtuen veroennustekehikon ja siirtolaskelmien maksuunpannut verotulot eivät ole täysin  vertailukelpoisia vuoden 2023 osalta. Jos simuloit jakoavaimella eri suuruisten maksunpantujen verotulojen vaikutusta, huomioi, että verotulot tulee olla siirtolaskelmissa aina vuoden 2022 tasossa eli laskettuna vuoden 2022 maksuunpannuista verotuloista (kehikossa välilehti A.1, solu I62).</text>
  </threadedComment>
  <threadedComment ref="C47" dT="2023-03-16T11:55:47.69" personId="{FA4D684B-3704-4C6B-B340-1304A3D47770}" id="{DBEA63F8-0C22-4B84-9D97-3FC89CA5207B}" parentId="{340AE68A-C3D7-4804-8BC5-A8BCE5A166FA}">
    <text>Jakoavain laskee keltaisesta solusta siirtyvät verotulot.</text>
  </threadedComment>
  <threadedComment ref="C48" dT="2023-03-16T11:55:53.09" personId="{FA4D684B-3704-4C6B-B340-1304A3D47770}" id="{31F966BE-33A6-46C8-AB2E-7B71FD54C297}">
    <text>Jakoavain laskee keltaisesta solusta siirtyvät verotulot.</text>
  </threadedComment>
  <threadedComment ref="A55" dT="2023-01-17T11:32:57.91" personId="{FA4D684B-3704-4C6B-B340-1304A3D47770}" id="{4E2AF42A-DB62-4C52-A6D5-298EF130EF80}">
    <text>Sote-uudistus sisältää kaksi kuntakohtaista tasauselementtiä: muutosrajoittimen sekä siirtymätasauksen. Molemmat jäävät osaksi valtionosuutta ja niitä ei päivitetä enää lopputarkistuksen jälkeen.</text>
  </threadedComment>
  <threadedComment ref="A55" dT="2023-01-17T11:33:06.58" personId="{FA4D684B-3704-4C6B-B340-1304A3D47770}" id="{2290B905-5A0C-4B32-B401-5EB034382543}" parentId="{4E2AF42A-DB62-4C52-A6D5-298EF130EF80}">
    <text>Näillä tasauselementeillä uudistuksen talousvaikutus tasataan yksittäiselle kunnalle.</text>
  </threadedComment>
  <threadedComment ref="A55" dT="2023-03-17T07:57:39.55" personId="{FA4D684B-3704-4C6B-B340-1304A3D47770}" id="{7E45FDD0-3E18-4EF7-9AF1-3E29D93DD0E2}" parentId="{4E2AF42A-DB62-4C52-A6D5-298EF130EF80}">
    <text>Muutosrajoitin siirtolaskelmista vos-laskelmien pysyväksi eräksi.</text>
  </threadedComment>
  <threadedComment ref="A56" dT="2023-03-17T07:57:52.43" personId="{FA4D684B-3704-4C6B-B340-1304A3D47770}" id="{2C866C0B-8A80-4825-A873-7176E6441C6D}">
    <text>Siirtymätasaus siirtolaskelmista vos-laskelmien pysyväksi eräksi.</text>
  </threadedComment>
  <threadedComment ref="A57" dT="2023-01-17T11:34:08.30" personId="{FA4D684B-3704-4C6B-B340-1304A3D47770}" id="{6124946F-6692-4A7F-B28E-7828D381DB0A}">
    <text>Siirtolaskelmien lopputarkistuksessa kunnilta leikataan yhtäsuuruinen €/asukas vähennys valtionosuuksista. Tällä katetaan hyvinvointialueiden rahoitustarve koko maan tasolla. Tasasuuruinen vähennys huomioidaan osana muutosrajoitinta ja siirtyviä tuottoja. Ylimenevä osa vaikuttaa kuntakohtaisesti ja näkyy kunnan muutosrajoittimessa siirtyvänä tulona (ks. välilehti Muutosrajoitin (lopullinen)). Lopputarkistuksen suuruus tarkentuu myöhemmin. Lopputarkistus otetaan 1,5-kertaisena vuosilta 2024 ja 2025, koska vuoden 2023 ylimääräisesti maksettu valtionosuus peritään takaisin (tai hyvitetään jos maksettu liian vähän). Vuodesta 2026 lähtien tasasuuruinen leikkaus jää pysyväksi (ilman korotusta) osaksi valtionosuutta. Näillä näkymin siirtolaskelmien lopputarkistuksen kaikille yhteinen vos-vähennys tulisi olemaan n. 40 euroa asukasta kohden.</text>
  </threadedComment>
  <threadedComment ref="A57" dT="2023-01-31T12:50:12.54" personId="{FA4D684B-3704-4C6B-B340-1304A3D47770}" id="{AFF1A73E-2087-4A18-97D7-4C7FE68BE393}" parentId="{6124946F-6692-4A7F-B28E-7828D381DB0A}">
    <text>Tasasuuruisen leikkauksen suuruutta voi simuloida syöttämällä (€/asukas) summan soluun B95.</text>
  </threadedComment>
  <threadedComment ref="A58" dT="2023-01-17T11:34:46.10" personId="{FA4D684B-3704-4C6B-B340-1304A3D47770}" id="{6BAF4501-4221-4D67-B0F9-D7BD550F7980}">
    <text xml:space="preserve">Takaisinperintä toteutetaan kaikille kunnille yhteisenä (€/asukas) vähennyksenä. Kuntakohtaista muutosrajoitinta ja siirtymätasausta ei peritä takaisin tai hyvitetä. </text>
  </threadedComment>
  <threadedComment ref="A58" dT="2023-01-17T11:36:42.66" personId="{FA4D684B-3704-4C6B-B340-1304A3D47770}" id="{BF773C88-587B-474F-B1D1-FC057B6A2BC3}" parentId="{6BAF4501-4221-4D67-B0F9-D7BD550F7980}">
    <text>Lopputarkistuksen ja takaisinperinnän lopullinen suuruus selviää syksyllä 2023.</text>
  </threadedComment>
  <threadedComment ref="A69" dT="2023-03-16T10:35:48.89" personId="{FA4D684B-3704-4C6B-B340-1304A3D47770}" id="{D869D6A7-600B-41A4-9863-0A668B9812CE}">
    <text>Poistot huomioidaan yllä siirtyvissä nettokäyttökuluissa (toimintakate+poistot).</text>
  </threadedComment>
  <threadedComment ref="A73" dT="2023-01-18T10:42:28.11" personId="{FA4D684B-3704-4C6B-B340-1304A3D47770}" id="{73094CF6-B1A2-4B34-835F-4547C3D66280}">
    <text>Tilikauden tulos vastaa tässä siirtolaskelmien tasapainoa eli se on laskennallinen. Tulos ei vastaa tilinpäätöksen mukaista tulosta esimerkiksi sen vuoksi, että verotulot pohjautuvat maksuunpantuihin veroihin, ei tilitettyihin kirjanpidon ja tilinpäätöksen mukaisiin verotuloihin. Tilikauden tuloksen  muutos kuitenkin kuvaa todellista tulosvaikutusta.</text>
  </threadedComment>
  <threadedComment ref="A84" dT="2023-03-28T07:51:28.39" personId="{FA4D684B-3704-4C6B-B340-1304A3D47770}" id="{371B32DD-50D1-4A37-9067-7DBDC1128B3F}">
    <text>Alkuperäinen: viimeisin VM:n sote-siirtolaskelma</text>
  </threadedComment>
  <threadedComment ref="A90" dT="2023-03-28T07:51:34.07" personId="{FA4D684B-3704-4C6B-B340-1304A3D47770}" id="{F801E6FE-ECDE-4B3A-A6BB-888CE84AF289}">
    <text>Alkuperäinen: viimeisin VM:n sote-siirtolaskelma</text>
  </threadedComment>
  <threadedComment ref="B95" dT="2023-01-31T12:52:20.10" personId="{FA4D684B-3704-4C6B-B340-1304A3D47770}" id="{33AFAC98-168F-49D4-AAE5-1F009E548B4D}">
    <text>Tasasuuruinen vos-leikkaus lasketaan koko maan tasolla siten, että hyvinvointialueille siirtyviä kuluja verrataan kunnilta siirtyvään rahoitukseen. Mikäli siirtyvä rahoitus ei riitä kattamaan siirtyviä kuluja koko maan tasolla, leikataan kaikilta kunnilta yhtä suuruinen €/asukas vähennys. Tämä huomioidaan osaksi muutosrajoitinta. Tämän lisäksi kuntakohtainen muutosrajoitin sekä siirtymätasaus lasketaan uusiksi. Jakoavain tekee nämä laskelmat.</text>
  </threadedComment>
  <threadedComment ref="B95" dT="2023-01-31T12:54:10.64" personId="{FA4D684B-3704-4C6B-B340-1304A3D47770}" id="{D0295B16-B8E3-4C65-823E-CAEC88B318EF}" parentId="{33AFAC98-168F-49D4-AAE5-1F009E548B4D}">
    <text>Laita miinusmerkki luvun eteen, muutoin Jakoavain tulkitsee arvon hyvitykseksi.</text>
  </threadedComment>
  <threadedComment ref="B95" dT="2023-03-16T07:35:45.79" personId="{FA4D684B-3704-4C6B-B340-1304A3D47770}" id="{A353012A-353B-4474-8399-534893A93F4A}" parentId="{33AFAC98-168F-49D4-AAE5-1F009E548B4D}">
    <text>Esitäyttönä Kuntaliiton (16.3) arvion mukainen leikkaus.</text>
  </threadedComment>
</ThreadedComments>
</file>

<file path=xl/threadedComments/threadedComment2.xml><?xml version="1.0" encoding="utf-8"?>
<ThreadedComments xmlns="http://schemas.microsoft.com/office/spreadsheetml/2018/threadedcomments" xmlns:x="http://schemas.openxmlformats.org/spreadsheetml/2006/main">
  <threadedComment ref="C9" dT="2023-03-16T10:58:43.00" personId="{FA4D684B-3704-4C6B-B340-1304A3D47770}" id="{F4503270-8252-462F-8837-0EB7D5143A77}">
    <text>Ilman verotuskustannusten alenemaa.</text>
  </threadedComment>
</ThreadedComment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alueuudistus.fi/documents/1477425/5328784/Kuntakohtaisten+painelaskelmien+aineisto-+ja+menetelm%C3%A4kuvaus+15092017/35d54485-5fa0-497c-a9fe-9ae11d963a09" TargetMode="External"/><Relationship Id="rId1" Type="http://schemas.openxmlformats.org/officeDocument/2006/relationships/hyperlink" Target="http://alueuudistus.fi/kuntien-valtionosuusjarjestelma" TargetMode="External"/><Relationship Id="rId4"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ul5"/>
  <dimension ref="A2:A22"/>
  <sheetViews>
    <sheetView zoomScale="130" zoomScaleNormal="130" workbookViewId="0">
      <selection activeCell="A19" sqref="A19"/>
    </sheetView>
  </sheetViews>
  <sheetFormatPr defaultColWidth="9.140625" defaultRowHeight="12.75" x14ac:dyDescent="0.2"/>
  <cols>
    <col min="1" max="16384" width="9.140625" style="338"/>
  </cols>
  <sheetData>
    <row r="2" spans="1:1" ht="23.25" x14ac:dyDescent="0.35">
      <c r="A2" s="340" t="s">
        <v>665</v>
      </c>
    </row>
    <row r="4" spans="1:1" x14ac:dyDescent="0.2">
      <c r="A4" s="339" t="s">
        <v>742</v>
      </c>
    </row>
    <row r="5" spans="1:1" x14ac:dyDescent="0.2">
      <c r="A5" s="339" t="s">
        <v>743</v>
      </c>
    </row>
    <row r="7" spans="1:1" ht="15" x14ac:dyDescent="0.2">
      <c r="A7" s="341" t="s">
        <v>666</v>
      </c>
    </row>
    <row r="8" spans="1:1" ht="15" x14ac:dyDescent="0.2">
      <c r="A8" s="341" t="s">
        <v>676</v>
      </c>
    </row>
    <row r="9" spans="1:1" ht="15" x14ac:dyDescent="0.2">
      <c r="A9" s="341" t="s">
        <v>677</v>
      </c>
    </row>
    <row r="10" spans="1:1" ht="15" x14ac:dyDescent="0.2">
      <c r="A10" s="341" t="s">
        <v>744</v>
      </c>
    </row>
    <row r="11" spans="1:1" ht="15" x14ac:dyDescent="0.2">
      <c r="A11" s="341" t="s">
        <v>745</v>
      </c>
    </row>
    <row r="12" spans="1:1" ht="15" x14ac:dyDescent="0.2">
      <c r="A12" s="341" t="s">
        <v>759</v>
      </c>
    </row>
    <row r="13" spans="1:1" ht="15" x14ac:dyDescent="0.2">
      <c r="A13" s="341"/>
    </row>
    <row r="14" spans="1:1" ht="15" x14ac:dyDescent="0.2">
      <c r="A14" s="341" t="s">
        <v>746</v>
      </c>
    </row>
    <row r="15" spans="1:1" ht="15" x14ac:dyDescent="0.2">
      <c r="A15" s="341" t="s">
        <v>760</v>
      </c>
    </row>
    <row r="16" spans="1:1" ht="15" x14ac:dyDescent="0.2">
      <c r="A16" s="341"/>
    </row>
    <row r="17" spans="1:1" ht="15" x14ac:dyDescent="0.2">
      <c r="A17" s="457" t="s">
        <v>761</v>
      </c>
    </row>
    <row r="18" spans="1:1" ht="15" x14ac:dyDescent="0.2">
      <c r="A18" s="457" t="s">
        <v>762</v>
      </c>
    </row>
    <row r="19" spans="1:1" ht="15" x14ac:dyDescent="0.2">
      <c r="A19" s="341"/>
    </row>
    <row r="20" spans="1:1" ht="15" x14ac:dyDescent="0.2">
      <c r="A20" s="457" t="s">
        <v>747</v>
      </c>
    </row>
    <row r="21" spans="1:1" ht="15" x14ac:dyDescent="0.2">
      <c r="A21" s="457"/>
    </row>
    <row r="22" spans="1:1" ht="15" x14ac:dyDescent="0.2">
      <c r="A22" s="457" t="s">
        <v>748</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ul11"/>
  <dimension ref="A1:C304"/>
  <sheetViews>
    <sheetView workbookViewId="0">
      <selection activeCell="D9" sqref="D9"/>
    </sheetView>
  </sheetViews>
  <sheetFormatPr defaultRowHeight="12.75" x14ac:dyDescent="0.2"/>
  <cols>
    <col min="1" max="1" width="40.7109375" customWidth="1"/>
    <col min="2" max="2" width="21.7109375" customWidth="1"/>
    <col min="3" max="3" width="17.42578125" customWidth="1"/>
  </cols>
  <sheetData>
    <row r="1" spans="1:3" ht="18.75" x14ac:dyDescent="0.3">
      <c r="A1" s="149"/>
      <c r="B1" t="s">
        <v>492</v>
      </c>
    </row>
    <row r="2" spans="1:3" x14ac:dyDescent="0.2">
      <c r="B2" t="s">
        <v>624</v>
      </c>
    </row>
    <row r="3" spans="1:3" ht="15" x14ac:dyDescent="0.25">
      <c r="B3" s="138"/>
    </row>
    <row r="4" spans="1:3" ht="15" x14ac:dyDescent="0.25">
      <c r="B4" s="138"/>
    </row>
    <row r="5" spans="1:3" ht="15" x14ac:dyDescent="0.25">
      <c r="A5" s="138" t="s">
        <v>143</v>
      </c>
      <c r="B5" s="102">
        <v>9700</v>
      </c>
      <c r="C5" s="74"/>
    </row>
    <row r="6" spans="1:3" ht="15" x14ac:dyDescent="0.25">
      <c r="A6" s="138" t="s">
        <v>144</v>
      </c>
      <c r="B6" s="102">
        <v>2573</v>
      </c>
      <c r="C6" s="74"/>
    </row>
    <row r="7" spans="1:3" ht="15" x14ac:dyDescent="0.25">
      <c r="A7" s="138" t="s">
        <v>145</v>
      </c>
      <c r="B7" s="102">
        <v>11544</v>
      </c>
      <c r="C7" s="74"/>
    </row>
    <row r="8" spans="1:3" ht="15" x14ac:dyDescent="0.25">
      <c r="A8" s="138" t="s">
        <v>146</v>
      </c>
      <c r="B8" s="102">
        <v>8149</v>
      </c>
      <c r="C8" s="74"/>
    </row>
    <row r="9" spans="1:3" ht="15" x14ac:dyDescent="0.25">
      <c r="A9" s="138" t="s">
        <v>147</v>
      </c>
      <c r="B9" s="102">
        <v>4958</v>
      </c>
      <c r="C9" s="74"/>
    </row>
    <row r="10" spans="1:3" ht="15" x14ac:dyDescent="0.25">
      <c r="A10" s="138" t="s">
        <v>148</v>
      </c>
      <c r="B10" s="102">
        <v>3984</v>
      </c>
      <c r="C10" s="74"/>
    </row>
    <row r="11" spans="1:3" ht="15" x14ac:dyDescent="0.25">
      <c r="A11" s="138" t="s">
        <v>126</v>
      </c>
      <c r="B11" s="102">
        <v>16611</v>
      </c>
      <c r="C11" s="74"/>
    </row>
    <row r="12" spans="1:3" ht="15" x14ac:dyDescent="0.25">
      <c r="A12" s="138" t="s">
        <v>149</v>
      </c>
      <c r="B12" s="102">
        <v>1405</v>
      </c>
      <c r="C12" s="74"/>
    </row>
    <row r="13" spans="1:3" ht="15" x14ac:dyDescent="0.25">
      <c r="A13" s="138" t="s">
        <v>150</v>
      </c>
      <c r="B13" s="102">
        <v>1852</v>
      </c>
      <c r="C13" s="74"/>
    </row>
    <row r="14" spans="1:3" ht="15" x14ac:dyDescent="0.25">
      <c r="A14" s="138" t="s">
        <v>151</v>
      </c>
      <c r="B14" s="102">
        <v>283632</v>
      </c>
      <c r="C14" s="74"/>
    </row>
    <row r="15" spans="1:3" ht="15" x14ac:dyDescent="0.25">
      <c r="A15" s="138" t="s">
        <v>152</v>
      </c>
      <c r="B15" s="102">
        <v>11748</v>
      </c>
      <c r="C15" s="74"/>
    </row>
    <row r="16" spans="1:3" ht="15" x14ac:dyDescent="0.25">
      <c r="A16" s="138" t="s">
        <v>153</v>
      </c>
      <c r="B16" s="102">
        <v>9454</v>
      </c>
      <c r="C16" s="74"/>
    </row>
    <row r="17" spans="1:3" ht="15" x14ac:dyDescent="0.25">
      <c r="A17" s="138" t="s">
        <v>154</v>
      </c>
      <c r="B17" s="102">
        <v>2473</v>
      </c>
      <c r="C17" s="74"/>
    </row>
    <row r="18" spans="1:3" ht="15" x14ac:dyDescent="0.25">
      <c r="A18" s="138" t="s">
        <v>155</v>
      </c>
      <c r="B18" s="102">
        <v>17028</v>
      </c>
      <c r="C18" s="74"/>
    </row>
    <row r="19" spans="1:3" ht="15" x14ac:dyDescent="0.25">
      <c r="A19" s="138" t="s">
        <v>156</v>
      </c>
      <c r="B19" s="102">
        <v>7147</v>
      </c>
      <c r="C19" s="74"/>
    </row>
    <row r="20" spans="1:3" ht="15" x14ac:dyDescent="0.25">
      <c r="A20" s="138" t="s">
        <v>157</v>
      </c>
      <c r="B20" s="102">
        <v>6854</v>
      </c>
      <c r="C20" s="74"/>
    </row>
    <row r="21" spans="1:3" ht="15" x14ac:dyDescent="0.25">
      <c r="A21" s="138" t="s">
        <v>158</v>
      </c>
      <c r="B21" s="102">
        <v>974</v>
      </c>
      <c r="C21" s="74"/>
    </row>
    <row r="22" spans="1:3" ht="15" x14ac:dyDescent="0.25">
      <c r="A22" s="138" t="s">
        <v>159</v>
      </c>
      <c r="B22" s="102">
        <v>1165</v>
      </c>
      <c r="C22" s="74"/>
    </row>
    <row r="23" spans="1:3" ht="15" x14ac:dyDescent="0.25">
      <c r="A23" s="138" t="s">
        <v>160</v>
      </c>
      <c r="B23" s="102">
        <v>20286</v>
      </c>
      <c r="C23" s="74"/>
    </row>
    <row r="24" spans="1:3" ht="15" x14ac:dyDescent="0.25">
      <c r="A24" s="138" t="s">
        <v>161</v>
      </c>
      <c r="B24" s="102">
        <v>4939</v>
      </c>
      <c r="C24" s="74"/>
    </row>
    <row r="25" spans="1:3" ht="15" x14ac:dyDescent="0.25">
      <c r="A25" s="138" t="s">
        <v>162</v>
      </c>
      <c r="B25" s="102">
        <v>8379</v>
      </c>
      <c r="C25" s="74"/>
    </row>
    <row r="26" spans="1:3" ht="15" x14ac:dyDescent="0.25">
      <c r="A26" s="138" t="s">
        <v>163</v>
      </c>
      <c r="B26" s="102">
        <v>7018</v>
      </c>
      <c r="C26" s="74"/>
    </row>
    <row r="27" spans="1:3" ht="15" x14ac:dyDescent="0.25">
      <c r="A27" s="138" t="s">
        <v>164</v>
      </c>
      <c r="B27" s="102">
        <v>2780</v>
      </c>
      <c r="C27" s="74"/>
    </row>
    <row r="28" spans="1:3" ht="15" x14ac:dyDescent="0.25">
      <c r="A28" s="138" t="s">
        <v>165</v>
      </c>
      <c r="B28" s="102">
        <v>9475</v>
      </c>
      <c r="C28" s="74"/>
    </row>
    <row r="29" spans="1:3" ht="15" x14ac:dyDescent="0.25">
      <c r="A29" s="138" t="s">
        <v>166</v>
      </c>
      <c r="B29" s="102">
        <v>8417</v>
      </c>
      <c r="C29" s="74"/>
    </row>
    <row r="30" spans="1:3" ht="15" x14ac:dyDescent="0.25">
      <c r="A30" s="138" t="s">
        <v>168</v>
      </c>
      <c r="B30" s="102">
        <v>3329</v>
      </c>
      <c r="C30" s="74"/>
    </row>
    <row r="31" spans="1:3" ht="15" x14ac:dyDescent="0.25">
      <c r="A31" s="138" t="s">
        <v>169</v>
      </c>
      <c r="B31" s="102">
        <v>648042</v>
      </c>
      <c r="C31" s="74"/>
    </row>
    <row r="32" spans="1:3" ht="15" x14ac:dyDescent="0.25">
      <c r="A32" s="138" t="s">
        <v>411</v>
      </c>
      <c r="B32" s="102">
        <v>228166</v>
      </c>
      <c r="C32" s="74"/>
    </row>
    <row r="33" spans="1:3" ht="15" x14ac:dyDescent="0.25">
      <c r="A33" s="138" t="s">
        <v>170</v>
      </c>
      <c r="B33" s="102">
        <v>2152</v>
      </c>
      <c r="C33" s="74"/>
    </row>
    <row r="34" spans="1:3" ht="15" x14ac:dyDescent="0.25">
      <c r="A34" s="138" t="s">
        <v>171</v>
      </c>
      <c r="B34" s="102">
        <v>23602</v>
      </c>
      <c r="C34" s="74"/>
    </row>
    <row r="35" spans="1:3" ht="15" x14ac:dyDescent="0.25">
      <c r="A35" s="138" t="s">
        <v>172</v>
      </c>
      <c r="B35" s="102">
        <v>1666</v>
      </c>
      <c r="C35" s="74"/>
    </row>
    <row r="36" spans="1:3" ht="15" x14ac:dyDescent="0.25">
      <c r="A36" s="138" t="s">
        <v>173</v>
      </c>
      <c r="B36" s="102">
        <v>10091</v>
      </c>
      <c r="C36" s="74"/>
    </row>
    <row r="37" spans="1:3" ht="15" x14ac:dyDescent="0.25">
      <c r="A37" s="138" t="s">
        <v>174</v>
      </c>
      <c r="B37" s="102">
        <v>2235</v>
      </c>
      <c r="C37" s="74"/>
    </row>
    <row r="38" spans="1:3" ht="15" x14ac:dyDescent="0.25">
      <c r="A38" s="138" t="s">
        <v>175</v>
      </c>
      <c r="B38" s="102">
        <v>2287</v>
      </c>
      <c r="C38" s="74"/>
    </row>
    <row r="39" spans="1:3" ht="15" x14ac:dyDescent="0.25">
      <c r="A39" s="138" t="s">
        <v>176</v>
      </c>
      <c r="B39" s="102">
        <v>46504</v>
      </c>
      <c r="C39" s="74"/>
    </row>
    <row r="40" spans="1:3" ht="15" x14ac:dyDescent="0.25">
      <c r="A40" s="138" t="s">
        <v>177</v>
      </c>
      <c r="B40" s="102">
        <v>10510</v>
      </c>
      <c r="C40" s="74"/>
    </row>
    <row r="41" spans="1:3" ht="15" x14ac:dyDescent="0.25">
      <c r="A41" s="138" t="s">
        <v>178</v>
      </c>
      <c r="B41" s="102">
        <v>67532</v>
      </c>
      <c r="C41" s="74"/>
    </row>
    <row r="42" spans="1:3" ht="15" x14ac:dyDescent="0.25">
      <c r="A42" s="138" t="s">
        <v>167</v>
      </c>
      <c r="B42" s="102">
        <v>18889</v>
      </c>
      <c r="C42" s="74"/>
    </row>
    <row r="43" spans="1:3" ht="15" x14ac:dyDescent="0.25">
      <c r="A43" s="138" t="s">
        <v>179</v>
      </c>
      <c r="B43" s="102">
        <v>9862</v>
      </c>
      <c r="C43" s="74"/>
    </row>
    <row r="44" spans="1:3" ht="15" x14ac:dyDescent="0.25">
      <c r="A44" s="138" t="s">
        <v>180</v>
      </c>
      <c r="B44" s="102">
        <v>21472</v>
      </c>
      <c r="C44" s="74"/>
    </row>
    <row r="45" spans="1:3" ht="15" x14ac:dyDescent="0.25">
      <c r="A45" s="138" t="s">
        <v>181</v>
      </c>
      <c r="B45" s="102">
        <v>6765</v>
      </c>
      <c r="C45" s="74"/>
    </row>
    <row r="46" spans="1:3" ht="15" x14ac:dyDescent="0.25">
      <c r="A46" s="138" t="s">
        <v>182</v>
      </c>
      <c r="B46" s="102">
        <v>7003</v>
      </c>
      <c r="C46" s="74"/>
    </row>
    <row r="47" spans="1:3" ht="15" x14ac:dyDescent="0.25">
      <c r="A47" s="138" t="s">
        <v>183</v>
      </c>
      <c r="B47" s="102">
        <v>12187</v>
      </c>
      <c r="C47" s="74"/>
    </row>
    <row r="48" spans="1:3" ht="15" x14ac:dyDescent="0.25">
      <c r="A48" s="138" t="s">
        <v>184</v>
      </c>
      <c r="B48" s="102">
        <v>4973</v>
      </c>
      <c r="C48" s="74"/>
    </row>
    <row r="49" spans="1:3" ht="15" x14ac:dyDescent="0.25">
      <c r="A49" s="138" t="s">
        <v>186</v>
      </c>
      <c r="B49" s="102">
        <v>6930</v>
      </c>
      <c r="C49" s="74"/>
    </row>
    <row r="50" spans="1:3" ht="15" x14ac:dyDescent="0.25">
      <c r="A50" s="138" t="s">
        <v>187</v>
      </c>
      <c r="B50" s="102">
        <v>5403</v>
      </c>
      <c r="C50" s="74"/>
    </row>
    <row r="51" spans="1:3" ht="15" x14ac:dyDescent="0.25">
      <c r="A51" s="138" t="s">
        <v>188</v>
      </c>
      <c r="B51" s="102">
        <v>1976</v>
      </c>
      <c r="C51" s="74"/>
    </row>
    <row r="52" spans="1:3" ht="15" x14ac:dyDescent="0.25">
      <c r="A52" s="138" t="s">
        <v>189</v>
      </c>
      <c r="B52" s="102">
        <v>4601</v>
      </c>
      <c r="C52" s="74"/>
    </row>
    <row r="53" spans="1:3" ht="15" x14ac:dyDescent="0.25">
      <c r="A53" s="138" t="s">
        <v>185</v>
      </c>
      <c r="B53" s="102">
        <v>26932</v>
      </c>
      <c r="C53" s="74"/>
    </row>
    <row r="54" spans="1:3" ht="15" x14ac:dyDescent="0.25">
      <c r="A54" s="138" t="s">
        <v>190</v>
      </c>
      <c r="B54" s="102">
        <v>16447</v>
      </c>
      <c r="C54" s="74"/>
    </row>
    <row r="55" spans="1:3" ht="15" x14ac:dyDescent="0.25">
      <c r="A55" s="138" t="s">
        <v>191</v>
      </c>
      <c r="B55" s="102">
        <v>76551</v>
      </c>
      <c r="C55" s="74"/>
    </row>
    <row r="56" spans="1:3" ht="15" x14ac:dyDescent="0.25">
      <c r="A56" s="138" t="s">
        <v>192</v>
      </c>
      <c r="B56" s="102">
        <v>5195</v>
      </c>
      <c r="C56" s="74"/>
    </row>
    <row r="57" spans="1:3" ht="15" x14ac:dyDescent="0.25">
      <c r="A57" s="138" t="s">
        <v>193</v>
      </c>
      <c r="B57" s="102">
        <v>4812</v>
      </c>
      <c r="C57" s="74"/>
    </row>
    <row r="58" spans="1:3" ht="15" x14ac:dyDescent="0.25">
      <c r="A58" s="138" t="s">
        <v>194</v>
      </c>
      <c r="B58" s="102">
        <v>4467</v>
      </c>
      <c r="C58" s="74"/>
    </row>
    <row r="59" spans="1:3" ht="15" x14ac:dyDescent="0.25">
      <c r="A59" s="138" t="s">
        <v>196</v>
      </c>
      <c r="B59" s="102">
        <v>4709</v>
      </c>
      <c r="C59" s="74"/>
    </row>
    <row r="60" spans="1:3" ht="15" x14ac:dyDescent="0.25">
      <c r="A60" s="138" t="s">
        <v>197</v>
      </c>
      <c r="B60" s="102">
        <v>1884</v>
      </c>
      <c r="C60" s="74"/>
    </row>
    <row r="61" spans="1:3" ht="15" x14ac:dyDescent="0.25">
      <c r="A61" s="138" t="s">
        <v>198</v>
      </c>
      <c r="B61" s="102">
        <v>6225</v>
      </c>
      <c r="C61" s="74"/>
    </row>
    <row r="62" spans="1:3" ht="15" x14ac:dyDescent="0.25">
      <c r="A62" s="138" t="s">
        <v>199</v>
      </c>
      <c r="B62" s="102">
        <v>141305</v>
      </c>
      <c r="C62" s="74"/>
    </row>
    <row r="63" spans="1:3" ht="15" x14ac:dyDescent="0.25">
      <c r="A63" s="138" t="s">
        <v>200</v>
      </c>
      <c r="B63" s="102">
        <v>1809</v>
      </c>
      <c r="C63" s="74"/>
    </row>
    <row r="64" spans="1:3" ht="15" x14ac:dyDescent="0.25">
      <c r="A64" s="138" t="s">
        <v>127</v>
      </c>
      <c r="B64" s="102">
        <v>20607</v>
      </c>
      <c r="C64" s="74"/>
    </row>
    <row r="65" spans="1:3" ht="15" x14ac:dyDescent="0.25">
      <c r="A65" s="138" t="s">
        <v>201</v>
      </c>
      <c r="B65" s="102">
        <v>43410</v>
      </c>
      <c r="C65" s="74"/>
    </row>
    <row r="66" spans="1:3" ht="15" x14ac:dyDescent="0.25">
      <c r="A66" s="138" t="s">
        <v>202</v>
      </c>
      <c r="B66" s="102">
        <v>33458</v>
      </c>
      <c r="C66" s="74"/>
    </row>
    <row r="67" spans="1:3" ht="15" x14ac:dyDescent="0.25">
      <c r="A67" s="138" t="s">
        <v>203</v>
      </c>
      <c r="B67" s="102">
        <v>2990</v>
      </c>
      <c r="C67" s="74"/>
    </row>
    <row r="68" spans="1:3" ht="15" x14ac:dyDescent="0.25">
      <c r="A68" s="138" t="s">
        <v>204</v>
      </c>
      <c r="B68" s="102">
        <v>36973</v>
      </c>
      <c r="C68" s="74"/>
    </row>
    <row r="69" spans="1:3" ht="15" x14ac:dyDescent="0.25">
      <c r="A69" s="138" t="s">
        <v>205</v>
      </c>
      <c r="B69" s="102">
        <v>12387</v>
      </c>
      <c r="C69" s="74"/>
    </row>
    <row r="70" spans="1:3" ht="15" x14ac:dyDescent="0.25">
      <c r="A70" s="138" t="s">
        <v>206</v>
      </c>
      <c r="B70" s="102">
        <v>31676</v>
      </c>
      <c r="C70" s="74"/>
    </row>
    <row r="71" spans="1:3" ht="15" x14ac:dyDescent="0.25">
      <c r="A71" s="138" t="s">
        <v>207</v>
      </c>
      <c r="B71" s="102">
        <v>5452</v>
      </c>
      <c r="C71" s="74"/>
    </row>
    <row r="72" spans="1:3" ht="15" x14ac:dyDescent="0.25">
      <c r="A72" s="138" t="s">
        <v>208</v>
      </c>
      <c r="B72" s="102">
        <v>11471</v>
      </c>
      <c r="C72" s="74"/>
    </row>
    <row r="73" spans="1:3" ht="15" x14ac:dyDescent="0.25">
      <c r="A73" s="138" t="s">
        <v>209</v>
      </c>
      <c r="B73" s="102">
        <v>1353</v>
      </c>
      <c r="C73" s="74"/>
    </row>
    <row r="74" spans="1:3" ht="15" x14ac:dyDescent="0.25">
      <c r="A74" s="138" t="s">
        <v>210</v>
      </c>
      <c r="B74" s="102">
        <v>5502</v>
      </c>
      <c r="C74" s="74"/>
    </row>
    <row r="75" spans="1:3" ht="15" x14ac:dyDescent="0.25">
      <c r="A75" s="138" t="s">
        <v>211</v>
      </c>
      <c r="B75" s="102">
        <v>1274</v>
      </c>
      <c r="C75" s="74"/>
    </row>
    <row r="76" spans="1:3" ht="15" x14ac:dyDescent="0.25">
      <c r="A76" s="138" t="s">
        <v>212</v>
      </c>
      <c r="B76" s="102">
        <v>8778</v>
      </c>
      <c r="C76" s="74"/>
    </row>
    <row r="77" spans="1:3" ht="15" x14ac:dyDescent="0.25">
      <c r="A77" s="138" t="s">
        <v>213</v>
      </c>
      <c r="B77" s="102">
        <v>4031</v>
      </c>
      <c r="C77" s="74"/>
    </row>
    <row r="78" spans="1:3" ht="15" x14ac:dyDescent="0.25">
      <c r="A78" s="138" t="s">
        <v>214</v>
      </c>
      <c r="B78" s="102">
        <v>2390</v>
      </c>
      <c r="C78" s="74"/>
    </row>
    <row r="79" spans="1:3" ht="15" x14ac:dyDescent="0.25">
      <c r="A79" s="138" t="s">
        <v>215</v>
      </c>
      <c r="B79" s="102">
        <v>1262</v>
      </c>
      <c r="C79" s="74"/>
    </row>
    <row r="80" spans="1:3" ht="15" x14ac:dyDescent="0.25">
      <c r="A80" s="138" t="s">
        <v>216</v>
      </c>
      <c r="B80" s="102">
        <v>13375</v>
      </c>
      <c r="C80" s="74"/>
    </row>
    <row r="81" spans="1:3" ht="15" x14ac:dyDescent="0.25">
      <c r="A81" s="138" t="s">
        <v>217</v>
      </c>
      <c r="B81" s="102">
        <v>16022</v>
      </c>
      <c r="C81" s="74"/>
    </row>
    <row r="82" spans="1:3" ht="15" x14ac:dyDescent="0.25">
      <c r="A82" s="138" t="s">
        <v>218</v>
      </c>
      <c r="B82" s="102">
        <v>9615</v>
      </c>
      <c r="C82" s="74"/>
    </row>
    <row r="83" spans="1:3" ht="15" x14ac:dyDescent="0.25">
      <c r="A83" s="138" t="s">
        <v>219</v>
      </c>
      <c r="B83" s="102">
        <v>4273</v>
      </c>
      <c r="C83" s="74"/>
    </row>
    <row r="84" spans="1:3" ht="15" x14ac:dyDescent="0.25">
      <c r="A84" s="138" t="s">
        <v>220</v>
      </c>
      <c r="B84" s="102">
        <v>2244</v>
      </c>
      <c r="C84" s="74"/>
    </row>
    <row r="85" spans="1:3" ht="15" x14ac:dyDescent="0.25">
      <c r="A85" s="138" t="s">
        <v>221</v>
      </c>
      <c r="B85" s="102">
        <v>21021</v>
      </c>
      <c r="C85" s="74"/>
    </row>
    <row r="86" spans="1:3" ht="15" x14ac:dyDescent="0.25">
      <c r="A86" s="138" t="s">
        <v>223</v>
      </c>
      <c r="B86" s="102">
        <v>8147</v>
      </c>
      <c r="C86" s="74"/>
    </row>
    <row r="87" spans="1:3" ht="15" x14ac:dyDescent="0.25">
      <c r="A87" s="138" t="s">
        <v>224</v>
      </c>
      <c r="B87" s="102">
        <v>17923</v>
      </c>
      <c r="C87" s="74"/>
    </row>
    <row r="88" spans="1:3" ht="15" x14ac:dyDescent="0.25">
      <c r="A88" s="138" t="s">
        <v>225</v>
      </c>
      <c r="B88" s="102">
        <v>36254</v>
      </c>
      <c r="C88" s="74"/>
    </row>
    <row r="89" spans="1:3" ht="15" x14ac:dyDescent="0.25">
      <c r="A89" s="138" t="s">
        <v>226</v>
      </c>
      <c r="B89" s="102">
        <v>9762</v>
      </c>
      <c r="C89" s="74"/>
    </row>
    <row r="90" spans="1:3" ht="15" x14ac:dyDescent="0.25">
      <c r="A90" s="138" t="s">
        <v>227</v>
      </c>
      <c r="B90" s="102">
        <v>1910</v>
      </c>
      <c r="C90" s="74"/>
    </row>
    <row r="91" spans="1:3" ht="15" x14ac:dyDescent="0.25">
      <c r="A91" s="138" t="s">
        <v>228</v>
      </c>
      <c r="B91" s="102">
        <v>1615</v>
      </c>
      <c r="C91" s="133"/>
    </row>
    <row r="92" spans="1:3" ht="15" x14ac:dyDescent="0.25">
      <c r="A92" s="138" t="s">
        <v>229</v>
      </c>
      <c r="B92" s="102">
        <v>39262</v>
      </c>
      <c r="C92" s="74"/>
    </row>
    <row r="93" spans="1:3" ht="15" x14ac:dyDescent="0.25">
      <c r="A93" s="138" t="s">
        <v>230</v>
      </c>
      <c r="B93" s="102">
        <v>10358</v>
      </c>
      <c r="C93" s="74"/>
    </row>
    <row r="94" spans="1:3" ht="15" x14ac:dyDescent="0.25">
      <c r="A94" s="138" t="s">
        <v>231</v>
      </c>
      <c r="B94" s="102">
        <v>6436</v>
      </c>
      <c r="C94" s="74"/>
    </row>
    <row r="95" spans="1:3" ht="15" x14ac:dyDescent="0.25">
      <c r="A95" s="138" t="s">
        <v>232</v>
      </c>
      <c r="B95" s="102">
        <v>8153</v>
      </c>
      <c r="C95" s="74"/>
    </row>
    <row r="96" spans="1:3" ht="15" x14ac:dyDescent="0.25">
      <c r="A96" s="138" t="s">
        <v>233</v>
      </c>
      <c r="B96" s="102">
        <v>1103</v>
      </c>
      <c r="C96" s="74"/>
    </row>
    <row r="97" spans="1:3" ht="15" x14ac:dyDescent="0.25">
      <c r="A97" s="138" t="s">
        <v>234</v>
      </c>
      <c r="B97" s="102">
        <v>7226</v>
      </c>
      <c r="C97" s="74"/>
    </row>
    <row r="98" spans="1:3" ht="15" x14ac:dyDescent="0.25">
      <c r="A98" s="138" t="s">
        <v>235</v>
      </c>
      <c r="B98" s="102">
        <v>47657</v>
      </c>
      <c r="C98" s="74"/>
    </row>
    <row r="99" spans="1:3" ht="15" x14ac:dyDescent="0.25">
      <c r="A99" s="138" t="s">
        <v>236</v>
      </c>
      <c r="B99" s="102">
        <v>3834</v>
      </c>
      <c r="C99" s="74"/>
    </row>
    <row r="100" spans="1:3" ht="15" x14ac:dyDescent="0.25">
      <c r="A100" s="138" t="s">
        <v>237</v>
      </c>
      <c r="B100" s="102">
        <v>2698</v>
      </c>
      <c r="C100" s="74"/>
    </row>
    <row r="101" spans="1:3" ht="15" x14ac:dyDescent="0.25">
      <c r="A101" s="138" t="s">
        <v>238</v>
      </c>
      <c r="B101" s="102">
        <v>14849</v>
      </c>
      <c r="C101" s="74"/>
    </row>
    <row r="102" spans="1:3" ht="15" x14ac:dyDescent="0.25">
      <c r="A102" s="138" t="s">
        <v>239</v>
      </c>
      <c r="B102" s="102">
        <v>2122</v>
      </c>
      <c r="C102" s="74"/>
    </row>
    <row r="103" spans="1:3" ht="15" x14ac:dyDescent="0.25">
      <c r="A103" s="138" t="s">
        <v>503</v>
      </c>
      <c r="B103" s="102">
        <v>2340</v>
      </c>
      <c r="C103" s="74"/>
    </row>
    <row r="104" spans="1:3" ht="15" x14ac:dyDescent="0.25">
      <c r="A104" s="138" t="s">
        <v>241</v>
      </c>
      <c r="B104" s="102">
        <v>52883</v>
      </c>
      <c r="C104" s="74"/>
    </row>
    <row r="105" spans="1:3" ht="15" x14ac:dyDescent="0.25">
      <c r="A105" s="138" t="s">
        <v>242</v>
      </c>
      <c r="B105" s="102">
        <v>83177</v>
      </c>
      <c r="C105" s="74"/>
    </row>
    <row r="106" spans="1:3" ht="15" x14ac:dyDescent="0.25">
      <c r="A106" s="138" t="s">
        <v>575</v>
      </c>
      <c r="B106" s="102">
        <v>6596</v>
      </c>
      <c r="C106" s="74"/>
    </row>
    <row r="107" spans="1:3" ht="15" x14ac:dyDescent="0.25">
      <c r="A107" s="138" t="s">
        <v>244</v>
      </c>
      <c r="B107" s="102">
        <v>6509</v>
      </c>
      <c r="C107" s="74"/>
    </row>
    <row r="108" spans="1:3" ht="15" x14ac:dyDescent="0.25">
      <c r="A108" s="138" t="s">
        <v>245</v>
      </c>
      <c r="B108" s="102">
        <v>8329</v>
      </c>
      <c r="C108" s="74"/>
    </row>
    <row r="109" spans="1:3" ht="15" x14ac:dyDescent="0.25">
      <c r="A109" s="138" t="s">
        <v>246</v>
      </c>
      <c r="B109" s="102">
        <v>2238</v>
      </c>
      <c r="C109" s="74"/>
    </row>
    <row r="110" spans="1:3" ht="15" x14ac:dyDescent="0.25">
      <c r="A110" s="138" t="s">
        <v>247</v>
      </c>
      <c r="B110" s="102">
        <v>118664</v>
      </c>
      <c r="C110" s="74"/>
    </row>
    <row r="111" spans="1:3" ht="15" x14ac:dyDescent="0.25">
      <c r="A111" s="138" t="s">
        <v>248</v>
      </c>
      <c r="B111" s="102">
        <v>3572</v>
      </c>
      <c r="C111" s="74"/>
    </row>
    <row r="112" spans="1:3" ht="15" x14ac:dyDescent="0.25">
      <c r="A112" s="138" t="s">
        <v>249</v>
      </c>
      <c r="B112" s="102">
        <v>20952</v>
      </c>
      <c r="C112" s="74"/>
    </row>
    <row r="113" spans="1:3" ht="15" x14ac:dyDescent="0.25">
      <c r="A113" s="138" t="s">
        <v>250</v>
      </c>
      <c r="B113" s="102">
        <v>926</v>
      </c>
      <c r="C113" s="74"/>
    </row>
    <row r="114" spans="1:3" ht="15" x14ac:dyDescent="0.25">
      <c r="A114" s="138" t="s">
        <v>251</v>
      </c>
      <c r="B114" s="102">
        <v>15207</v>
      </c>
      <c r="C114" s="74"/>
    </row>
    <row r="115" spans="1:3" ht="15" x14ac:dyDescent="0.25">
      <c r="A115" s="138" t="s">
        <v>311</v>
      </c>
      <c r="B115" s="102">
        <v>6803</v>
      </c>
      <c r="C115" s="74"/>
    </row>
    <row r="116" spans="1:3" ht="15" x14ac:dyDescent="0.25">
      <c r="A116" s="138" t="s">
        <v>252</v>
      </c>
      <c r="B116" s="102">
        <v>1343</v>
      </c>
      <c r="C116" s="74"/>
    </row>
    <row r="117" spans="1:3" ht="15" x14ac:dyDescent="0.25">
      <c r="A117" s="138" t="s">
        <v>253</v>
      </c>
      <c r="B117" s="102">
        <v>4451</v>
      </c>
      <c r="C117" s="74"/>
    </row>
    <row r="118" spans="1:3" ht="15" x14ac:dyDescent="0.25">
      <c r="A118" s="138" t="s">
        <v>254</v>
      </c>
      <c r="B118" s="102">
        <v>2613</v>
      </c>
      <c r="C118" s="74"/>
    </row>
    <row r="119" spans="1:3" ht="15" x14ac:dyDescent="0.25">
      <c r="A119" s="138" t="s">
        <v>222</v>
      </c>
      <c r="B119" s="102">
        <v>7370</v>
      </c>
      <c r="C119" s="74"/>
    </row>
    <row r="120" spans="1:3" ht="15" x14ac:dyDescent="0.25">
      <c r="A120" s="138" t="s">
        <v>128</v>
      </c>
      <c r="B120" s="102">
        <v>6724</v>
      </c>
      <c r="C120" s="74"/>
    </row>
    <row r="121" spans="1:3" ht="15" x14ac:dyDescent="0.25">
      <c r="A121" s="138" t="s">
        <v>255</v>
      </c>
      <c r="B121" s="102">
        <v>119951</v>
      </c>
      <c r="C121" s="74"/>
    </row>
    <row r="122" spans="1:3" ht="15" x14ac:dyDescent="0.25">
      <c r="A122" s="138" t="s">
        <v>256</v>
      </c>
      <c r="B122" s="102">
        <v>8058</v>
      </c>
      <c r="C122" s="74"/>
    </row>
    <row r="123" spans="1:3" ht="15" x14ac:dyDescent="0.25">
      <c r="A123" s="138" t="s">
        <v>257</v>
      </c>
      <c r="B123" s="102">
        <v>8647</v>
      </c>
      <c r="C123" s="74"/>
    </row>
    <row r="124" spans="1:3" ht="15" x14ac:dyDescent="0.25">
      <c r="A124" s="138" t="s">
        <v>259</v>
      </c>
      <c r="B124" s="102">
        <v>9617</v>
      </c>
      <c r="C124" s="74"/>
    </row>
    <row r="125" spans="1:3" ht="15" x14ac:dyDescent="0.25">
      <c r="A125" s="138" t="s">
        <v>260</v>
      </c>
      <c r="B125" s="102">
        <v>3078</v>
      </c>
      <c r="C125" s="74"/>
    </row>
    <row r="126" spans="1:3" ht="15" x14ac:dyDescent="0.25">
      <c r="A126" s="138" t="s">
        <v>261</v>
      </c>
      <c r="B126" s="102">
        <v>72699</v>
      </c>
      <c r="C126" s="74"/>
    </row>
    <row r="127" spans="1:3" ht="15" x14ac:dyDescent="0.25">
      <c r="A127" s="138" t="s">
        <v>258</v>
      </c>
      <c r="B127" s="102">
        <v>2665</v>
      </c>
      <c r="C127" s="74"/>
    </row>
    <row r="128" spans="1:3" ht="15" x14ac:dyDescent="0.25">
      <c r="A128" s="138" t="s">
        <v>262</v>
      </c>
      <c r="B128" s="102">
        <v>14427</v>
      </c>
      <c r="C128" s="74"/>
    </row>
    <row r="129" spans="1:3" ht="15" x14ac:dyDescent="0.25">
      <c r="A129" s="138" t="s">
        <v>263</v>
      </c>
      <c r="B129" s="102">
        <v>18927</v>
      </c>
      <c r="C129" s="74"/>
    </row>
    <row r="130" spans="1:3" ht="15" x14ac:dyDescent="0.25">
      <c r="A130" s="138" t="s">
        <v>264</v>
      </c>
      <c r="B130" s="102">
        <v>3043</v>
      </c>
      <c r="C130" s="74"/>
    </row>
    <row r="131" spans="1:3" ht="15" x14ac:dyDescent="0.25">
      <c r="A131" s="138" t="s">
        <v>265</v>
      </c>
      <c r="B131" s="102">
        <v>23206</v>
      </c>
      <c r="C131" s="74"/>
    </row>
    <row r="132" spans="1:3" ht="15" x14ac:dyDescent="0.25">
      <c r="A132" s="138" t="s">
        <v>266</v>
      </c>
      <c r="B132" s="102">
        <v>9650</v>
      </c>
      <c r="C132" s="74"/>
    </row>
    <row r="133" spans="1:3" ht="15" x14ac:dyDescent="0.25">
      <c r="A133" s="138" t="s">
        <v>267</v>
      </c>
      <c r="B133" s="102">
        <v>737</v>
      </c>
      <c r="C133" s="74"/>
    </row>
    <row r="134" spans="1:3" ht="15" x14ac:dyDescent="0.25">
      <c r="A134" s="138" t="s">
        <v>268</v>
      </c>
      <c r="B134" s="102">
        <v>11098</v>
      </c>
      <c r="C134" s="74"/>
    </row>
    <row r="135" spans="1:3" ht="15" x14ac:dyDescent="0.25">
      <c r="A135" s="138" t="s">
        <v>269</v>
      </c>
      <c r="B135" s="102">
        <v>19831</v>
      </c>
      <c r="C135" s="74"/>
    </row>
    <row r="136" spans="1:3" ht="15" x14ac:dyDescent="0.25">
      <c r="A136" s="138" t="s">
        <v>270</v>
      </c>
      <c r="B136" s="102">
        <v>10161</v>
      </c>
      <c r="C136" s="74"/>
    </row>
    <row r="137" spans="1:3" ht="15" x14ac:dyDescent="0.25">
      <c r="A137" s="138" t="s">
        <v>271</v>
      </c>
      <c r="B137" s="102">
        <v>12145</v>
      </c>
      <c r="C137" s="74"/>
    </row>
    <row r="138" spans="1:3" ht="15" x14ac:dyDescent="0.25">
      <c r="A138" s="138" t="s">
        <v>273</v>
      </c>
      <c r="B138" s="102">
        <v>16032</v>
      </c>
      <c r="C138" s="74"/>
    </row>
    <row r="139" spans="1:3" ht="15" x14ac:dyDescent="0.25">
      <c r="A139" s="138" t="s">
        <v>274</v>
      </c>
      <c r="B139" s="102">
        <v>7861</v>
      </c>
      <c r="C139" s="74"/>
    </row>
    <row r="140" spans="1:3" ht="15" x14ac:dyDescent="0.25">
      <c r="A140" s="138" t="s">
        <v>275</v>
      </c>
      <c r="B140" s="102">
        <v>14891</v>
      </c>
      <c r="C140" s="74"/>
    </row>
    <row r="141" spans="1:3" ht="15" x14ac:dyDescent="0.25">
      <c r="A141" s="138" t="s">
        <v>276</v>
      </c>
      <c r="B141" s="102">
        <v>707</v>
      </c>
      <c r="C141" s="74"/>
    </row>
    <row r="142" spans="1:3" ht="15" x14ac:dyDescent="0.25">
      <c r="A142" s="138" t="s">
        <v>277</v>
      </c>
      <c r="B142" s="102">
        <v>2052</v>
      </c>
      <c r="C142" s="74"/>
    </row>
    <row r="143" spans="1:3" ht="15" x14ac:dyDescent="0.25">
      <c r="A143" s="138" t="s">
        <v>278</v>
      </c>
      <c r="B143" s="102">
        <v>5340</v>
      </c>
      <c r="C143" s="74"/>
    </row>
    <row r="144" spans="1:3" ht="15" x14ac:dyDescent="0.25">
      <c r="A144" s="138" t="s">
        <v>279</v>
      </c>
      <c r="B144" s="102">
        <v>4662</v>
      </c>
      <c r="C144" s="74"/>
    </row>
    <row r="145" spans="1:3" ht="15" x14ac:dyDescent="0.25">
      <c r="A145" s="138" t="s">
        <v>272</v>
      </c>
      <c r="B145" s="102">
        <v>46296</v>
      </c>
      <c r="C145" s="74"/>
    </row>
    <row r="146" spans="1:3" ht="15" x14ac:dyDescent="0.25">
      <c r="A146" s="138" t="s">
        <v>129</v>
      </c>
      <c r="B146" s="102">
        <v>15217</v>
      </c>
      <c r="C146" s="74"/>
    </row>
    <row r="147" spans="1:3" ht="15" x14ac:dyDescent="0.25">
      <c r="A147" s="138" t="s">
        <v>281</v>
      </c>
      <c r="B147" s="102">
        <v>5477</v>
      </c>
      <c r="C147" s="74"/>
    </row>
    <row r="148" spans="1:3" ht="15" x14ac:dyDescent="0.25">
      <c r="A148" s="138" t="s">
        <v>282</v>
      </c>
      <c r="B148" s="102">
        <v>2018</v>
      </c>
      <c r="C148" s="74"/>
    </row>
    <row r="149" spans="1:3" ht="15" x14ac:dyDescent="0.25">
      <c r="A149" s="138" t="s">
        <v>283</v>
      </c>
      <c r="B149" s="102">
        <v>9554</v>
      </c>
      <c r="C149" s="74"/>
    </row>
    <row r="150" spans="1:3" ht="15" x14ac:dyDescent="0.25">
      <c r="A150" s="138" t="s">
        <v>284</v>
      </c>
      <c r="B150" s="102">
        <v>1104</v>
      </c>
      <c r="C150" s="74"/>
    </row>
    <row r="151" spans="1:3" ht="15" x14ac:dyDescent="0.25">
      <c r="A151" s="138" t="s">
        <v>285</v>
      </c>
      <c r="B151" s="102">
        <v>3115</v>
      </c>
      <c r="C151" s="74"/>
    </row>
    <row r="152" spans="1:3" ht="15" x14ac:dyDescent="0.25">
      <c r="A152" s="138" t="s">
        <v>286</v>
      </c>
      <c r="B152" s="102">
        <v>1940</v>
      </c>
      <c r="C152" s="74"/>
    </row>
    <row r="153" spans="1:3" ht="15" x14ac:dyDescent="0.25">
      <c r="A153" s="138" t="s">
        <v>287</v>
      </c>
      <c r="B153" s="102">
        <v>53818</v>
      </c>
      <c r="C153" s="74"/>
    </row>
    <row r="154" spans="1:3" ht="15" x14ac:dyDescent="0.25">
      <c r="A154" s="138" t="s">
        <v>288</v>
      </c>
      <c r="B154" s="102">
        <v>8980</v>
      </c>
      <c r="C154" s="74"/>
    </row>
    <row r="155" spans="1:3" ht="15" x14ac:dyDescent="0.25">
      <c r="A155" s="138" t="s">
        <v>289</v>
      </c>
      <c r="B155" s="102">
        <v>1584</v>
      </c>
      <c r="C155" s="74"/>
    </row>
    <row r="156" spans="1:3" ht="15" x14ac:dyDescent="0.25">
      <c r="A156" s="138" t="s">
        <v>290</v>
      </c>
      <c r="B156" s="102">
        <v>2299</v>
      </c>
      <c r="C156" s="74"/>
    </row>
    <row r="157" spans="1:3" ht="15" x14ac:dyDescent="0.25">
      <c r="A157" s="138" t="s">
        <v>291</v>
      </c>
      <c r="B157" s="102">
        <v>19444</v>
      </c>
      <c r="C157" s="74"/>
    </row>
    <row r="158" spans="1:3" ht="15" x14ac:dyDescent="0.25">
      <c r="A158" s="138" t="s">
        <v>292</v>
      </c>
      <c r="B158" s="102">
        <v>10170</v>
      </c>
      <c r="C158" s="74"/>
    </row>
    <row r="159" spans="1:3" ht="15" x14ac:dyDescent="0.25">
      <c r="A159" s="138" t="s">
        <v>293</v>
      </c>
      <c r="B159" s="102">
        <v>7766</v>
      </c>
      <c r="C159" s="74"/>
    </row>
    <row r="160" spans="1:3" ht="15" x14ac:dyDescent="0.25">
      <c r="A160" s="138" t="s">
        <v>294</v>
      </c>
      <c r="B160" s="102">
        <v>1922</v>
      </c>
      <c r="C160" s="74"/>
    </row>
    <row r="161" spans="1:3" ht="15" x14ac:dyDescent="0.25">
      <c r="A161" s="138" t="s">
        <v>295</v>
      </c>
      <c r="B161" s="102">
        <v>20686</v>
      </c>
      <c r="C161" s="74"/>
    </row>
    <row r="162" spans="1:3" ht="15" x14ac:dyDescent="0.25">
      <c r="A162" s="138" t="s">
        <v>297</v>
      </c>
      <c r="B162" s="102">
        <v>5924</v>
      </c>
      <c r="C162" s="74"/>
    </row>
    <row r="163" spans="1:3" ht="15" x14ac:dyDescent="0.25">
      <c r="A163" s="138" t="s">
        <v>296</v>
      </c>
      <c r="B163" s="102">
        <v>9983</v>
      </c>
      <c r="C163" s="74"/>
    </row>
    <row r="164" spans="1:3" ht="15" x14ac:dyDescent="0.25">
      <c r="A164" s="138" t="s">
        <v>298</v>
      </c>
      <c r="B164" s="102">
        <v>19245</v>
      </c>
      <c r="C164" s="74"/>
    </row>
    <row r="165" spans="1:3" ht="15" x14ac:dyDescent="0.25">
      <c r="A165" s="138" t="s">
        <v>299</v>
      </c>
      <c r="B165" s="102">
        <v>5437</v>
      </c>
      <c r="C165" s="74"/>
    </row>
    <row r="166" spans="1:3" ht="15" x14ac:dyDescent="0.25">
      <c r="A166" s="138" t="s">
        <v>300</v>
      </c>
      <c r="B166" s="102">
        <v>10737</v>
      </c>
      <c r="C166" s="74"/>
    </row>
    <row r="167" spans="1:3" ht="15" x14ac:dyDescent="0.25">
      <c r="A167" s="138" t="s">
        <v>301</v>
      </c>
      <c r="B167" s="102">
        <v>33527</v>
      </c>
      <c r="C167" s="74"/>
    </row>
    <row r="168" spans="1:3" ht="15" x14ac:dyDescent="0.25">
      <c r="A168" s="138" t="s">
        <v>302</v>
      </c>
      <c r="B168" s="102">
        <v>4733</v>
      </c>
      <c r="C168" s="74"/>
    </row>
    <row r="169" spans="1:3" ht="15" x14ac:dyDescent="0.25">
      <c r="A169" s="138" t="s">
        <v>303</v>
      </c>
      <c r="B169" s="102">
        <v>9784</v>
      </c>
      <c r="C169" s="74"/>
    </row>
    <row r="170" spans="1:3" ht="15" x14ac:dyDescent="0.25">
      <c r="A170" s="138" t="s">
        <v>304</v>
      </c>
      <c r="B170" s="102">
        <v>42665</v>
      </c>
      <c r="C170" s="74"/>
    </row>
    <row r="171" spans="1:3" ht="15" x14ac:dyDescent="0.25">
      <c r="A171" s="138" t="s">
        <v>305</v>
      </c>
      <c r="B171" s="102">
        <v>9471</v>
      </c>
      <c r="C171" s="74"/>
    </row>
    <row r="172" spans="1:3" ht="15" x14ac:dyDescent="0.25">
      <c r="A172" s="138" t="s">
        <v>306</v>
      </c>
      <c r="B172" s="102">
        <v>16091</v>
      </c>
      <c r="C172" s="74"/>
    </row>
    <row r="173" spans="1:3" ht="15" x14ac:dyDescent="0.25">
      <c r="A173" s="138" t="s">
        <v>307</v>
      </c>
      <c r="B173" s="102">
        <v>1364</v>
      </c>
      <c r="C173" s="74"/>
    </row>
    <row r="174" spans="1:3" ht="15" x14ac:dyDescent="0.25">
      <c r="A174" s="138" t="s">
        <v>308</v>
      </c>
      <c r="B174" s="102">
        <v>9221</v>
      </c>
      <c r="C174" s="74"/>
    </row>
    <row r="175" spans="1:3" ht="15" x14ac:dyDescent="0.25">
      <c r="A175" s="138" t="s">
        <v>309</v>
      </c>
      <c r="B175" s="102">
        <v>7430</v>
      </c>
      <c r="C175" s="74"/>
    </row>
    <row r="176" spans="1:3" ht="15" x14ac:dyDescent="0.25">
      <c r="A176" s="138" t="s">
        <v>310</v>
      </c>
      <c r="B176" s="102">
        <v>203567</v>
      </c>
      <c r="C176" s="74"/>
    </row>
    <row r="177" spans="1:3" ht="15" x14ac:dyDescent="0.25">
      <c r="A177" s="138" t="s">
        <v>312</v>
      </c>
      <c r="B177" s="102">
        <v>2963</v>
      </c>
      <c r="C177" s="74"/>
    </row>
    <row r="178" spans="1:3" ht="15" x14ac:dyDescent="0.25">
      <c r="A178" s="138" t="s">
        <v>313</v>
      </c>
      <c r="B178" s="102">
        <v>10832</v>
      </c>
      <c r="C178" s="74"/>
    </row>
    <row r="179" spans="1:3" ht="15" x14ac:dyDescent="0.25">
      <c r="A179" s="138" t="s">
        <v>314</v>
      </c>
      <c r="B179" s="102">
        <v>3336</v>
      </c>
      <c r="C179" s="74"/>
    </row>
    <row r="180" spans="1:3" ht="15" x14ac:dyDescent="0.25">
      <c r="A180" s="138" t="s">
        <v>315</v>
      </c>
      <c r="B180" s="102">
        <v>4842</v>
      </c>
      <c r="C180" s="74"/>
    </row>
    <row r="181" spans="1:3" ht="15" x14ac:dyDescent="0.25">
      <c r="A181" s="138" t="s">
        <v>316</v>
      </c>
      <c r="B181" s="102">
        <v>6469</v>
      </c>
      <c r="C181" s="74"/>
    </row>
    <row r="182" spans="1:3" ht="15" x14ac:dyDescent="0.25">
      <c r="A182" s="138" t="s">
        <v>317</v>
      </c>
      <c r="B182" s="102">
        <v>954</v>
      </c>
      <c r="C182" s="74"/>
    </row>
    <row r="183" spans="1:3" ht="15" x14ac:dyDescent="0.25">
      <c r="A183" s="138" t="s">
        <v>319</v>
      </c>
      <c r="B183" s="102">
        <v>2825</v>
      </c>
      <c r="C183" s="74"/>
    </row>
    <row r="184" spans="1:3" ht="15" x14ac:dyDescent="0.25">
      <c r="A184" s="138" t="s">
        <v>320</v>
      </c>
      <c r="B184" s="102">
        <v>1713</v>
      </c>
      <c r="C184" s="74"/>
    </row>
    <row r="185" spans="1:3" ht="15" x14ac:dyDescent="0.25">
      <c r="A185" s="138" t="s">
        <v>321</v>
      </c>
      <c r="B185" s="102">
        <v>3900</v>
      </c>
      <c r="C185" s="74"/>
    </row>
    <row r="186" spans="1:3" ht="15" x14ac:dyDescent="0.25">
      <c r="A186" s="138" t="s">
        <v>322</v>
      </c>
      <c r="B186" s="102">
        <v>17933</v>
      </c>
      <c r="C186" s="74"/>
    </row>
    <row r="187" spans="1:3" ht="15" x14ac:dyDescent="0.25">
      <c r="A187" s="138" t="s">
        <v>323</v>
      </c>
      <c r="B187" s="102">
        <v>4498</v>
      </c>
      <c r="C187" s="74"/>
    </row>
    <row r="188" spans="1:3" ht="15" x14ac:dyDescent="0.25">
      <c r="A188" s="138" t="s">
        <v>324</v>
      </c>
      <c r="B188" s="102">
        <v>19278</v>
      </c>
      <c r="C188" s="74"/>
    </row>
    <row r="189" spans="1:3" ht="15" x14ac:dyDescent="0.25">
      <c r="A189" s="138" t="s">
        <v>576</v>
      </c>
      <c r="B189" s="102">
        <v>11016</v>
      </c>
      <c r="C189" s="74"/>
    </row>
    <row r="190" spans="1:3" ht="15" x14ac:dyDescent="0.25">
      <c r="A190" s="138" t="s">
        <v>325</v>
      </c>
      <c r="B190" s="102">
        <v>4053</v>
      </c>
      <c r="C190" s="74"/>
    </row>
    <row r="191" spans="1:3" ht="15" x14ac:dyDescent="0.25">
      <c r="A191" s="138" t="s">
        <v>326</v>
      </c>
      <c r="B191" s="102">
        <v>19368</v>
      </c>
      <c r="C191" s="74"/>
    </row>
    <row r="192" spans="1:3" ht="15" x14ac:dyDescent="0.25">
      <c r="A192" s="138" t="s">
        <v>327</v>
      </c>
      <c r="B192" s="102">
        <v>4307</v>
      </c>
      <c r="C192" s="74"/>
    </row>
    <row r="193" spans="1:3" ht="15" x14ac:dyDescent="0.25">
      <c r="A193" s="138" t="s">
        <v>328</v>
      </c>
      <c r="B193" s="102">
        <v>2146</v>
      </c>
      <c r="C193" s="74"/>
    </row>
    <row r="194" spans="1:3" ht="15" x14ac:dyDescent="0.25">
      <c r="A194" s="138" t="s">
        <v>329</v>
      </c>
      <c r="B194" s="102">
        <v>84403</v>
      </c>
      <c r="C194" s="74"/>
    </row>
    <row r="195" spans="1:3" ht="15" x14ac:dyDescent="0.25">
      <c r="A195" s="138" t="s">
        <v>330</v>
      </c>
      <c r="B195" s="102">
        <v>5068</v>
      </c>
      <c r="C195" s="74"/>
    </row>
    <row r="196" spans="1:3" ht="15" x14ac:dyDescent="0.25">
      <c r="A196" s="138" t="s">
        <v>332</v>
      </c>
      <c r="B196" s="102">
        <v>3237</v>
      </c>
      <c r="C196" s="74"/>
    </row>
    <row r="197" spans="1:3" ht="15" x14ac:dyDescent="0.25">
      <c r="A197" s="138" t="s">
        <v>333</v>
      </c>
      <c r="B197" s="102">
        <v>7990</v>
      </c>
      <c r="C197" s="74"/>
    </row>
    <row r="198" spans="1:3" ht="15" x14ac:dyDescent="0.25">
      <c r="A198" s="138" t="s">
        <v>334</v>
      </c>
      <c r="B198" s="102">
        <v>1899</v>
      </c>
      <c r="C198" s="74"/>
    </row>
    <row r="199" spans="1:3" ht="15" x14ac:dyDescent="0.25">
      <c r="A199" s="138" t="s">
        <v>335</v>
      </c>
      <c r="B199" s="102">
        <v>2896</v>
      </c>
      <c r="C199" s="74"/>
    </row>
    <row r="200" spans="1:3" ht="15" x14ac:dyDescent="0.25">
      <c r="A200" s="138" t="s">
        <v>336</v>
      </c>
      <c r="B200" s="102">
        <v>2597</v>
      </c>
      <c r="C200" s="74"/>
    </row>
    <row r="201" spans="1:3" ht="15" x14ac:dyDescent="0.25">
      <c r="A201" s="138" t="s">
        <v>337</v>
      </c>
      <c r="B201" s="102">
        <v>2197</v>
      </c>
      <c r="C201" s="74"/>
    </row>
    <row r="202" spans="1:3" ht="15" x14ac:dyDescent="0.25">
      <c r="A202" s="138" t="s">
        <v>131</v>
      </c>
      <c r="B202" s="102">
        <v>5187</v>
      </c>
      <c r="C202" s="74"/>
    </row>
    <row r="203" spans="1:3" ht="15" x14ac:dyDescent="0.25">
      <c r="A203" s="138" t="s">
        <v>338</v>
      </c>
      <c r="B203" s="102">
        <v>3146</v>
      </c>
      <c r="C203" s="74"/>
    </row>
    <row r="204" spans="1:3" ht="15" x14ac:dyDescent="0.25">
      <c r="A204" s="138" t="s">
        <v>132</v>
      </c>
      <c r="B204" s="102">
        <v>5248</v>
      </c>
      <c r="C204" s="74"/>
    </row>
    <row r="205" spans="1:3" ht="15" x14ac:dyDescent="0.25">
      <c r="A205" s="138" t="s">
        <v>339</v>
      </c>
      <c r="B205" s="102">
        <v>1557</v>
      </c>
      <c r="C205" s="74"/>
    </row>
    <row r="206" spans="1:3" ht="15" x14ac:dyDescent="0.25">
      <c r="A206" s="138" t="s">
        <v>340</v>
      </c>
      <c r="B206" s="102">
        <v>2028</v>
      </c>
      <c r="C206" s="74"/>
    </row>
    <row r="207" spans="1:3" ht="15" x14ac:dyDescent="0.25">
      <c r="A207" s="138" t="s">
        <v>341</v>
      </c>
      <c r="B207" s="102">
        <v>6499</v>
      </c>
      <c r="C207" s="74"/>
    </row>
    <row r="208" spans="1:3" ht="15" x14ac:dyDescent="0.25">
      <c r="A208" s="138" t="s">
        <v>342</v>
      </c>
      <c r="B208" s="102">
        <v>8333</v>
      </c>
      <c r="C208" s="74"/>
    </row>
    <row r="209" spans="1:3" ht="15" x14ac:dyDescent="0.25">
      <c r="A209" s="138" t="s">
        <v>331</v>
      </c>
      <c r="B209" s="102">
        <v>50262</v>
      </c>
      <c r="C209" s="74"/>
    </row>
    <row r="210" spans="1:3" ht="15" x14ac:dyDescent="0.25">
      <c r="A210" s="138" t="s">
        <v>343</v>
      </c>
      <c r="B210" s="102">
        <v>24811</v>
      </c>
      <c r="C210" s="74"/>
    </row>
    <row r="211" spans="1:3" ht="15" x14ac:dyDescent="0.25">
      <c r="A211" s="138" t="s">
        <v>344</v>
      </c>
      <c r="B211" s="102">
        <v>24178</v>
      </c>
      <c r="C211" s="74"/>
    </row>
    <row r="212" spans="1:3" ht="15" x14ac:dyDescent="0.25">
      <c r="A212" s="138" t="s">
        <v>345</v>
      </c>
      <c r="B212" s="102">
        <v>3514</v>
      </c>
      <c r="C212" s="74"/>
    </row>
    <row r="213" spans="1:3" ht="15" x14ac:dyDescent="0.25">
      <c r="A213" s="138" t="s">
        <v>346</v>
      </c>
      <c r="B213" s="102">
        <v>3896</v>
      </c>
      <c r="C213" s="74"/>
    </row>
    <row r="214" spans="1:3" ht="15" x14ac:dyDescent="0.25">
      <c r="A214" s="138" t="s">
        <v>347</v>
      </c>
      <c r="B214" s="102">
        <v>39360</v>
      </c>
      <c r="C214" s="74"/>
    </row>
    <row r="215" spans="1:3" ht="15" x14ac:dyDescent="0.25">
      <c r="A215" s="138" t="s">
        <v>348</v>
      </c>
      <c r="B215" s="102">
        <v>3196</v>
      </c>
      <c r="C215" s="74"/>
    </row>
    <row r="216" spans="1:3" ht="15" x14ac:dyDescent="0.25">
      <c r="A216" s="138" t="s">
        <v>349</v>
      </c>
      <c r="B216" s="102">
        <v>1651</v>
      </c>
      <c r="C216" s="74"/>
    </row>
    <row r="217" spans="1:3" ht="15" x14ac:dyDescent="0.25">
      <c r="A217" s="138" t="s">
        <v>350</v>
      </c>
      <c r="B217" s="102">
        <v>3335</v>
      </c>
      <c r="C217" s="74"/>
    </row>
    <row r="218" spans="1:3" ht="15" x14ac:dyDescent="0.25">
      <c r="A218" s="138" t="s">
        <v>351</v>
      </c>
      <c r="B218" s="102">
        <v>2743</v>
      </c>
      <c r="C218" s="74"/>
    </row>
    <row r="219" spans="1:3" ht="15" x14ac:dyDescent="0.25">
      <c r="A219" s="138" t="s">
        <v>352</v>
      </c>
      <c r="B219" s="102">
        <v>28736</v>
      </c>
      <c r="C219" s="74"/>
    </row>
    <row r="220" spans="1:3" ht="15" x14ac:dyDescent="0.25">
      <c r="A220" s="138" t="s">
        <v>353</v>
      </c>
      <c r="B220" s="102">
        <v>1288</v>
      </c>
      <c r="C220" s="74"/>
    </row>
    <row r="221" spans="1:3" ht="15" x14ac:dyDescent="0.25">
      <c r="A221" s="138" t="s">
        <v>354</v>
      </c>
      <c r="B221" s="102">
        <v>62922</v>
      </c>
      <c r="C221" s="74"/>
    </row>
    <row r="222" spans="1:3" ht="15" x14ac:dyDescent="0.25">
      <c r="A222" s="138" t="s">
        <v>355</v>
      </c>
      <c r="B222" s="102">
        <v>5099</v>
      </c>
      <c r="C222" s="74"/>
    </row>
    <row r="223" spans="1:3" ht="15" x14ac:dyDescent="0.25">
      <c r="A223" s="138" t="s">
        <v>356</v>
      </c>
      <c r="B223" s="102">
        <v>4398</v>
      </c>
      <c r="C223" s="74"/>
    </row>
    <row r="224" spans="1:3" ht="15" x14ac:dyDescent="0.25">
      <c r="A224" s="138" t="s">
        <v>357</v>
      </c>
      <c r="B224" s="102">
        <v>6251</v>
      </c>
      <c r="C224" s="74"/>
    </row>
    <row r="225" spans="1:3" ht="15" x14ac:dyDescent="0.25">
      <c r="A225" s="138" t="s">
        <v>358</v>
      </c>
      <c r="B225" s="102">
        <v>2181</v>
      </c>
      <c r="C225" s="74"/>
    </row>
    <row r="226" spans="1:3" ht="15" x14ac:dyDescent="0.25">
      <c r="A226" s="138" t="s">
        <v>133</v>
      </c>
      <c r="B226" s="102">
        <v>27592</v>
      </c>
      <c r="C226" s="74"/>
    </row>
    <row r="227" spans="1:3" ht="15" x14ac:dyDescent="0.25">
      <c r="A227" s="138" t="s">
        <v>359</v>
      </c>
      <c r="B227" s="102">
        <v>9415</v>
      </c>
      <c r="C227" s="74"/>
    </row>
    <row r="228" spans="1:3" ht="15" x14ac:dyDescent="0.25">
      <c r="A228" s="138" t="s">
        <v>360</v>
      </c>
      <c r="B228" s="102">
        <v>3491</v>
      </c>
      <c r="C228" s="74"/>
    </row>
    <row r="229" spans="1:3" ht="15" x14ac:dyDescent="0.25">
      <c r="A229" s="138" t="s">
        <v>361</v>
      </c>
      <c r="B229" s="102">
        <v>52321</v>
      </c>
      <c r="C229" s="74"/>
    </row>
    <row r="230" spans="1:3" ht="15" x14ac:dyDescent="0.25">
      <c r="A230" s="138" t="s">
        <v>362</v>
      </c>
      <c r="B230" s="102">
        <v>2994</v>
      </c>
      <c r="C230" s="74"/>
    </row>
    <row r="231" spans="1:3" ht="15" x14ac:dyDescent="0.25">
      <c r="A231" s="138" t="s">
        <v>363</v>
      </c>
      <c r="B231" s="102">
        <v>3429</v>
      </c>
      <c r="C231" s="74"/>
    </row>
    <row r="232" spans="1:3" ht="15" x14ac:dyDescent="0.25">
      <c r="A232" s="138" t="s">
        <v>364</v>
      </c>
      <c r="B232" s="102">
        <v>33611</v>
      </c>
      <c r="C232" s="74"/>
    </row>
    <row r="233" spans="1:3" ht="15" x14ac:dyDescent="0.25">
      <c r="A233" s="138" t="s">
        <v>365</v>
      </c>
      <c r="B233" s="102">
        <v>1015</v>
      </c>
      <c r="C233" s="74"/>
    </row>
    <row r="234" spans="1:3" ht="15" x14ac:dyDescent="0.25">
      <c r="A234" s="138" t="s">
        <v>366</v>
      </c>
      <c r="B234" s="102">
        <v>63288</v>
      </c>
      <c r="C234" s="74"/>
    </row>
    <row r="235" spans="1:3" ht="15" x14ac:dyDescent="0.25">
      <c r="A235" s="138" t="s">
        <v>367</v>
      </c>
      <c r="B235" s="102">
        <v>4980</v>
      </c>
      <c r="C235" s="74"/>
    </row>
    <row r="236" spans="1:3" ht="15" x14ac:dyDescent="0.25">
      <c r="A236" s="138" t="s">
        <v>368</v>
      </c>
      <c r="B236" s="102">
        <v>1458</v>
      </c>
      <c r="C236" s="74"/>
    </row>
    <row r="237" spans="1:3" ht="15" x14ac:dyDescent="0.25">
      <c r="A237" s="138" t="s">
        <v>369</v>
      </c>
      <c r="B237" s="102">
        <v>5249</v>
      </c>
      <c r="C237" s="74"/>
    </row>
    <row r="238" spans="1:3" ht="15" x14ac:dyDescent="0.25">
      <c r="A238" s="138" t="s">
        <v>370</v>
      </c>
      <c r="B238" s="102">
        <v>21674</v>
      </c>
      <c r="C238" s="74"/>
    </row>
    <row r="239" spans="1:3" ht="15" x14ac:dyDescent="0.25">
      <c r="A239" s="138" t="s">
        <v>371</v>
      </c>
      <c r="B239" s="102">
        <v>3045</v>
      </c>
      <c r="C239" s="74"/>
    </row>
    <row r="240" spans="1:3" ht="15" x14ac:dyDescent="0.25">
      <c r="A240" s="138" t="s">
        <v>372</v>
      </c>
      <c r="B240" s="102">
        <v>20666</v>
      </c>
      <c r="C240" s="74"/>
    </row>
    <row r="241" spans="1:3" ht="15" x14ac:dyDescent="0.25">
      <c r="A241" s="138" t="s">
        <v>373</v>
      </c>
      <c r="B241" s="102">
        <v>6134</v>
      </c>
      <c r="C241" s="74"/>
    </row>
    <row r="242" spans="1:3" ht="15" x14ac:dyDescent="0.25">
      <c r="A242" s="138" t="s">
        <v>374</v>
      </c>
      <c r="B242" s="102">
        <v>8444</v>
      </c>
      <c r="C242" s="74"/>
    </row>
    <row r="243" spans="1:3" ht="15" x14ac:dyDescent="0.25">
      <c r="A243" s="138" t="s">
        <v>375</v>
      </c>
      <c r="B243" s="102">
        <v>2085</v>
      </c>
      <c r="C243" s="74"/>
    </row>
    <row r="244" spans="1:3" ht="15" x14ac:dyDescent="0.25">
      <c r="A244" s="138" t="s">
        <v>376</v>
      </c>
      <c r="B244" s="102">
        <v>8828</v>
      </c>
      <c r="C244" s="74"/>
    </row>
    <row r="245" spans="1:3" ht="15" x14ac:dyDescent="0.25">
      <c r="A245" s="138" t="s">
        <v>377</v>
      </c>
      <c r="B245" s="102">
        <v>3967</v>
      </c>
      <c r="C245" s="74"/>
    </row>
    <row r="246" spans="1:3" ht="15" x14ac:dyDescent="0.25">
      <c r="A246" s="138" t="s">
        <v>378</v>
      </c>
      <c r="B246" s="102">
        <v>10389</v>
      </c>
      <c r="C246" s="74"/>
    </row>
    <row r="247" spans="1:3" ht="15" x14ac:dyDescent="0.25">
      <c r="A247" s="138" t="s">
        <v>379</v>
      </c>
      <c r="B247" s="102">
        <v>2530</v>
      </c>
      <c r="C247" s="74"/>
    </row>
    <row r="248" spans="1:3" ht="15" x14ac:dyDescent="0.25">
      <c r="A248" s="138" t="s">
        <v>380</v>
      </c>
      <c r="B248" s="102">
        <v>7862</v>
      </c>
      <c r="C248" s="74"/>
    </row>
    <row r="249" spans="1:3" ht="15" x14ac:dyDescent="0.25">
      <c r="A249" s="138" t="s">
        <v>381</v>
      </c>
      <c r="B249" s="102">
        <v>7145</v>
      </c>
      <c r="C249" s="74"/>
    </row>
    <row r="250" spans="1:3" ht="15" x14ac:dyDescent="0.25">
      <c r="A250" s="138" t="s">
        <v>382</v>
      </c>
      <c r="B250" s="102">
        <v>3753</v>
      </c>
      <c r="C250" s="74"/>
    </row>
    <row r="251" spans="1:3" ht="15" x14ac:dyDescent="0.25">
      <c r="A251" s="138" t="s">
        <v>383</v>
      </c>
      <c r="B251" s="102">
        <v>6811</v>
      </c>
      <c r="C251" s="74"/>
    </row>
    <row r="252" spans="1:3" ht="15" x14ac:dyDescent="0.25">
      <c r="A252" s="138" t="s">
        <v>407</v>
      </c>
      <c r="B252" s="102">
        <v>2869</v>
      </c>
      <c r="C252" s="74"/>
    </row>
    <row r="253" spans="1:3" ht="15" x14ac:dyDescent="0.25">
      <c r="A253" s="138" t="s">
        <v>134</v>
      </c>
      <c r="B253" s="102">
        <v>24651</v>
      </c>
      <c r="C253" s="74"/>
    </row>
    <row r="254" spans="1:3" ht="15" x14ac:dyDescent="0.25">
      <c r="A254" s="138" t="s">
        <v>135</v>
      </c>
      <c r="B254" s="102">
        <v>5301</v>
      </c>
      <c r="C254" s="74"/>
    </row>
    <row r="255" spans="1:3" ht="15" x14ac:dyDescent="0.25">
      <c r="A255" s="138" t="s">
        <v>384</v>
      </c>
      <c r="B255" s="102">
        <v>4715</v>
      </c>
      <c r="C255" s="74"/>
    </row>
    <row r="256" spans="1:3" ht="15" x14ac:dyDescent="0.25">
      <c r="A256" s="138" t="s">
        <v>385</v>
      </c>
      <c r="B256" s="102">
        <v>4024</v>
      </c>
      <c r="C256" s="74"/>
    </row>
    <row r="257" spans="1:3" ht="15" x14ac:dyDescent="0.25">
      <c r="A257" s="138" t="s">
        <v>386</v>
      </c>
      <c r="B257" s="102">
        <v>1662</v>
      </c>
      <c r="C257" s="74"/>
    </row>
    <row r="258" spans="1:3" ht="15" x14ac:dyDescent="0.25">
      <c r="A258" s="138" t="s">
        <v>387</v>
      </c>
      <c r="B258" s="102">
        <v>6081</v>
      </c>
      <c r="C258" s="74"/>
    </row>
    <row r="259" spans="1:3" ht="15" x14ac:dyDescent="0.25">
      <c r="A259" s="138" t="s">
        <v>388</v>
      </c>
      <c r="B259" s="102">
        <v>235239</v>
      </c>
      <c r="C259" s="74"/>
    </row>
    <row r="260" spans="1:3" ht="15" x14ac:dyDescent="0.25">
      <c r="A260" s="138" t="s">
        <v>389</v>
      </c>
      <c r="B260" s="102">
        <v>1567</v>
      </c>
      <c r="C260" s="74"/>
    </row>
    <row r="261" spans="1:3" ht="15" x14ac:dyDescent="0.25">
      <c r="A261" s="138" t="s">
        <v>390</v>
      </c>
      <c r="B261" s="102">
        <v>3062</v>
      </c>
      <c r="C261" s="74"/>
    </row>
    <row r="262" spans="1:3" ht="15" x14ac:dyDescent="0.25">
      <c r="A262" s="138" t="s">
        <v>391</v>
      </c>
      <c r="B262" s="102">
        <v>5158</v>
      </c>
      <c r="C262" s="74"/>
    </row>
    <row r="263" spans="1:3" ht="15" x14ac:dyDescent="0.25">
      <c r="A263" s="138" t="s">
        <v>392</v>
      </c>
      <c r="B263" s="102">
        <v>4482</v>
      </c>
      <c r="C263" s="74"/>
    </row>
    <row r="264" spans="1:3" ht="15" x14ac:dyDescent="0.25">
      <c r="A264" s="138" t="s">
        <v>393</v>
      </c>
      <c r="B264" s="102">
        <v>3112</v>
      </c>
      <c r="C264" s="74"/>
    </row>
    <row r="265" spans="1:3" ht="15" x14ac:dyDescent="0.25">
      <c r="A265" s="138" t="s">
        <v>394</v>
      </c>
      <c r="B265" s="102">
        <v>2406</v>
      </c>
      <c r="C265" s="74"/>
    </row>
    <row r="266" spans="1:3" ht="15" x14ac:dyDescent="0.25">
      <c r="A266" s="138" t="s">
        <v>395</v>
      </c>
      <c r="B266" s="102">
        <v>21875</v>
      </c>
      <c r="C266" s="74"/>
    </row>
    <row r="267" spans="1:3" ht="15" x14ac:dyDescent="0.25">
      <c r="A267" s="138" t="s">
        <v>396</v>
      </c>
      <c r="B267" s="102">
        <v>191331</v>
      </c>
      <c r="C267" s="74"/>
    </row>
    <row r="268" spans="1:3" ht="15" x14ac:dyDescent="0.25">
      <c r="A268" s="138" t="s">
        <v>318</v>
      </c>
      <c r="B268" s="102">
        <v>3438</v>
      </c>
      <c r="C268" s="74"/>
    </row>
    <row r="269" spans="1:3" ht="15" x14ac:dyDescent="0.25">
      <c r="A269" s="138" t="s">
        <v>397</v>
      </c>
      <c r="B269" s="102">
        <v>2551</v>
      </c>
      <c r="C269" s="74"/>
    </row>
    <row r="270" spans="1:3" ht="15" x14ac:dyDescent="0.25">
      <c r="A270" s="138" t="s">
        <v>398</v>
      </c>
      <c r="B270" s="102">
        <v>38664</v>
      </c>
      <c r="C270" s="74"/>
    </row>
    <row r="271" spans="1:3" ht="15" x14ac:dyDescent="0.25">
      <c r="A271" s="138" t="s">
        <v>399</v>
      </c>
      <c r="B271" s="102">
        <v>6758</v>
      </c>
      <c r="C271" s="74"/>
    </row>
    <row r="272" spans="1:3" ht="15" x14ac:dyDescent="0.25">
      <c r="A272" s="138" t="s">
        <v>400</v>
      </c>
      <c r="B272" s="102">
        <v>13021</v>
      </c>
      <c r="C272" s="74"/>
    </row>
    <row r="273" spans="1:3" ht="15" x14ac:dyDescent="0.25">
      <c r="A273" s="138" t="s">
        <v>401</v>
      </c>
      <c r="B273" s="102">
        <v>4792</v>
      </c>
      <c r="C273" s="74"/>
    </row>
    <row r="274" spans="1:3" ht="15" x14ac:dyDescent="0.25">
      <c r="A274" s="138" t="s">
        <v>402</v>
      </c>
      <c r="B274" s="102">
        <v>2702</v>
      </c>
      <c r="C274" s="74"/>
    </row>
    <row r="275" spans="1:3" ht="15" x14ac:dyDescent="0.25">
      <c r="A275" s="138" t="s">
        <v>403</v>
      </c>
      <c r="B275" s="102">
        <v>1232</v>
      </c>
      <c r="C275" s="74"/>
    </row>
    <row r="276" spans="1:3" ht="15" x14ac:dyDescent="0.25">
      <c r="A276" s="138" t="s">
        <v>404</v>
      </c>
      <c r="B276" s="102">
        <v>3783</v>
      </c>
      <c r="C276" s="74"/>
    </row>
    <row r="277" spans="1:3" ht="15" x14ac:dyDescent="0.25">
      <c r="A277" s="138" t="s">
        <v>405</v>
      </c>
      <c r="B277" s="102">
        <v>7455</v>
      </c>
      <c r="C277" s="74"/>
    </row>
    <row r="278" spans="1:3" ht="15" x14ac:dyDescent="0.25">
      <c r="A278" s="138" t="s">
        <v>406</v>
      </c>
      <c r="B278" s="102">
        <v>15700</v>
      </c>
      <c r="C278" s="74"/>
    </row>
    <row r="279" spans="1:3" ht="15" x14ac:dyDescent="0.25">
      <c r="A279" s="138" t="s">
        <v>408</v>
      </c>
      <c r="B279" s="102">
        <v>67552</v>
      </c>
      <c r="C279" s="74"/>
    </row>
    <row r="280" spans="1:3" ht="15" x14ac:dyDescent="0.25">
      <c r="A280" s="138" t="s">
        <v>409</v>
      </c>
      <c r="B280" s="102">
        <v>21137</v>
      </c>
      <c r="C280" s="74"/>
    </row>
    <row r="281" spans="1:3" ht="15" x14ac:dyDescent="0.25">
      <c r="A281" s="138" t="s">
        <v>412</v>
      </c>
      <c r="B281" s="102">
        <v>20829</v>
      </c>
      <c r="C281" s="74"/>
    </row>
    <row r="282" spans="1:3" ht="15" x14ac:dyDescent="0.25">
      <c r="A282" s="138" t="s">
        <v>413</v>
      </c>
      <c r="B282" s="102">
        <v>2285</v>
      </c>
      <c r="C282" s="74"/>
    </row>
    <row r="283" spans="1:3" ht="15" x14ac:dyDescent="0.25">
      <c r="A283" s="138" t="s">
        <v>414</v>
      </c>
      <c r="B283" s="102">
        <v>2058</v>
      </c>
      <c r="C283" s="74"/>
    </row>
    <row r="284" spans="1:3" ht="15" x14ac:dyDescent="0.25">
      <c r="A284" s="138" t="s">
        <v>415</v>
      </c>
      <c r="B284" s="102">
        <v>4393</v>
      </c>
      <c r="C284" s="74"/>
    </row>
    <row r="285" spans="1:3" ht="15" x14ac:dyDescent="0.25">
      <c r="A285" s="138" t="s">
        <v>416</v>
      </c>
      <c r="B285" s="102">
        <v>3166</v>
      </c>
      <c r="C285" s="74"/>
    </row>
    <row r="286" spans="1:3" ht="15" x14ac:dyDescent="0.25">
      <c r="A286" s="138" t="s">
        <v>417</v>
      </c>
      <c r="B286" s="102">
        <v>3676</v>
      </c>
      <c r="C286" s="74"/>
    </row>
    <row r="287" spans="1:3" ht="15" x14ac:dyDescent="0.25">
      <c r="A287" s="138" t="s">
        <v>418</v>
      </c>
      <c r="B287" s="102">
        <v>29211</v>
      </c>
      <c r="C287" s="74"/>
    </row>
    <row r="288" spans="1:3" ht="15" x14ac:dyDescent="0.25">
      <c r="A288" s="138" t="s">
        <v>419</v>
      </c>
      <c r="B288" s="102">
        <v>6264</v>
      </c>
      <c r="C288" s="74"/>
    </row>
    <row r="289" spans="1:3" ht="15" x14ac:dyDescent="0.25">
      <c r="A289" s="138" t="s">
        <v>420</v>
      </c>
      <c r="B289" s="102">
        <v>2901</v>
      </c>
      <c r="C289" s="74"/>
    </row>
    <row r="290" spans="1:3" ht="15" x14ac:dyDescent="0.25">
      <c r="A290" s="138" t="s">
        <v>421</v>
      </c>
      <c r="B290" s="102">
        <v>3150</v>
      </c>
      <c r="C290" s="74"/>
    </row>
    <row r="291" spans="1:3" ht="15" x14ac:dyDescent="0.25">
      <c r="A291" s="138" t="s">
        <v>422</v>
      </c>
      <c r="B291" s="102">
        <v>6739</v>
      </c>
      <c r="C291" s="74"/>
    </row>
    <row r="292" spans="1:3" ht="15" x14ac:dyDescent="0.25">
      <c r="A292" s="138" t="s">
        <v>136</v>
      </c>
      <c r="B292" s="102">
        <v>6613</v>
      </c>
      <c r="C292" s="74"/>
    </row>
    <row r="293" spans="1:3" ht="15" x14ac:dyDescent="0.25">
      <c r="A293" s="138" t="s">
        <v>423</v>
      </c>
      <c r="B293" s="102">
        <v>4022</v>
      </c>
      <c r="C293" s="74"/>
    </row>
    <row r="294" spans="1:3" ht="15" x14ac:dyDescent="0.25">
      <c r="A294" s="138" t="s">
        <v>424</v>
      </c>
      <c r="B294" s="102">
        <v>15212</v>
      </c>
      <c r="C294" s="74"/>
    </row>
    <row r="295" spans="1:3" ht="15" x14ac:dyDescent="0.25">
      <c r="A295" s="138" t="s">
        <v>425</v>
      </c>
      <c r="B295" s="102">
        <v>32983</v>
      </c>
      <c r="C295" s="74"/>
    </row>
    <row r="296" spans="1:3" ht="15" x14ac:dyDescent="0.25">
      <c r="A296" s="138" t="s">
        <v>426</v>
      </c>
      <c r="B296" s="102">
        <v>2357</v>
      </c>
      <c r="C296" s="74"/>
    </row>
    <row r="297" spans="1:3" ht="15" x14ac:dyDescent="0.25">
      <c r="A297" s="138" t="s">
        <v>427</v>
      </c>
      <c r="B297" s="102">
        <v>5703</v>
      </c>
      <c r="C297" s="74"/>
    </row>
    <row r="298" spans="1:3" ht="15" x14ac:dyDescent="0.25">
      <c r="A298" s="138" t="s">
        <v>428</v>
      </c>
      <c r="B298" s="102">
        <v>18851</v>
      </c>
      <c r="C298" s="74"/>
    </row>
    <row r="299" spans="1:3" ht="15" x14ac:dyDescent="0.25">
      <c r="A299" s="138"/>
      <c r="B299" s="102"/>
      <c r="C299" s="74"/>
    </row>
    <row r="300" spans="1:3" ht="15" x14ac:dyDescent="0.25">
      <c r="A300" s="138" t="s">
        <v>597</v>
      </c>
      <c r="B300" s="102">
        <f>SUM(B5:B299)</f>
        <v>5488130</v>
      </c>
    </row>
    <row r="303" spans="1:3" x14ac:dyDescent="0.2">
      <c r="A303" s="150"/>
    </row>
    <row r="304" spans="1:3" x14ac:dyDescent="0.2">
      <c r="A304" s="150"/>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ul12"/>
  <dimension ref="A1:Y300"/>
  <sheetViews>
    <sheetView zoomScale="130" zoomScaleNormal="130" workbookViewId="0">
      <selection activeCell="G7" sqref="A1:Y300"/>
    </sheetView>
  </sheetViews>
  <sheetFormatPr defaultRowHeight="12.75" x14ac:dyDescent="0.2"/>
  <cols>
    <col min="4" max="4" width="10.140625" bestFit="1" customWidth="1"/>
  </cols>
  <sheetData>
    <row r="1" spans="1:25" x14ac:dyDescent="0.2">
      <c r="A1" s="212" t="s">
        <v>582</v>
      </c>
      <c r="B1" s="216">
        <v>1</v>
      </c>
      <c r="C1" s="216">
        <v>2</v>
      </c>
      <c r="D1" s="213">
        <v>3</v>
      </c>
      <c r="E1" s="216">
        <v>4</v>
      </c>
      <c r="F1" s="216">
        <v>5</v>
      </c>
      <c r="G1" s="213">
        <v>6</v>
      </c>
      <c r="H1" s="216">
        <v>7</v>
      </c>
      <c r="I1" s="216">
        <v>8</v>
      </c>
      <c r="J1" s="213">
        <v>9</v>
      </c>
      <c r="K1" s="216">
        <v>10</v>
      </c>
      <c r="L1" s="216">
        <v>11</v>
      </c>
      <c r="M1" s="213">
        <v>12</v>
      </c>
      <c r="N1" s="216">
        <v>13</v>
      </c>
      <c r="O1" s="216">
        <v>14</v>
      </c>
      <c r="P1" s="213">
        <v>15</v>
      </c>
      <c r="Q1" s="216">
        <v>16</v>
      </c>
      <c r="R1" s="216">
        <v>17</v>
      </c>
      <c r="S1" s="213">
        <v>18</v>
      </c>
      <c r="T1" s="216">
        <v>19</v>
      </c>
      <c r="U1" s="216">
        <v>20</v>
      </c>
      <c r="V1" s="213">
        <v>21</v>
      </c>
      <c r="W1" s="216">
        <v>22</v>
      </c>
      <c r="X1" s="216">
        <v>23</v>
      </c>
      <c r="Y1" s="213">
        <v>24</v>
      </c>
    </row>
    <row r="2" spans="1:25" x14ac:dyDescent="0.2">
      <c r="A2" s="212" t="s">
        <v>560</v>
      </c>
      <c r="B2" s="214" t="s">
        <v>121</v>
      </c>
      <c r="C2" s="214" t="s">
        <v>137</v>
      </c>
      <c r="D2" s="214" t="s">
        <v>482</v>
      </c>
      <c r="E2" s="215"/>
      <c r="F2" s="215"/>
      <c r="G2" s="215"/>
      <c r="H2" s="215"/>
      <c r="I2" s="214" t="s">
        <v>441</v>
      </c>
      <c r="J2" s="214"/>
      <c r="K2" s="214"/>
      <c r="L2" s="214"/>
      <c r="M2" s="214"/>
      <c r="N2" s="214" t="s">
        <v>505</v>
      </c>
      <c r="O2" s="216"/>
      <c r="P2" s="216"/>
      <c r="Q2" s="216"/>
      <c r="R2" s="216"/>
      <c r="S2" s="221"/>
      <c r="T2" s="221"/>
      <c r="U2" s="221"/>
      <c r="V2" s="221"/>
      <c r="W2" s="221"/>
      <c r="X2" s="221"/>
      <c r="Y2" s="221"/>
    </row>
    <row r="3" spans="1:25" x14ac:dyDescent="0.2">
      <c r="A3" s="242">
        <v>2018</v>
      </c>
      <c r="B3" s="242"/>
      <c r="C3" s="243" t="s">
        <v>103</v>
      </c>
      <c r="D3" s="215"/>
      <c r="E3" s="215"/>
      <c r="F3" s="215"/>
      <c r="G3" s="215"/>
      <c r="H3" s="215"/>
      <c r="I3" s="215"/>
      <c r="J3" s="215"/>
      <c r="K3" s="215"/>
      <c r="L3" s="215"/>
      <c r="M3" s="215"/>
      <c r="N3" s="216"/>
      <c r="O3" s="216"/>
      <c r="P3" s="216"/>
      <c r="Q3" s="216"/>
      <c r="R3" s="216"/>
      <c r="S3" s="221"/>
      <c r="T3" s="221"/>
      <c r="U3" s="221"/>
      <c r="V3" s="221"/>
      <c r="W3" s="221"/>
      <c r="X3" s="221"/>
      <c r="Y3" s="221"/>
    </row>
    <row r="4" spans="1:25" ht="15" x14ac:dyDescent="0.25">
      <c r="A4" s="244"/>
      <c r="B4" s="245"/>
      <c r="C4" s="217"/>
      <c r="D4" s="218">
        <v>2017</v>
      </c>
      <c r="E4" s="218" t="s">
        <v>561</v>
      </c>
      <c r="F4" s="218" t="s">
        <v>562</v>
      </c>
      <c r="G4" s="218" t="s">
        <v>563</v>
      </c>
      <c r="H4" s="218" t="s">
        <v>604</v>
      </c>
      <c r="I4" s="219">
        <v>2017</v>
      </c>
      <c r="J4" s="219" t="s">
        <v>561</v>
      </c>
      <c r="K4" s="219" t="s">
        <v>562</v>
      </c>
      <c r="L4" s="219" t="s">
        <v>563</v>
      </c>
      <c r="M4" s="219" t="s">
        <v>605</v>
      </c>
      <c r="N4" s="220">
        <v>2017</v>
      </c>
      <c r="O4" s="220" t="s">
        <v>561</v>
      </c>
      <c r="P4" s="220" t="s">
        <v>562</v>
      </c>
      <c r="Q4" s="220" t="s">
        <v>563</v>
      </c>
      <c r="R4" s="220" t="s">
        <v>604</v>
      </c>
      <c r="S4" s="221"/>
      <c r="T4" s="221"/>
      <c r="U4" s="221"/>
      <c r="V4" s="221"/>
      <c r="W4" s="221"/>
      <c r="X4" s="221"/>
      <c r="Y4" s="221"/>
    </row>
    <row r="5" spans="1:25" x14ac:dyDescent="0.2">
      <c r="A5" s="210">
        <v>20</v>
      </c>
      <c r="B5" s="211" t="s">
        <v>126</v>
      </c>
      <c r="C5" s="241">
        <v>6</v>
      </c>
      <c r="D5" s="222">
        <v>54016.245569999999</v>
      </c>
      <c r="E5" s="222">
        <v>56434.730967642128</v>
      </c>
      <c r="F5" s="222">
        <v>59062.72852290648</v>
      </c>
      <c r="G5" s="222">
        <v>31993.08864281961</v>
      </c>
      <c r="H5" s="222">
        <v>31363.75735713269</v>
      </c>
      <c r="I5" s="222">
        <v>1892.6968999999999</v>
      </c>
      <c r="J5" s="222">
        <v>1628.567884</v>
      </c>
      <c r="K5" s="222">
        <v>1757.1719659999999</v>
      </c>
      <c r="L5" s="222">
        <v>1356.2637990000001</v>
      </c>
      <c r="M5" s="222">
        <v>1373.3237209999998</v>
      </c>
      <c r="N5" s="222">
        <v>3489.0633399999997</v>
      </c>
      <c r="O5" s="222">
        <v>3290.5971709439996</v>
      </c>
      <c r="P5" s="222">
        <v>3290.5971709439996</v>
      </c>
      <c r="Q5" s="222">
        <v>3290.5971709439996</v>
      </c>
      <c r="R5" s="222">
        <v>3290.5971709439996</v>
      </c>
      <c r="S5" s="222"/>
      <c r="T5" s="222"/>
      <c r="U5" s="222"/>
      <c r="V5" s="221"/>
      <c r="W5" s="221"/>
      <c r="X5" s="221"/>
      <c r="Y5" s="221"/>
    </row>
    <row r="6" spans="1:25" x14ac:dyDescent="0.2">
      <c r="A6" s="210">
        <v>5</v>
      </c>
      <c r="B6" s="211" t="s">
        <v>143</v>
      </c>
      <c r="C6" s="241">
        <v>14</v>
      </c>
      <c r="D6" s="222">
        <v>25064.810819999999</v>
      </c>
      <c r="E6" s="222">
        <v>25220.785467656671</v>
      </c>
      <c r="F6" s="222">
        <v>26066.763815107741</v>
      </c>
      <c r="G6" s="222">
        <v>14274.654404783731</v>
      </c>
      <c r="H6" s="222">
        <v>14102.440397079428</v>
      </c>
      <c r="I6" s="222">
        <v>2438.0982000000004</v>
      </c>
      <c r="J6" s="222">
        <v>2168.3605629999997</v>
      </c>
      <c r="K6" s="222">
        <v>2347.3168519999999</v>
      </c>
      <c r="L6" s="222">
        <v>1811.763978</v>
      </c>
      <c r="M6" s="222">
        <v>1834.5534619999999</v>
      </c>
      <c r="N6" s="222">
        <v>2155.64923</v>
      </c>
      <c r="O6" s="222">
        <v>2101.0174717800005</v>
      </c>
      <c r="P6" s="222">
        <v>2101.0174717800005</v>
      </c>
      <c r="Q6" s="222">
        <v>2101.0174717800005</v>
      </c>
      <c r="R6" s="222">
        <v>2101.0174717800005</v>
      </c>
      <c r="S6" s="222"/>
      <c r="T6" s="222"/>
      <c r="U6" s="222"/>
      <c r="V6" s="221"/>
      <c r="W6" s="221"/>
      <c r="X6" s="221"/>
      <c r="Y6" s="221"/>
    </row>
    <row r="7" spans="1:25" x14ac:dyDescent="0.2">
      <c r="A7" s="210">
        <v>9</v>
      </c>
      <c r="B7" s="211" t="s">
        <v>144</v>
      </c>
      <c r="C7" s="241">
        <v>17</v>
      </c>
      <c r="D7" s="222">
        <v>6493.73081</v>
      </c>
      <c r="E7" s="222">
        <v>6921.63928958213</v>
      </c>
      <c r="F7" s="222">
        <v>7147.5849371866689</v>
      </c>
      <c r="G7" s="222">
        <v>3909.0970452948723</v>
      </c>
      <c r="H7" s="222">
        <v>3824.1309094672288</v>
      </c>
      <c r="I7" s="222">
        <v>285.62635999999998</v>
      </c>
      <c r="J7" s="222">
        <v>263.46596499999998</v>
      </c>
      <c r="K7" s="222">
        <v>285.17259799999999</v>
      </c>
      <c r="L7" s="222">
        <v>220.108947</v>
      </c>
      <c r="M7" s="222">
        <v>222.87761300000003</v>
      </c>
      <c r="N7" s="222">
        <v>504.91699</v>
      </c>
      <c r="O7" s="222">
        <v>514.87539377760004</v>
      </c>
      <c r="P7" s="222">
        <v>514.87539377760004</v>
      </c>
      <c r="Q7" s="222">
        <v>514.87539377760004</v>
      </c>
      <c r="R7" s="222">
        <v>514.87539377760004</v>
      </c>
      <c r="S7" s="222"/>
      <c r="T7" s="222"/>
      <c r="U7" s="222"/>
      <c r="V7" s="221"/>
      <c r="W7" s="221"/>
      <c r="X7" s="221"/>
      <c r="Y7" s="221"/>
    </row>
    <row r="8" spans="1:25" x14ac:dyDescent="0.2">
      <c r="A8" s="210">
        <v>10</v>
      </c>
      <c r="B8" s="211" t="s">
        <v>145</v>
      </c>
      <c r="C8" s="241">
        <v>14</v>
      </c>
      <c r="D8" s="222">
        <v>29789.408030000002</v>
      </c>
      <c r="E8" s="222">
        <v>29693.275510831412</v>
      </c>
      <c r="F8" s="222">
        <v>30932.903522970453</v>
      </c>
      <c r="G8" s="222">
        <v>16610.542640061427</v>
      </c>
      <c r="H8" s="222">
        <v>16330.357283844372</v>
      </c>
      <c r="I8" s="222">
        <v>2698.7567400000003</v>
      </c>
      <c r="J8" s="222">
        <v>2457.4311880000005</v>
      </c>
      <c r="K8" s="222">
        <v>2668.6910660000003</v>
      </c>
      <c r="L8" s="222">
        <v>2059.8149490000001</v>
      </c>
      <c r="M8" s="222">
        <v>2085.7245709999997</v>
      </c>
      <c r="N8" s="222">
        <v>2729.5348100000001</v>
      </c>
      <c r="O8" s="222">
        <v>2742.7334357616</v>
      </c>
      <c r="P8" s="222">
        <v>2742.7334357616</v>
      </c>
      <c r="Q8" s="222">
        <v>2742.7334357616</v>
      </c>
      <c r="R8" s="222">
        <v>2742.7334357616</v>
      </c>
      <c r="S8" s="222"/>
      <c r="T8" s="222"/>
      <c r="U8" s="222"/>
      <c r="V8" s="221"/>
      <c r="W8" s="221"/>
      <c r="X8" s="221"/>
      <c r="Y8" s="221"/>
    </row>
    <row r="9" spans="1:25" x14ac:dyDescent="0.2">
      <c r="A9" s="210">
        <v>16</v>
      </c>
      <c r="B9" s="211" t="s">
        <v>146</v>
      </c>
      <c r="C9" s="241">
        <v>7</v>
      </c>
      <c r="D9" s="222">
        <v>25297.77145</v>
      </c>
      <c r="E9" s="222">
        <v>25225.5672137486</v>
      </c>
      <c r="F9" s="222">
        <v>26559.268644122785</v>
      </c>
      <c r="G9" s="222">
        <v>13746.379607876304</v>
      </c>
      <c r="H9" s="222">
        <v>13398.892730932475</v>
      </c>
      <c r="I9" s="222">
        <v>1615.50731</v>
      </c>
      <c r="J9" s="222">
        <v>1468.962137</v>
      </c>
      <c r="K9" s="222">
        <v>1587.303954</v>
      </c>
      <c r="L9" s="222">
        <v>1225.1520810000002</v>
      </c>
      <c r="M9" s="222">
        <v>1240.5627989999998</v>
      </c>
      <c r="N9" s="222">
        <v>2786.5875499999997</v>
      </c>
      <c r="O9" s="222">
        <v>2923.4028085824002</v>
      </c>
      <c r="P9" s="222">
        <v>2923.4028085824002</v>
      </c>
      <c r="Q9" s="222">
        <v>2923.4028085824002</v>
      </c>
      <c r="R9" s="222">
        <v>2923.4028085824002</v>
      </c>
      <c r="S9" s="222"/>
      <c r="T9" s="222"/>
      <c r="U9" s="222"/>
      <c r="V9" s="221"/>
      <c r="W9" s="221"/>
      <c r="X9" s="221"/>
      <c r="Y9" s="221"/>
    </row>
    <row r="10" spans="1:25" x14ac:dyDescent="0.2">
      <c r="A10" s="210">
        <v>18</v>
      </c>
      <c r="B10" s="211" t="s">
        <v>147</v>
      </c>
      <c r="C10" s="241">
        <v>1</v>
      </c>
      <c r="D10" s="222">
        <v>16579.267110000001</v>
      </c>
      <c r="E10" s="222">
        <v>17029.181034925543</v>
      </c>
      <c r="F10" s="222">
        <v>18019.912541733374</v>
      </c>
      <c r="G10" s="222">
        <v>9416.3711393357553</v>
      </c>
      <c r="H10" s="222">
        <v>9107.8896193385208</v>
      </c>
      <c r="I10" s="222">
        <v>1037.7546299999999</v>
      </c>
      <c r="J10" s="222">
        <v>955.9614029999999</v>
      </c>
      <c r="K10" s="222">
        <v>1035.9840939999999</v>
      </c>
      <c r="L10" s="222">
        <v>799.61879099999999</v>
      </c>
      <c r="M10" s="222">
        <v>809.67688899999996</v>
      </c>
      <c r="N10" s="222">
        <v>1139.10031</v>
      </c>
      <c r="O10" s="222">
        <v>1127.8822915440001</v>
      </c>
      <c r="P10" s="222">
        <v>1127.8822915440001</v>
      </c>
      <c r="Q10" s="222">
        <v>1127.8822915440001</v>
      </c>
      <c r="R10" s="222">
        <v>1127.8822915440001</v>
      </c>
      <c r="S10" s="222"/>
      <c r="T10" s="222"/>
      <c r="U10" s="222"/>
      <c r="V10" s="221"/>
      <c r="W10" s="221"/>
      <c r="X10" s="221"/>
      <c r="Y10" s="221"/>
    </row>
    <row r="11" spans="1:25" x14ac:dyDescent="0.2">
      <c r="A11" s="210">
        <v>19</v>
      </c>
      <c r="B11" s="211" t="s">
        <v>148</v>
      </c>
      <c r="C11" s="241">
        <v>2</v>
      </c>
      <c r="D11" s="222">
        <v>13596.449769999999</v>
      </c>
      <c r="E11" s="222">
        <v>13398.54609240528</v>
      </c>
      <c r="F11" s="222">
        <v>14192.750994641949</v>
      </c>
      <c r="G11" s="222">
        <v>7807.8349190052204</v>
      </c>
      <c r="H11" s="222">
        <v>7626.4386829646619</v>
      </c>
      <c r="I11" s="222">
        <v>530.47126000000003</v>
      </c>
      <c r="J11" s="222">
        <v>606.01640700000007</v>
      </c>
      <c r="K11" s="222">
        <v>656.86231200000009</v>
      </c>
      <c r="L11" s="222">
        <v>506.99566800000002</v>
      </c>
      <c r="M11" s="222">
        <v>513.372972</v>
      </c>
      <c r="N11" s="222">
        <v>745.49144999999999</v>
      </c>
      <c r="O11" s="222">
        <v>742.00666399200009</v>
      </c>
      <c r="P11" s="222">
        <v>742.00666399200009</v>
      </c>
      <c r="Q11" s="222">
        <v>742.00666399200009</v>
      </c>
      <c r="R11" s="222">
        <v>742.00666399200009</v>
      </c>
      <c r="S11" s="222"/>
      <c r="T11" s="222"/>
      <c r="U11" s="222"/>
      <c r="V11" s="221"/>
      <c r="W11" s="221"/>
      <c r="X11" s="221"/>
      <c r="Y11" s="221"/>
    </row>
    <row r="12" spans="1:25" x14ac:dyDescent="0.2">
      <c r="A12" s="210">
        <v>46</v>
      </c>
      <c r="B12" s="211" t="s">
        <v>149</v>
      </c>
      <c r="C12" s="241">
        <v>10</v>
      </c>
      <c r="D12" s="222">
        <v>3723.1102599999999</v>
      </c>
      <c r="E12" s="222">
        <v>3594.0909941538944</v>
      </c>
      <c r="F12" s="222">
        <v>3771.2160201553897</v>
      </c>
      <c r="G12" s="222">
        <v>1947.5654242494884</v>
      </c>
      <c r="H12" s="222">
        <v>1921.1563895079189</v>
      </c>
      <c r="I12" s="222">
        <v>595.09957999999995</v>
      </c>
      <c r="J12" s="222">
        <v>574.74336600000004</v>
      </c>
      <c r="K12" s="222">
        <v>622.97284000000002</v>
      </c>
      <c r="L12" s="222">
        <v>480.83825999999993</v>
      </c>
      <c r="M12" s="222">
        <v>486.88653999999997</v>
      </c>
      <c r="N12" s="222">
        <v>535.41331000000002</v>
      </c>
      <c r="O12" s="222">
        <v>528.23875495200002</v>
      </c>
      <c r="P12" s="222">
        <v>528.23875495200002</v>
      </c>
      <c r="Q12" s="222">
        <v>528.23875495200002</v>
      </c>
      <c r="R12" s="222">
        <v>528.23875495200002</v>
      </c>
      <c r="S12" s="222"/>
      <c r="T12" s="222"/>
      <c r="U12" s="222"/>
      <c r="V12" s="221"/>
      <c r="W12" s="221"/>
      <c r="X12" s="221"/>
      <c r="Y12" s="221"/>
    </row>
    <row r="13" spans="1:25" x14ac:dyDescent="0.2">
      <c r="A13" s="210">
        <v>47</v>
      </c>
      <c r="B13" s="211" t="s">
        <v>150</v>
      </c>
      <c r="C13" s="241">
        <v>19</v>
      </c>
      <c r="D13" s="222">
        <v>4963.3801900000008</v>
      </c>
      <c r="E13" s="222">
        <v>5017.8962095958786</v>
      </c>
      <c r="F13" s="222">
        <v>5202.0930479517265</v>
      </c>
      <c r="G13" s="222">
        <v>2858.9017055375707</v>
      </c>
      <c r="H13" s="222">
        <v>2821.7323483134246</v>
      </c>
      <c r="I13" s="222">
        <v>409.93637999999999</v>
      </c>
      <c r="J13" s="222">
        <v>390.57563999999996</v>
      </c>
      <c r="K13" s="222">
        <v>423.379234</v>
      </c>
      <c r="L13" s="222">
        <v>326.78300099999996</v>
      </c>
      <c r="M13" s="222">
        <v>330.89347899999996</v>
      </c>
      <c r="N13" s="222">
        <v>829.74311999999998</v>
      </c>
      <c r="O13" s="222">
        <v>830.8569759720001</v>
      </c>
      <c r="P13" s="222">
        <v>830.8569759720001</v>
      </c>
      <c r="Q13" s="222">
        <v>830.8569759720001</v>
      </c>
      <c r="R13" s="222">
        <v>830.8569759720001</v>
      </c>
      <c r="S13" s="222"/>
      <c r="T13" s="222"/>
      <c r="U13" s="222"/>
      <c r="V13" s="221"/>
      <c r="W13" s="221"/>
      <c r="X13" s="221"/>
      <c r="Y13" s="221"/>
    </row>
    <row r="14" spans="1:25" x14ac:dyDescent="0.2">
      <c r="A14" s="210">
        <v>49</v>
      </c>
      <c r="B14" s="211" t="s">
        <v>151</v>
      </c>
      <c r="C14" s="241">
        <v>1</v>
      </c>
      <c r="D14" s="222">
        <v>1236908.5774300001</v>
      </c>
      <c r="E14" s="222">
        <v>1280107.248110516</v>
      </c>
      <c r="F14" s="222">
        <v>1347243.9617374537</v>
      </c>
      <c r="G14" s="222">
        <v>580235.03019098239</v>
      </c>
      <c r="H14" s="222">
        <v>543743.14210981107</v>
      </c>
      <c r="I14" s="222">
        <v>137156.24909999999</v>
      </c>
      <c r="J14" s="222">
        <v>129676.208551</v>
      </c>
      <c r="K14" s="222">
        <v>140374.15955399998</v>
      </c>
      <c r="L14" s="222">
        <v>108347.04548099999</v>
      </c>
      <c r="M14" s="222">
        <v>109709.90139899999</v>
      </c>
      <c r="N14" s="222">
        <v>116153.15004000001</v>
      </c>
      <c r="O14" s="222">
        <v>118125.79390338478</v>
      </c>
      <c r="P14" s="222">
        <v>118125.79390338478</v>
      </c>
      <c r="Q14" s="222">
        <v>118125.79390338478</v>
      </c>
      <c r="R14" s="222">
        <v>118125.79390338478</v>
      </c>
      <c r="S14" s="222"/>
      <c r="T14" s="222"/>
      <c r="U14" s="222"/>
      <c r="V14" s="221"/>
      <c r="W14" s="221"/>
      <c r="X14" s="221"/>
      <c r="Y14" s="221"/>
    </row>
    <row r="15" spans="1:25" x14ac:dyDescent="0.2">
      <c r="A15" s="210">
        <v>50</v>
      </c>
      <c r="B15" s="211" t="s">
        <v>152</v>
      </c>
      <c r="C15" s="241">
        <v>4</v>
      </c>
      <c r="D15" s="222">
        <v>39020.664840000005</v>
      </c>
      <c r="E15" s="222">
        <v>39674.120891507569</v>
      </c>
      <c r="F15" s="222">
        <v>40782.925659425011</v>
      </c>
      <c r="G15" s="222">
        <v>20768.994656530991</v>
      </c>
      <c r="H15" s="222">
        <v>20221.64081884535</v>
      </c>
      <c r="I15" s="222">
        <v>2303.1372700000002</v>
      </c>
      <c r="J15" s="222">
        <v>2017.1530319999997</v>
      </c>
      <c r="K15" s="222">
        <v>2178.1074219999996</v>
      </c>
      <c r="L15" s="222">
        <v>1681.1605829999999</v>
      </c>
      <c r="M15" s="222">
        <v>1702.3072569999999</v>
      </c>
      <c r="N15" s="222">
        <v>3076.7360199999998</v>
      </c>
      <c r="O15" s="222">
        <v>3099.1481855759998</v>
      </c>
      <c r="P15" s="222">
        <v>3099.1481855759998</v>
      </c>
      <c r="Q15" s="222">
        <v>3099.1481855759998</v>
      </c>
      <c r="R15" s="222">
        <v>3099.1481855759998</v>
      </c>
      <c r="S15" s="222"/>
      <c r="T15" s="222"/>
      <c r="U15" s="222"/>
      <c r="V15" s="221"/>
      <c r="W15" s="221"/>
      <c r="X15" s="221"/>
      <c r="Y15" s="221"/>
    </row>
    <row r="16" spans="1:25" x14ac:dyDescent="0.2">
      <c r="A16" s="210">
        <v>51</v>
      </c>
      <c r="B16" s="211" t="s">
        <v>153</v>
      </c>
      <c r="C16" s="241">
        <v>4</v>
      </c>
      <c r="D16" s="222">
        <v>30552.22738</v>
      </c>
      <c r="E16" s="222">
        <v>29223.960793586131</v>
      </c>
      <c r="F16" s="222">
        <v>31111.584832562337</v>
      </c>
      <c r="G16" s="222">
        <v>13355.138487614307</v>
      </c>
      <c r="H16" s="222">
        <v>12794.539274253544</v>
      </c>
      <c r="I16" s="222">
        <v>2027.9517599999999</v>
      </c>
      <c r="J16" s="222">
        <v>2363.7528040000002</v>
      </c>
      <c r="K16" s="222">
        <v>2560.2994279999998</v>
      </c>
      <c r="L16" s="222">
        <v>1976.1534419999998</v>
      </c>
      <c r="M16" s="222">
        <v>2001.010718</v>
      </c>
      <c r="N16" s="222">
        <v>19329.88507</v>
      </c>
      <c r="O16" s="222">
        <v>24217.533591098399</v>
      </c>
      <c r="P16" s="222">
        <v>24217.533591098399</v>
      </c>
      <c r="Q16" s="222">
        <v>24217.533591098399</v>
      </c>
      <c r="R16" s="222">
        <v>24217.533591098399</v>
      </c>
      <c r="S16" s="222"/>
      <c r="T16" s="222"/>
      <c r="U16" s="222"/>
      <c r="V16" s="221"/>
      <c r="W16" s="221"/>
      <c r="X16" s="221"/>
      <c r="Y16" s="221"/>
    </row>
    <row r="17" spans="1:25" x14ac:dyDescent="0.2">
      <c r="A17" s="210">
        <v>52</v>
      </c>
      <c r="B17" s="211" t="s">
        <v>154</v>
      </c>
      <c r="C17" s="241">
        <v>14</v>
      </c>
      <c r="D17" s="222">
        <v>6673.2915700000003</v>
      </c>
      <c r="E17" s="222">
        <v>6855.856906271023</v>
      </c>
      <c r="F17" s="222">
        <v>7121.7358973407509</v>
      </c>
      <c r="G17" s="222">
        <v>3882.8675390254984</v>
      </c>
      <c r="H17" s="222">
        <v>3815.3840604661605</v>
      </c>
      <c r="I17" s="222">
        <v>827.07652000000007</v>
      </c>
      <c r="J17" s="222">
        <v>638.07506000000001</v>
      </c>
      <c r="K17" s="222">
        <v>692.60866799999985</v>
      </c>
      <c r="L17" s="222">
        <v>534.58630200000005</v>
      </c>
      <c r="M17" s="222">
        <v>541.31065799999999</v>
      </c>
      <c r="N17" s="222">
        <v>723.43795999999998</v>
      </c>
      <c r="O17" s="222">
        <v>727.1229033599999</v>
      </c>
      <c r="P17" s="222">
        <v>727.1229033599999</v>
      </c>
      <c r="Q17" s="222">
        <v>727.1229033599999</v>
      </c>
      <c r="R17" s="222">
        <v>727.1229033599999</v>
      </c>
      <c r="S17" s="222"/>
      <c r="T17" s="222"/>
      <c r="U17" s="222"/>
      <c r="V17" s="221"/>
      <c r="W17" s="221"/>
      <c r="X17" s="221"/>
      <c r="Y17" s="221"/>
    </row>
    <row r="18" spans="1:25" x14ac:dyDescent="0.2">
      <c r="A18" s="210">
        <v>61</v>
      </c>
      <c r="B18" s="211" t="s">
        <v>155</v>
      </c>
      <c r="C18" s="241">
        <v>5</v>
      </c>
      <c r="D18" s="222">
        <v>51893.002070000002</v>
      </c>
      <c r="E18" s="222">
        <v>52069.705233273075</v>
      </c>
      <c r="F18" s="222">
        <v>54348.523880440131</v>
      </c>
      <c r="G18" s="222">
        <v>27691.549702286051</v>
      </c>
      <c r="H18" s="222">
        <v>27094.544779591899</v>
      </c>
      <c r="I18" s="222">
        <v>3855.9037699999999</v>
      </c>
      <c r="J18" s="222">
        <v>3767.9792130000001</v>
      </c>
      <c r="K18" s="222">
        <v>4077.9183199999998</v>
      </c>
      <c r="L18" s="222">
        <v>3147.5194800000004</v>
      </c>
      <c r="M18" s="222">
        <v>3187.1109200000005</v>
      </c>
      <c r="N18" s="222">
        <v>5326.1009999999997</v>
      </c>
      <c r="O18" s="222">
        <v>5292.8571786479997</v>
      </c>
      <c r="P18" s="222">
        <v>5292.8571786479997</v>
      </c>
      <c r="Q18" s="222">
        <v>5292.8571786479997</v>
      </c>
      <c r="R18" s="222">
        <v>5292.8571786479997</v>
      </c>
      <c r="S18" s="222"/>
      <c r="T18" s="222"/>
      <c r="U18" s="222"/>
      <c r="V18" s="221"/>
      <c r="W18" s="221"/>
      <c r="X18" s="221"/>
      <c r="Y18" s="221"/>
    </row>
    <row r="19" spans="1:25" x14ac:dyDescent="0.2">
      <c r="A19" s="210">
        <v>69</v>
      </c>
      <c r="B19" s="211" t="s">
        <v>156</v>
      </c>
      <c r="C19" s="241">
        <v>17</v>
      </c>
      <c r="D19" s="222">
        <v>19281.864219999999</v>
      </c>
      <c r="E19" s="222">
        <v>19871.349818970903</v>
      </c>
      <c r="F19" s="222">
        <v>20741.236650463474</v>
      </c>
      <c r="G19" s="222">
        <v>11461.230093154971</v>
      </c>
      <c r="H19" s="222">
        <v>11293.741608036849</v>
      </c>
      <c r="I19" s="222">
        <v>1574.9274499999999</v>
      </c>
      <c r="J19" s="222">
        <v>1228.472282</v>
      </c>
      <c r="K19" s="222">
        <v>1329.5196739999999</v>
      </c>
      <c r="L19" s="222">
        <v>1026.1826610000001</v>
      </c>
      <c r="M19" s="222">
        <v>1039.0906190000001</v>
      </c>
      <c r="N19" s="222">
        <v>1893.38267</v>
      </c>
      <c r="O19" s="222">
        <v>2036.593204344</v>
      </c>
      <c r="P19" s="222">
        <v>2036.593204344</v>
      </c>
      <c r="Q19" s="222">
        <v>2036.593204344</v>
      </c>
      <c r="R19" s="222">
        <v>2036.593204344</v>
      </c>
      <c r="S19" s="222"/>
      <c r="T19" s="222"/>
      <c r="U19" s="222"/>
      <c r="V19" s="221"/>
      <c r="W19" s="221"/>
      <c r="X19" s="221"/>
      <c r="Y19" s="221"/>
    </row>
    <row r="20" spans="1:25" x14ac:dyDescent="0.2">
      <c r="A20" s="210">
        <v>71</v>
      </c>
      <c r="B20" s="211" t="s">
        <v>157</v>
      </c>
      <c r="C20" s="209">
        <v>17</v>
      </c>
      <c r="D20" s="222">
        <v>17803.32315</v>
      </c>
      <c r="E20" s="222">
        <v>17876.921792901154</v>
      </c>
      <c r="F20" s="222">
        <v>18783.610323765683</v>
      </c>
      <c r="G20" s="222">
        <v>10335.368976370612</v>
      </c>
      <c r="H20" s="222">
        <v>10240.503243721807</v>
      </c>
      <c r="I20" s="222">
        <v>1291.14697</v>
      </c>
      <c r="J20" s="222">
        <v>1365.0690400000001</v>
      </c>
      <c r="K20" s="222">
        <v>1478.5936340000001</v>
      </c>
      <c r="L20" s="222">
        <v>1141.2446010000001</v>
      </c>
      <c r="M20" s="222">
        <v>1155.5998790000001</v>
      </c>
      <c r="N20" s="222">
        <v>1672.8593899999998</v>
      </c>
      <c r="O20" s="222">
        <v>1656.5129899319998</v>
      </c>
      <c r="P20" s="222">
        <v>1656.5129899319998</v>
      </c>
      <c r="Q20" s="222">
        <v>1656.5129899319998</v>
      </c>
      <c r="R20" s="222">
        <v>1656.5129899319998</v>
      </c>
      <c r="S20" s="222"/>
      <c r="T20" s="222"/>
      <c r="U20" s="222"/>
      <c r="V20" s="221"/>
      <c r="W20" s="221"/>
      <c r="X20" s="221"/>
      <c r="Y20" s="221"/>
    </row>
    <row r="21" spans="1:25" x14ac:dyDescent="0.2">
      <c r="A21" s="210">
        <v>72</v>
      </c>
      <c r="B21" s="211" t="s">
        <v>158</v>
      </c>
      <c r="C21" s="209">
        <v>17</v>
      </c>
      <c r="D21" s="222">
        <v>3245.0600499999996</v>
      </c>
      <c r="E21" s="222">
        <v>3193.6683057050286</v>
      </c>
      <c r="F21" s="222">
        <v>3405.6270133229104</v>
      </c>
      <c r="G21" s="222">
        <v>1725.0755672196526</v>
      </c>
      <c r="H21" s="222">
        <v>1676.4296649718847</v>
      </c>
      <c r="I21" s="222">
        <v>113.52828</v>
      </c>
      <c r="J21" s="222">
        <v>98.518191999999985</v>
      </c>
      <c r="K21" s="222">
        <v>106.69337399999999</v>
      </c>
      <c r="L21" s="222">
        <v>82.35071099999999</v>
      </c>
      <c r="M21" s="222">
        <v>83.386568999999994</v>
      </c>
      <c r="N21" s="222">
        <v>332.09195</v>
      </c>
      <c r="O21" s="222">
        <v>351.51091398240004</v>
      </c>
      <c r="P21" s="222">
        <v>351.51091398240004</v>
      </c>
      <c r="Q21" s="222">
        <v>351.51091398240004</v>
      </c>
      <c r="R21" s="222">
        <v>351.51091398240004</v>
      </c>
      <c r="S21" s="222"/>
      <c r="T21" s="222"/>
      <c r="U21" s="222"/>
      <c r="V21" s="221"/>
      <c r="W21" s="221"/>
      <c r="X21" s="221"/>
      <c r="Y21" s="221"/>
    </row>
    <row r="22" spans="1:25" x14ac:dyDescent="0.2">
      <c r="A22" s="210">
        <v>74</v>
      </c>
      <c r="B22" s="211" t="s">
        <v>159</v>
      </c>
      <c r="C22" s="209">
        <v>16</v>
      </c>
      <c r="D22" s="222">
        <v>2805.1801099999998</v>
      </c>
      <c r="E22" s="222">
        <v>2837.1144494896384</v>
      </c>
      <c r="F22" s="222">
        <v>3019.7112783743501</v>
      </c>
      <c r="G22" s="222">
        <v>1683.3441842896464</v>
      </c>
      <c r="H22" s="222">
        <v>1663.26794312627</v>
      </c>
      <c r="I22" s="222">
        <v>551.22264000000007</v>
      </c>
      <c r="J22" s="222">
        <v>424.14190399999995</v>
      </c>
      <c r="K22" s="222">
        <v>459.79158799999993</v>
      </c>
      <c r="L22" s="222">
        <v>354.88768199999998</v>
      </c>
      <c r="M22" s="222">
        <v>359.35167799999994</v>
      </c>
      <c r="N22" s="222">
        <v>355.70615000000004</v>
      </c>
      <c r="O22" s="222">
        <v>351.16690207199997</v>
      </c>
      <c r="P22" s="222">
        <v>351.16690207199997</v>
      </c>
      <c r="Q22" s="222">
        <v>351.16690207199997</v>
      </c>
      <c r="R22" s="222">
        <v>351.16690207199997</v>
      </c>
      <c r="S22" s="222"/>
      <c r="T22" s="222"/>
      <c r="U22" s="222"/>
      <c r="V22" s="221"/>
      <c r="W22" s="221"/>
      <c r="X22" s="221"/>
      <c r="Y22" s="221"/>
    </row>
    <row r="23" spans="1:25" x14ac:dyDescent="0.2">
      <c r="A23" s="210">
        <v>75</v>
      </c>
      <c r="B23" s="211" t="s">
        <v>160</v>
      </c>
      <c r="C23" s="209">
        <v>8</v>
      </c>
      <c r="D23" s="222">
        <v>70567.052580000003</v>
      </c>
      <c r="E23" s="222">
        <v>71238.743342030037</v>
      </c>
      <c r="F23" s="222">
        <v>74014.700351261417</v>
      </c>
      <c r="G23" s="222">
        <v>38005.564473286948</v>
      </c>
      <c r="H23" s="222">
        <v>37336.690246875674</v>
      </c>
      <c r="I23" s="222">
        <v>5202.3272699999998</v>
      </c>
      <c r="J23" s="222">
        <v>5626.8381539999991</v>
      </c>
      <c r="K23" s="222">
        <v>6102.8237479999989</v>
      </c>
      <c r="L23" s="222">
        <v>4710.4319219999998</v>
      </c>
      <c r="M23" s="222">
        <v>4769.6826380000002</v>
      </c>
      <c r="N23" s="222">
        <v>6787.0652900000005</v>
      </c>
      <c r="O23" s="222">
        <v>7001.070205080001</v>
      </c>
      <c r="P23" s="222">
        <v>7001.070205080001</v>
      </c>
      <c r="Q23" s="222">
        <v>7001.070205080001</v>
      </c>
      <c r="R23" s="222">
        <v>7001.070205080001</v>
      </c>
      <c r="S23" s="222"/>
      <c r="T23" s="222"/>
      <c r="U23" s="222"/>
      <c r="V23" s="221"/>
      <c r="W23" s="221"/>
      <c r="X23" s="221"/>
      <c r="Y23" s="221"/>
    </row>
    <row r="24" spans="1:25" x14ac:dyDescent="0.2">
      <c r="A24" s="210">
        <v>77</v>
      </c>
      <c r="B24" s="211" t="s">
        <v>161</v>
      </c>
      <c r="C24" s="209">
        <v>13</v>
      </c>
      <c r="D24" s="222">
        <v>13141.173989999999</v>
      </c>
      <c r="E24" s="222">
        <v>12911.385659970041</v>
      </c>
      <c r="F24" s="222">
        <v>13471.690415357592</v>
      </c>
      <c r="G24" s="222">
        <v>7490.4428536661908</v>
      </c>
      <c r="H24" s="222">
        <v>7406.3267106939793</v>
      </c>
      <c r="I24" s="222">
        <v>853.96076000000005</v>
      </c>
      <c r="J24" s="222">
        <v>902.67389299999979</v>
      </c>
      <c r="K24" s="222">
        <v>978.35641799999996</v>
      </c>
      <c r="L24" s="222">
        <v>755.13917700000013</v>
      </c>
      <c r="M24" s="222">
        <v>764.63778300000001</v>
      </c>
      <c r="N24" s="222">
        <v>1308.3196200000002</v>
      </c>
      <c r="O24" s="222">
        <v>1299.5231109120002</v>
      </c>
      <c r="P24" s="222">
        <v>1299.5231109120002</v>
      </c>
      <c r="Q24" s="222">
        <v>1299.5231109120002</v>
      </c>
      <c r="R24" s="222">
        <v>1299.5231109120002</v>
      </c>
      <c r="S24" s="222"/>
      <c r="T24" s="222"/>
      <c r="U24" s="222"/>
      <c r="V24" s="221"/>
      <c r="W24" s="221"/>
      <c r="X24" s="221"/>
      <c r="Y24" s="221"/>
    </row>
    <row r="25" spans="1:25" x14ac:dyDescent="0.2">
      <c r="A25" s="210">
        <v>78</v>
      </c>
      <c r="B25" s="211" t="s">
        <v>162</v>
      </c>
      <c r="C25" s="209">
        <v>1</v>
      </c>
      <c r="D25" s="222">
        <v>33622.098869999994</v>
      </c>
      <c r="E25" s="222">
        <v>33899.12414732435</v>
      </c>
      <c r="F25" s="222">
        <v>34692.275975248711</v>
      </c>
      <c r="G25" s="222">
        <v>18440.58728150931</v>
      </c>
      <c r="H25" s="222">
        <v>18162.709457258832</v>
      </c>
      <c r="I25" s="222">
        <v>2781.5827599999998</v>
      </c>
      <c r="J25" s="222">
        <v>3068.5481789999999</v>
      </c>
      <c r="K25" s="222">
        <v>3319.7505639999999</v>
      </c>
      <c r="L25" s="222">
        <v>2562.3317459999994</v>
      </c>
      <c r="M25" s="222">
        <v>2594.5623339999997</v>
      </c>
      <c r="N25" s="222">
        <v>2624.0284900000001</v>
      </c>
      <c r="O25" s="222">
        <v>2672.0698905959998</v>
      </c>
      <c r="P25" s="222">
        <v>2672.0698905959998</v>
      </c>
      <c r="Q25" s="222">
        <v>2672.0698905959998</v>
      </c>
      <c r="R25" s="222">
        <v>2672.0698905959998</v>
      </c>
      <c r="S25" s="222"/>
      <c r="T25" s="222"/>
      <c r="U25" s="222"/>
      <c r="V25" s="221"/>
      <c r="W25" s="221"/>
      <c r="X25" s="221"/>
      <c r="Y25" s="221"/>
    </row>
    <row r="26" spans="1:25" x14ac:dyDescent="0.2">
      <c r="A26" s="210">
        <v>79</v>
      </c>
      <c r="B26" s="211" t="s">
        <v>163</v>
      </c>
      <c r="C26" s="209">
        <v>4</v>
      </c>
      <c r="D26" s="222">
        <v>24136.233479999999</v>
      </c>
      <c r="E26" s="222">
        <v>24360.389552462999</v>
      </c>
      <c r="F26" s="222">
        <v>25300.66486570728</v>
      </c>
      <c r="G26" s="222">
        <v>12846.326249669934</v>
      </c>
      <c r="H26" s="222">
        <v>12584.964392617989</v>
      </c>
      <c r="I26" s="222">
        <v>8739.7264099999993</v>
      </c>
      <c r="J26" s="222">
        <v>7240.2527740000005</v>
      </c>
      <c r="K26" s="222">
        <v>7870.1735559999997</v>
      </c>
      <c r="L26" s="222">
        <v>6074.5514339999991</v>
      </c>
      <c r="M26" s="222">
        <v>6150.9608860000008</v>
      </c>
      <c r="N26" s="222">
        <v>1870.6480300000001</v>
      </c>
      <c r="O26" s="222">
        <v>1907.6280704903998</v>
      </c>
      <c r="P26" s="222">
        <v>1907.6280704903998</v>
      </c>
      <c r="Q26" s="222">
        <v>1907.6280704903998</v>
      </c>
      <c r="R26" s="222">
        <v>1907.6280704903998</v>
      </c>
      <c r="S26" s="222"/>
      <c r="T26" s="222"/>
      <c r="U26" s="222"/>
      <c r="V26" s="221"/>
      <c r="W26" s="221"/>
      <c r="X26" s="221"/>
      <c r="Y26" s="221"/>
    </row>
    <row r="27" spans="1:25" x14ac:dyDescent="0.2">
      <c r="A27" s="210">
        <v>81</v>
      </c>
      <c r="B27" s="211" t="s">
        <v>164</v>
      </c>
      <c r="C27" s="209">
        <v>7</v>
      </c>
      <c r="D27" s="222">
        <v>7275.1330399999997</v>
      </c>
      <c r="E27" s="222">
        <v>7354.6595698659203</v>
      </c>
      <c r="F27" s="222">
        <v>7555.6117817494342</v>
      </c>
      <c r="G27" s="222">
        <v>4136.5258971177964</v>
      </c>
      <c r="H27" s="222">
        <v>4068.436994516539</v>
      </c>
      <c r="I27" s="222">
        <v>1390.8181100000002</v>
      </c>
      <c r="J27" s="222">
        <v>1277.9328830000002</v>
      </c>
      <c r="K27" s="222">
        <v>1385.4247780000001</v>
      </c>
      <c r="L27" s="222">
        <v>1069.3327170000002</v>
      </c>
      <c r="M27" s="222">
        <v>1082.783443</v>
      </c>
      <c r="N27" s="222">
        <v>1322.1095</v>
      </c>
      <c r="O27" s="222">
        <v>1302.9018480960003</v>
      </c>
      <c r="P27" s="222">
        <v>1302.9018480960003</v>
      </c>
      <c r="Q27" s="222">
        <v>1302.9018480960003</v>
      </c>
      <c r="R27" s="222">
        <v>1302.9018480960003</v>
      </c>
      <c r="S27" s="222"/>
      <c r="T27" s="222"/>
      <c r="U27" s="222"/>
      <c r="V27" s="221"/>
      <c r="W27" s="221"/>
      <c r="X27" s="221"/>
      <c r="Y27" s="221"/>
    </row>
    <row r="28" spans="1:25" x14ac:dyDescent="0.2">
      <c r="A28" s="210">
        <v>82</v>
      </c>
      <c r="B28" s="211" t="s">
        <v>165</v>
      </c>
      <c r="C28" s="209">
        <v>5</v>
      </c>
      <c r="D28" s="222">
        <v>34091.179490000002</v>
      </c>
      <c r="E28" s="222">
        <v>34664.245970488359</v>
      </c>
      <c r="F28" s="222">
        <v>36111.616318833934</v>
      </c>
      <c r="G28" s="222">
        <v>18454.976001198913</v>
      </c>
      <c r="H28" s="222">
        <v>17860.587275765618</v>
      </c>
      <c r="I28" s="222">
        <v>1330.30522</v>
      </c>
      <c r="J28" s="222">
        <v>1358.226422</v>
      </c>
      <c r="K28" s="222">
        <v>1471.663382</v>
      </c>
      <c r="L28" s="222">
        <v>1135.8955229999999</v>
      </c>
      <c r="M28" s="222">
        <v>1150.1835170000002</v>
      </c>
      <c r="N28" s="222">
        <v>2122.9807500000002</v>
      </c>
      <c r="O28" s="222">
        <v>2205.1932324720001</v>
      </c>
      <c r="P28" s="222">
        <v>2205.1932324720001</v>
      </c>
      <c r="Q28" s="222">
        <v>2205.1932324720001</v>
      </c>
      <c r="R28" s="222">
        <v>2205.1932324720001</v>
      </c>
      <c r="S28" s="222"/>
      <c r="T28" s="222"/>
      <c r="U28" s="222"/>
      <c r="V28" s="221"/>
      <c r="W28" s="221"/>
      <c r="X28" s="221"/>
      <c r="Y28" s="221"/>
    </row>
    <row r="29" spans="1:25" x14ac:dyDescent="0.2">
      <c r="A29" s="210">
        <v>86</v>
      </c>
      <c r="B29" s="211" t="s">
        <v>166</v>
      </c>
      <c r="C29" s="209">
        <v>5</v>
      </c>
      <c r="D29" s="222">
        <v>29361.933420000001</v>
      </c>
      <c r="E29" s="222">
        <v>29047.911977635449</v>
      </c>
      <c r="F29" s="222">
        <v>30856.716444033038</v>
      </c>
      <c r="G29" s="222">
        <v>16488.274741587345</v>
      </c>
      <c r="H29" s="222">
        <v>16103.748334973279</v>
      </c>
      <c r="I29" s="222">
        <v>1179.59121</v>
      </c>
      <c r="J29" s="222">
        <v>1097.599888</v>
      </c>
      <c r="K29" s="222">
        <v>1187.2667860000001</v>
      </c>
      <c r="L29" s="222">
        <v>916.38552900000002</v>
      </c>
      <c r="M29" s="222">
        <v>927.91239100000007</v>
      </c>
      <c r="N29" s="222">
        <v>1690.39851</v>
      </c>
      <c r="O29" s="222">
        <v>1661.1936806400001</v>
      </c>
      <c r="P29" s="222">
        <v>1661.1936806400001</v>
      </c>
      <c r="Q29" s="222">
        <v>1661.1936806400001</v>
      </c>
      <c r="R29" s="222">
        <v>1661.1936806400001</v>
      </c>
      <c r="S29" s="222"/>
      <c r="T29" s="222"/>
      <c r="U29" s="222"/>
      <c r="V29" s="221"/>
      <c r="W29" s="221"/>
      <c r="X29" s="221"/>
      <c r="Y29" s="221"/>
    </row>
    <row r="30" spans="1:25" x14ac:dyDescent="0.2">
      <c r="A30" s="210">
        <v>111</v>
      </c>
      <c r="B30" s="211" t="s">
        <v>167</v>
      </c>
      <c r="C30" s="209">
        <v>7</v>
      </c>
      <c r="D30" s="222">
        <v>60315.107859999996</v>
      </c>
      <c r="E30" s="222">
        <v>60906.5834694027</v>
      </c>
      <c r="F30" s="222">
        <v>63056.653161745911</v>
      </c>
      <c r="G30" s="222">
        <v>32062.985770439489</v>
      </c>
      <c r="H30" s="222">
        <v>31266.752666040185</v>
      </c>
      <c r="I30" s="222">
        <v>3231.7022400000001</v>
      </c>
      <c r="J30" s="222">
        <v>3095.9085230000005</v>
      </c>
      <c r="K30" s="222">
        <v>3350.0842700000003</v>
      </c>
      <c r="L30" s="222">
        <v>2585.744655</v>
      </c>
      <c r="M30" s="222">
        <v>2618.2697450000001</v>
      </c>
      <c r="N30" s="222">
        <v>6264.0091400000001</v>
      </c>
      <c r="O30" s="222">
        <v>6233.0751495599989</v>
      </c>
      <c r="P30" s="222">
        <v>6233.0751495599989</v>
      </c>
      <c r="Q30" s="222">
        <v>6233.0751495599989</v>
      </c>
      <c r="R30" s="222">
        <v>6233.0751495599989</v>
      </c>
      <c r="S30" s="222"/>
      <c r="T30" s="222"/>
      <c r="U30" s="222"/>
      <c r="V30" s="221"/>
      <c r="W30" s="221"/>
      <c r="X30" s="221"/>
      <c r="Y30" s="221"/>
    </row>
    <row r="31" spans="1:25" x14ac:dyDescent="0.2">
      <c r="A31" s="210">
        <v>90</v>
      </c>
      <c r="B31" s="211" t="s">
        <v>168</v>
      </c>
      <c r="C31" s="209">
        <v>10</v>
      </c>
      <c r="D31" s="222">
        <v>8593.9407599999995</v>
      </c>
      <c r="E31" s="222">
        <v>8500.4270340553157</v>
      </c>
      <c r="F31" s="222">
        <v>8819.8062275305892</v>
      </c>
      <c r="G31" s="222">
        <v>4594.0873670749788</v>
      </c>
      <c r="H31" s="222">
        <v>4532.7512242118664</v>
      </c>
      <c r="I31" s="222">
        <v>2236.4447300000002</v>
      </c>
      <c r="J31" s="222">
        <v>2084.5127739999998</v>
      </c>
      <c r="K31" s="222">
        <v>2258.7084239999999</v>
      </c>
      <c r="L31" s="222">
        <v>1743.3720360000002</v>
      </c>
      <c r="M31" s="222">
        <v>1765.301244</v>
      </c>
      <c r="N31" s="222">
        <v>1225.1004499999999</v>
      </c>
      <c r="O31" s="222">
        <v>1347.8500023000001</v>
      </c>
      <c r="P31" s="222">
        <v>1347.8500023000001</v>
      </c>
      <c r="Q31" s="222">
        <v>1347.8500023000001</v>
      </c>
      <c r="R31" s="222">
        <v>1347.8500023000001</v>
      </c>
      <c r="S31" s="222"/>
      <c r="T31" s="222"/>
      <c r="U31" s="222"/>
      <c r="V31" s="221"/>
      <c r="W31" s="221"/>
      <c r="X31" s="221"/>
      <c r="Y31" s="221"/>
    </row>
    <row r="32" spans="1:25" x14ac:dyDescent="0.2">
      <c r="A32" s="210">
        <v>91</v>
      </c>
      <c r="B32" s="211" t="s">
        <v>169</v>
      </c>
      <c r="C32" s="209">
        <v>1</v>
      </c>
      <c r="D32" s="222">
        <v>2595072.8240399999</v>
      </c>
      <c r="E32" s="222">
        <v>2619400.9115929408</v>
      </c>
      <c r="F32" s="222">
        <v>2721936.0866296333</v>
      </c>
      <c r="G32" s="222">
        <v>1179634.2171927267</v>
      </c>
      <c r="H32" s="222">
        <v>1113261.2272953477</v>
      </c>
      <c r="I32" s="222">
        <v>528591.45727999997</v>
      </c>
      <c r="J32" s="222">
        <v>598972.3425860001</v>
      </c>
      <c r="K32" s="222">
        <v>650591.09417000005</v>
      </c>
      <c r="L32" s="222">
        <v>502155.26200500003</v>
      </c>
      <c r="M32" s="222">
        <v>508471.68039500009</v>
      </c>
      <c r="N32" s="222">
        <v>256715.68355000002</v>
      </c>
      <c r="O32" s="222">
        <v>263958.22184535838</v>
      </c>
      <c r="P32" s="222">
        <v>263958.22184535838</v>
      </c>
      <c r="Q32" s="222">
        <v>263958.22184535838</v>
      </c>
      <c r="R32" s="222">
        <v>263958.22184535838</v>
      </c>
      <c r="S32" s="222"/>
      <c r="T32" s="222"/>
      <c r="U32" s="222"/>
      <c r="V32" s="221"/>
      <c r="W32" s="221"/>
      <c r="X32" s="221"/>
      <c r="Y32" s="221"/>
    </row>
    <row r="33" spans="1:25" x14ac:dyDescent="0.2">
      <c r="A33" s="210">
        <v>97</v>
      </c>
      <c r="B33" s="246" t="s">
        <v>170</v>
      </c>
      <c r="C33" s="209">
        <v>10</v>
      </c>
      <c r="D33" s="222">
        <v>5879.09933</v>
      </c>
      <c r="E33" s="222">
        <v>5532.399672709098</v>
      </c>
      <c r="F33" s="222">
        <v>5848.1913327719603</v>
      </c>
      <c r="G33" s="222">
        <v>2946.9127219938418</v>
      </c>
      <c r="H33" s="222">
        <v>2852.2170558300409</v>
      </c>
      <c r="I33" s="222">
        <v>936.67090000000007</v>
      </c>
      <c r="J33" s="222">
        <v>900.34986399999991</v>
      </c>
      <c r="K33" s="222">
        <v>976.52528400000006</v>
      </c>
      <c r="L33" s="222">
        <v>753.7258260000001</v>
      </c>
      <c r="M33" s="222">
        <v>763.20665400000007</v>
      </c>
      <c r="N33" s="222">
        <v>1298.7503000000002</v>
      </c>
      <c r="O33" s="222">
        <v>1280.1354070296002</v>
      </c>
      <c r="P33" s="222">
        <v>1280.1354070296002</v>
      </c>
      <c r="Q33" s="222">
        <v>1280.1354070296002</v>
      </c>
      <c r="R33" s="222">
        <v>1280.1354070296002</v>
      </c>
      <c r="S33" s="222"/>
      <c r="T33" s="222"/>
      <c r="U33" s="222"/>
      <c r="V33" s="221"/>
      <c r="W33" s="221"/>
      <c r="X33" s="221"/>
      <c r="Y33" s="221"/>
    </row>
    <row r="34" spans="1:25" x14ac:dyDescent="0.2">
      <c r="A34" s="210">
        <v>98</v>
      </c>
      <c r="B34" s="211" t="s">
        <v>171</v>
      </c>
      <c r="C34" s="209">
        <v>7</v>
      </c>
      <c r="D34" s="222">
        <v>83598.011230000004</v>
      </c>
      <c r="E34" s="222">
        <v>84038.987752573667</v>
      </c>
      <c r="F34" s="222">
        <v>87089.535425594688</v>
      </c>
      <c r="G34" s="222">
        <v>45497.445549166288</v>
      </c>
      <c r="H34" s="222">
        <v>44313.909308386617</v>
      </c>
      <c r="I34" s="222">
        <v>3007.41336</v>
      </c>
      <c r="J34" s="222">
        <v>2908.4797329999997</v>
      </c>
      <c r="K34" s="222">
        <v>3144.9610059999995</v>
      </c>
      <c r="L34" s="222">
        <v>2427.4213589999999</v>
      </c>
      <c r="M34" s="222">
        <v>2457.9549609999999</v>
      </c>
      <c r="N34" s="222">
        <v>5377.1670800000002</v>
      </c>
      <c r="O34" s="222">
        <v>5410.3160006039998</v>
      </c>
      <c r="P34" s="222">
        <v>5410.3160006039998</v>
      </c>
      <c r="Q34" s="222">
        <v>5410.3160006039998</v>
      </c>
      <c r="R34" s="222">
        <v>5410.3160006039998</v>
      </c>
      <c r="S34" s="222"/>
      <c r="T34" s="222"/>
      <c r="U34" s="222"/>
      <c r="V34" s="221"/>
      <c r="W34" s="221"/>
      <c r="X34" s="221"/>
      <c r="Y34" s="221"/>
    </row>
    <row r="35" spans="1:25" x14ac:dyDescent="0.2">
      <c r="A35" s="210">
        <v>99</v>
      </c>
      <c r="B35" s="211" t="s">
        <v>172</v>
      </c>
      <c r="C35" s="209">
        <v>4</v>
      </c>
      <c r="D35" s="222">
        <v>4595.4900099999995</v>
      </c>
      <c r="E35" s="222">
        <v>4462.6279383903493</v>
      </c>
      <c r="F35" s="222">
        <v>4821.659269336702</v>
      </c>
      <c r="G35" s="222">
        <v>2656.1731459539396</v>
      </c>
      <c r="H35" s="222">
        <v>2625.411078206982</v>
      </c>
      <c r="I35" s="222">
        <v>893.55493000000001</v>
      </c>
      <c r="J35" s="222">
        <v>708.31046200000014</v>
      </c>
      <c r="K35" s="222">
        <v>767.90352200000007</v>
      </c>
      <c r="L35" s="222">
        <v>592.70223299999998</v>
      </c>
      <c r="M35" s="222">
        <v>600.1576070000001</v>
      </c>
      <c r="N35" s="222">
        <v>488.63815999999997</v>
      </c>
      <c r="O35" s="222">
        <v>631.33220902559992</v>
      </c>
      <c r="P35" s="222">
        <v>631.33220902559992</v>
      </c>
      <c r="Q35" s="222">
        <v>631.33220902559992</v>
      </c>
      <c r="R35" s="222">
        <v>631.33220902559992</v>
      </c>
      <c r="S35" s="222"/>
      <c r="T35" s="222"/>
      <c r="U35" s="222"/>
      <c r="V35" s="221"/>
      <c r="W35" s="221"/>
      <c r="X35" s="221"/>
      <c r="Y35" s="221"/>
    </row>
    <row r="36" spans="1:25" x14ac:dyDescent="0.2">
      <c r="A36" s="210">
        <v>102</v>
      </c>
      <c r="B36" s="211" t="s">
        <v>173</v>
      </c>
      <c r="C36" s="209">
        <v>4</v>
      </c>
      <c r="D36" s="222">
        <v>29763.138159999999</v>
      </c>
      <c r="E36" s="222">
        <v>29336.276283330215</v>
      </c>
      <c r="F36" s="222">
        <v>30755.473908650558</v>
      </c>
      <c r="G36" s="222">
        <v>16073.393291450078</v>
      </c>
      <c r="H36" s="222">
        <v>15666.508870832004</v>
      </c>
      <c r="I36" s="222">
        <v>1974.8603000000001</v>
      </c>
      <c r="J36" s="222">
        <v>1957.0588450000002</v>
      </c>
      <c r="K36" s="222">
        <v>2118.7763319999999</v>
      </c>
      <c r="L36" s="222">
        <v>1635.3661980000002</v>
      </c>
      <c r="M36" s="222">
        <v>1655.9368420000001</v>
      </c>
      <c r="N36" s="222">
        <v>2242.3585200000002</v>
      </c>
      <c r="O36" s="222">
        <v>2205.100505724</v>
      </c>
      <c r="P36" s="222">
        <v>2205.100505724</v>
      </c>
      <c r="Q36" s="222">
        <v>2205.100505724</v>
      </c>
      <c r="R36" s="222">
        <v>2205.100505724</v>
      </c>
      <c r="S36" s="222"/>
      <c r="T36" s="222"/>
      <c r="U36" s="222"/>
      <c r="V36" s="221"/>
      <c r="W36" s="221"/>
      <c r="X36" s="221"/>
      <c r="Y36" s="221"/>
    </row>
    <row r="37" spans="1:25" x14ac:dyDescent="0.2">
      <c r="A37" s="210">
        <v>103</v>
      </c>
      <c r="B37" s="211" t="s">
        <v>174</v>
      </c>
      <c r="C37" s="209">
        <v>5</v>
      </c>
      <c r="D37" s="222">
        <v>6683.9378399999996</v>
      </c>
      <c r="E37" s="222">
        <v>6704.2629185533378</v>
      </c>
      <c r="F37" s="222">
        <v>6921.2570729953923</v>
      </c>
      <c r="G37" s="222">
        <v>3830.6202575365287</v>
      </c>
      <c r="H37" s="222">
        <v>3772.8612458048142</v>
      </c>
      <c r="I37" s="222">
        <v>467.78868</v>
      </c>
      <c r="J37" s="222">
        <v>399.138374</v>
      </c>
      <c r="K37" s="222">
        <v>432.07696599999997</v>
      </c>
      <c r="L37" s="222">
        <v>333.49629900000002</v>
      </c>
      <c r="M37" s="222">
        <v>337.69122100000004</v>
      </c>
      <c r="N37" s="222">
        <v>501.08073999999999</v>
      </c>
      <c r="O37" s="222">
        <v>537.43710134399998</v>
      </c>
      <c r="P37" s="222">
        <v>537.43710134399998</v>
      </c>
      <c r="Q37" s="222">
        <v>537.43710134399998</v>
      </c>
      <c r="R37" s="222">
        <v>537.43710134399998</v>
      </c>
      <c r="S37" s="222"/>
      <c r="T37" s="222"/>
      <c r="U37" s="222"/>
      <c r="V37" s="221"/>
      <c r="W37" s="221"/>
      <c r="X37" s="221"/>
      <c r="Y37" s="221"/>
    </row>
    <row r="38" spans="1:25" x14ac:dyDescent="0.2">
      <c r="A38" s="210">
        <v>105</v>
      </c>
      <c r="B38" s="211" t="s">
        <v>175</v>
      </c>
      <c r="C38" s="209">
        <v>18</v>
      </c>
      <c r="D38" s="222">
        <v>6248.3405999999995</v>
      </c>
      <c r="E38" s="222">
        <v>6133.806053078386</v>
      </c>
      <c r="F38" s="222">
        <v>6341.3165375729423</v>
      </c>
      <c r="G38" s="222">
        <v>3406.1884584615968</v>
      </c>
      <c r="H38" s="222">
        <v>3374.8241557760384</v>
      </c>
      <c r="I38" s="222">
        <v>801.14182999999991</v>
      </c>
      <c r="J38" s="222">
        <v>764.83751800000016</v>
      </c>
      <c r="K38" s="222">
        <v>828.2304160000001</v>
      </c>
      <c r="L38" s="222">
        <v>639.26522399999999</v>
      </c>
      <c r="M38" s="222">
        <v>647.30629599999997</v>
      </c>
      <c r="N38" s="222">
        <v>850.67688999999996</v>
      </c>
      <c r="O38" s="222">
        <v>1159.8301391472</v>
      </c>
      <c r="P38" s="222">
        <v>1159.8301391472</v>
      </c>
      <c r="Q38" s="222">
        <v>1159.8301391472</v>
      </c>
      <c r="R38" s="222">
        <v>1159.8301391472</v>
      </c>
      <c r="S38" s="222"/>
      <c r="T38" s="222"/>
      <c r="U38" s="222"/>
      <c r="V38" s="221"/>
      <c r="W38" s="221"/>
      <c r="X38" s="221"/>
      <c r="Y38" s="221"/>
    </row>
    <row r="39" spans="1:25" x14ac:dyDescent="0.2">
      <c r="A39" s="210">
        <v>106</v>
      </c>
      <c r="B39" s="211" t="s">
        <v>176</v>
      </c>
      <c r="C39" s="209">
        <v>1</v>
      </c>
      <c r="D39" s="222">
        <v>173505.62091999999</v>
      </c>
      <c r="E39" s="222">
        <v>177672.2588937188</v>
      </c>
      <c r="F39" s="222">
        <v>185378.07199162143</v>
      </c>
      <c r="G39" s="222">
        <v>90501.397044564437</v>
      </c>
      <c r="H39" s="222">
        <v>87090.824535653941</v>
      </c>
      <c r="I39" s="222">
        <v>11470.926449999999</v>
      </c>
      <c r="J39" s="222">
        <v>12283.946533</v>
      </c>
      <c r="K39" s="222">
        <v>13296.709192</v>
      </c>
      <c r="L39" s="222">
        <v>10262.993988</v>
      </c>
      <c r="M39" s="222">
        <v>10392.088252</v>
      </c>
      <c r="N39" s="222">
        <v>13356.17468</v>
      </c>
      <c r="O39" s="222">
        <v>13460.652819432002</v>
      </c>
      <c r="P39" s="222">
        <v>13460.652819432002</v>
      </c>
      <c r="Q39" s="222">
        <v>13460.652819432002</v>
      </c>
      <c r="R39" s="222">
        <v>13460.652819432002</v>
      </c>
      <c r="S39" s="222"/>
      <c r="T39" s="222"/>
      <c r="U39" s="222"/>
      <c r="V39" s="221"/>
      <c r="W39" s="221"/>
      <c r="X39" s="221"/>
      <c r="Y39" s="221"/>
    </row>
    <row r="40" spans="1:25" x14ac:dyDescent="0.2">
      <c r="A40" s="210">
        <v>108</v>
      </c>
      <c r="B40" s="211" t="s">
        <v>177</v>
      </c>
      <c r="C40" s="209">
        <v>6</v>
      </c>
      <c r="D40" s="222">
        <v>34469.532590000003</v>
      </c>
      <c r="E40" s="222">
        <v>34885.474583329778</v>
      </c>
      <c r="F40" s="222">
        <v>36273.870976003331</v>
      </c>
      <c r="G40" s="222">
        <v>20140.618199406446</v>
      </c>
      <c r="H40" s="222">
        <v>19747.030565036846</v>
      </c>
      <c r="I40" s="222">
        <v>1636.37447</v>
      </c>
      <c r="J40" s="222">
        <v>1701.6648880000002</v>
      </c>
      <c r="K40" s="222">
        <v>1846.5207580000001</v>
      </c>
      <c r="L40" s="222">
        <v>1425.227187</v>
      </c>
      <c r="M40" s="222">
        <v>1443.154573</v>
      </c>
      <c r="N40" s="222">
        <v>2130.66372</v>
      </c>
      <c r="O40" s="222">
        <v>2088.2965021151999</v>
      </c>
      <c r="P40" s="222">
        <v>2088.2965021151999</v>
      </c>
      <c r="Q40" s="222">
        <v>2088.2965021151999</v>
      </c>
      <c r="R40" s="222">
        <v>2088.2965021151999</v>
      </c>
      <c r="S40" s="222"/>
      <c r="T40" s="222"/>
      <c r="U40" s="222"/>
      <c r="V40" s="221"/>
      <c r="W40" s="221"/>
      <c r="X40" s="221"/>
      <c r="Y40" s="221"/>
    </row>
    <row r="41" spans="1:25" x14ac:dyDescent="0.2">
      <c r="A41" s="210">
        <v>109</v>
      </c>
      <c r="B41" s="211" t="s">
        <v>178</v>
      </c>
      <c r="C41" s="209">
        <v>5</v>
      </c>
      <c r="D41" s="222">
        <v>238146.01615000001</v>
      </c>
      <c r="E41" s="222">
        <v>243650.49629758202</v>
      </c>
      <c r="F41" s="222">
        <v>253809.57758261738</v>
      </c>
      <c r="G41" s="222">
        <v>131161.50332670414</v>
      </c>
      <c r="H41" s="222">
        <v>127654.37411871062</v>
      </c>
      <c r="I41" s="222">
        <v>16011.405470000002</v>
      </c>
      <c r="J41" s="222">
        <v>16102.585889999998</v>
      </c>
      <c r="K41" s="222">
        <v>17438.043375999998</v>
      </c>
      <c r="L41" s="222">
        <v>13459.460664</v>
      </c>
      <c r="M41" s="222">
        <v>13628.762056</v>
      </c>
      <c r="N41" s="222">
        <v>26918.510300000002</v>
      </c>
      <c r="O41" s="222">
        <v>27400.074011772002</v>
      </c>
      <c r="P41" s="222">
        <v>27400.074011772002</v>
      </c>
      <c r="Q41" s="222">
        <v>27400.074011772002</v>
      </c>
      <c r="R41" s="222">
        <v>27400.074011772002</v>
      </c>
      <c r="S41" s="222"/>
      <c r="T41" s="222"/>
      <c r="U41" s="222"/>
      <c r="V41" s="221"/>
      <c r="W41" s="221"/>
      <c r="X41" s="221"/>
      <c r="Y41" s="221"/>
    </row>
    <row r="42" spans="1:25" x14ac:dyDescent="0.2">
      <c r="A42" s="210">
        <v>139</v>
      </c>
      <c r="B42" s="211" t="s">
        <v>179</v>
      </c>
      <c r="C42" s="209">
        <v>17</v>
      </c>
      <c r="D42" s="222">
        <v>26594.667420000002</v>
      </c>
      <c r="E42" s="222">
        <v>28514.101807814772</v>
      </c>
      <c r="F42" s="222">
        <v>29001.155781991623</v>
      </c>
      <c r="G42" s="222">
        <v>15603.101775273151</v>
      </c>
      <c r="H42" s="222">
        <v>15333.352199715167</v>
      </c>
      <c r="I42" s="222">
        <v>1526.46696</v>
      </c>
      <c r="J42" s="222">
        <v>1411.444882</v>
      </c>
      <c r="K42" s="222">
        <v>1529.744876</v>
      </c>
      <c r="L42" s="222">
        <v>1180.7254139999998</v>
      </c>
      <c r="M42" s="222">
        <v>1195.5773059999999</v>
      </c>
      <c r="N42" s="222">
        <v>3519.9227400000004</v>
      </c>
      <c r="O42" s="222">
        <v>4221.5736416520003</v>
      </c>
      <c r="P42" s="222">
        <v>4221.5736416520003</v>
      </c>
      <c r="Q42" s="222">
        <v>4221.5736416520003</v>
      </c>
      <c r="R42" s="222">
        <v>4221.5736416520003</v>
      </c>
      <c r="S42" s="222"/>
      <c r="T42" s="222"/>
      <c r="U42" s="222"/>
      <c r="V42" s="221"/>
      <c r="W42" s="221"/>
      <c r="X42" s="221"/>
      <c r="Y42" s="221"/>
    </row>
    <row r="43" spans="1:25" x14ac:dyDescent="0.2">
      <c r="A43" s="210">
        <v>140</v>
      </c>
      <c r="B43" s="211" t="s">
        <v>180</v>
      </c>
      <c r="C43" s="209">
        <v>11</v>
      </c>
      <c r="D43" s="222">
        <v>64543.431840000005</v>
      </c>
      <c r="E43" s="222">
        <v>63219.053230899975</v>
      </c>
      <c r="F43" s="222">
        <v>66256.17426400182</v>
      </c>
      <c r="G43" s="222">
        <v>33765.673809774707</v>
      </c>
      <c r="H43" s="222">
        <v>33058.549021207487</v>
      </c>
      <c r="I43" s="222">
        <v>5255.2078099999999</v>
      </c>
      <c r="J43" s="222">
        <v>5996.3783500000009</v>
      </c>
      <c r="K43" s="222">
        <v>6498.8175480000009</v>
      </c>
      <c r="L43" s="222">
        <v>5016.0776220000007</v>
      </c>
      <c r="M43" s="222">
        <v>5079.1729379999997</v>
      </c>
      <c r="N43" s="222">
        <v>5774.5183799999995</v>
      </c>
      <c r="O43" s="222">
        <v>5710.4091076871991</v>
      </c>
      <c r="P43" s="222">
        <v>5710.4091076871991</v>
      </c>
      <c r="Q43" s="222">
        <v>5710.4091076871991</v>
      </c>
      <c r="R43" s="222">
        <v>5710.4091076871991</v>
      </c>
      <c r="S43" s="222"/>
      <c r="T43" s="222"/>
      <c r="U43" s="222"/>
      <c r="V43" s="221"/>
      <c r="W43" s="221"/>
      <c r="X43" s="221"/>
      <c r="Y43" s="221"/>
    </row>
    <row r="44" spans="1:25" x14ac:dyDescent="0.2">
      <c r="A44" s="210">
        <v>142</v>
      </c>
      <c r="B44" s="211" t="s">
        <v>181</v>
      </c>
      <c r="C44" s="209">
        <v>8</v>
      </c>
      <c r="D44" s="222">
        <v>20212.663339999999</v>
      </c>
      <c r="E44" s="222">
        <v>20244.367798789575</v>
      </c>
      <c r="F44" s="222">
        <v>21585.21689108375</v>
      </c>
      <c r="G44" s="222">
        <v>11036.152071205597</v>
      </c>
      <c r="H44" s="222">
        <v>10805.776260912062</v>
      </c>
      <c r="I44" s="222">
        <v>1491.7632599999999</v>
      </c>
      <c r="J44" s="222">
        <v>1439.7130330000002</v>
      </c>
      <c r="K44" s="222">
        <v>1558.804678</v>
      </c>
      <c r="L44" s="222">
        <v>1203.1550669999999</v>
      </c>
      <c r="M44" s="222">
        <v>1218.2890930000001</v>
      </c>
      <c r="N44" s="222">
        <v>2462.8474100000003</v>
      </c>
      <c r="O44" s="222">
        <v>2444.9387857919996</v>
      </c>
      <c r="P44" s="222">
        <v>2444.9387857919996</v>
      </c>
      <c r="Q44" s="222">
        <v>2444.9387857919996</v>
      </c>
      <c r="R44" s="222">
        <v>2444.9387857919996</v>
      </c>
      <c r="S44" s="222"/>
      <c r="T44" s="222"/>
      <c r="U44" s="222"/>
      <c r="V44" s="221"/>
      <c r="W44" s="221"/>
      <c r="X44" s="221"/>
      <c r="Y44" s="221"/>
    </row>
    <row r="45" spans="1:25" x14ac:dyDescent="0.2">
      <c r="A45" s="210">
        <v>143</v>
      </c>
      <c r="B45" s="211" t="s">
        <v>182</v>
      </c>
      <c r="C45" s="209">
        <v>6</v>
      </c>
      <c r="D45" s="222">
        <v>20748.685989999998</v>
      </c>
      <c r="E45" s="222">
        <v>20882.858654552281</v>
      </c>
      <c r="F45" s="222">
        <v>21485.560332799338</v>
      </c>
      <c r="G45" s="222">
        <v>11458.688996716828</v>
      </c>
      <c r="H45" s="222">
        <v>11274.985041066417</v>
      </c>
      <c r="I45" s="222">
        <v>1732.3463000000002</v>
      </c>
      <c r="J45" s="222">
        <v>1707.942542</v>
      </c>
      <c r="K45" s="222">
        <v>1850.316102</v>
      </c>
      <c r="L45" s="222">
        <v>1428.1566030000001</v>
      </c>
      <c r="M45" s="222">
        <v>1446.1208369999997</v>
      </c>
      <c r="N45" s="222">
        <v>2895.3529700000004</v>
      </c>
      <c r="O45" s="222">
        <v>2888.2901786543998</v>
      </c>
      <c r="P45" s="222">
        <v>2888.2901786543998</v>
      </c>
      <c r="Q45" s="222">
        <v>2888.2901786543998</v>
      </c>
      <c r="R45" s="222">
        <v>2888.2901786543998</v>
      </c>
      <c r="S45" s="222"/>
      <c r="T45" s="222"/>
      <c r="U45" s="222"/>
      <c r="V45" s="221"/>
      <c r="W45" s="221"/>
      <c r="X45" s="221"/>
      <c r="Y45" s="221"/>
    </row>
    <row r="46" spans="1:25" x14ac:dyDescent="0.2">
      <c r="A46" s="210">
        <v>145</v>
      </c>
      <c r="B46" s="211" t="s">
        <v>183</v>
      </c>
      <c r="C46" s="209">
        <v>14</v>
      </c>
      <c r="D46" s="222">
        <v>35208.184150000001</v>
      </c>
      <c r="E46" s="222">
        <v>36490.06051183684</v>
      </c>
      <c r="F46" s="222">
        <v>38343.369331957372</v>
      </c>
      <c r="G46" s="222">
        <v>20137.225284893928</v>
      </c>
      <c r="H46" s="222">
        <v>19597.703240255989</v>
      </c>
      <c r="I46" s="222">
        <v>1430.4422099999999</v>
      </c>
      <c r="J46" s="222">
        <v>1495.180165</v>
      </c>
      <c r="K46" s="222">
        <v>1619.5901279999998</v>
      </c>
      <c r="L46" s="222">
        <v>1250.0719919999997</v>
      </c>
      <c r="M46" s="222">
        <v>1265.7961680000001</v>
      </c>
      <c r="N46" s="222">
        <v>2305.6363700000002</v>
      </c>
      <c r="O46" s="222">
        <v>2485.0738394927998</v>
      </c>
      <c r="P46" s="222">
        <v>2485.0738394927998</v>
      </c>
      <c r="Q46" s="222">
        <v>2485.0738394927998</v>
      </c>
      <c r="R46" s="222">
        <v>2485.0738394927998</v>
      </c>
      <c r="S46" s="222"/>
      <c r="T46" s="222"/>
      <c r="U46" s="222"/>
      <c r="V46" s="221"/>
      <c r="W46" s="221"/>
      <c r="X46" s="221"/>
      <c r="Y46" s="221"/>
    </row>
    <row r="47" spans="1:25" x14ac:dyDescent="0.2">
      <c r="A47" s="210">
        <v>146</v>
      </c>
      <c r="B47" s="211" t="s">
        <v>184</v>
      </c>
      <c r="C47" s="209">
        <v>12</v>
      </c>
      <c r="D47" s="222">
        <v>13573.086090000001</v>
      </c>
      <c r="E47" s="222">
        <v>13354.451953614287</v>
      </c>
      <c r="F47" s="222">
        <v>13741.285872564502</v>
      </c>
      <c r="G47" s="222">
        <v>7057.0503394000707</v>
      </c>
      <c r="H47" s="222">
        <v>6951.7744399123239</v>
      </c>
      <c r="I47" s="222">
        <v>3414.49001</v>
      </c>
      <c r="J47" s="222">
        <v>3161.4406110000004</v>
      </c>
      <c r="K47" s="222">
        <v>3427.8325840000002</v>
      </c>
      <c r="L47" s="222">
        <v>2645.7542760000001</v>
      </c>
      <c r="M47" s="222">
        <v>2679.034204</v>
      </c>
      <c r="N47" s="222">
        <v>1371.86445</v>
      </c>
      <c r="O47" s="222">
        <v>1357.4508636336</v>
      </c>
      <c r="P47" s="222">
        <v>1357.4508636336</v>
      </c>
      <c r="Q47" s="222">
        <v>1357.4508636336</v>
      </c>
      <c r="R47" s="222">
        <v>1357.4508636336</v>
      </c>
      <c r="S47" s="222"/>
      <c r="T47" s="222"/>
      <c r="U47" s="222"/>
      <c r="V47" s="221"/>
      <c r="W47" s="221"/>
      <c r="X47" s="221"/>
      <c r="Y47" s="221"/>
    </row>
    <row r="48" spans="1:25" x14ac:dyDescent="0.2">
      <c r="A48" s="210">
        <v>153</v>
      </c>
      <c r="B48" s="211" t="s">
        <v>185</v>
      </c>
      <c r="C48" s="209">
        <v>9</v>
      </c>
      <c r="D48" s="222">
        <v>91183.364749999993</v>
      </c>
      <c r="E48" s="222">
        <v>92781.821238058983</v>
      </c>
      <c r="F48" s="222">
        <v>95436.973726086799</v>
      </c>
      <c r="G48" s="222">
        <v>46584.977525956485</v>
      </c>
      <c r="H48" s="222">
        <v>45413.802116135703</v>
      </c>
      <c r="I48" s="222">
        <v>4486.9808600000006</v>
      </c>
      <c r="J48" s="222">
        <v>3861.1219469999996</v>
      </c>
      <c r="K48" s="222">
        <v>4163.0533820000001</v>
      </c>
      <c r="L48" s="222">
        <v>3213.2305229999997</v>
      </c>
      <c r="M48" s="222">
        <v>3253.6485170000001</v>
      </c>
      <c r="N48" s="222">
        <v>9919.6132500000003</v>
      </c>
      <c r="O48" s="222">
        <v>10217.95943562</v>
      </c>
      <c r="P48" s="222">
        <v>10217.95943562</v>
      </c>
      <c r="Q48" s="222">
        <v>10217.95943562</v>
      </c>
      <c r="R48" s="222">
        <v>10217.95943562</v>
      </c>
      <c r="S48" s="222"/>
      <c r="T48" s="222"/>
      <c r="U48" s="222"/>
      <c r="V48" s="221"/>
      <c r="W48" s="221"/>
      <c r="X48" s="221"/>
      <c r="Y48" s="221"/>
    </row>
    <row r="49" spans="1:25" x14ac:dyDescent="0.2">
      <c r="A49" s="210">
        <v>148</v>
      </c>
      <c r="B49" s="211" t="s">
        <v>186</v>
      </c>
      <c r="C49" s="209">
        <v>19</v>
      </c>
      <c r="D49" s="222">
        <v>19853.247319999999</v>
      </c>
      <c r="E49" s="222">
        <v>21193.472548407499</v>
      </c>
      <c r="F49" s="222">
        <v>21547.467285290357</v>
      </c>
      <c r="G49" s="222">
        <v>10241.987552561986</v>
      </c>
      <c r="H49" s="222">
        <v>9826.6292687023124</v>
      </c>
      <c r="I49" s="222">
        <v>2577.9975499999996</v>
      </c>
      <c r="J49" s="222">
        <v>2542.9962689999998</v>
      </c>
      <c r="K49" s="222">
        <v>2755.6799219999998</v>
      </c>
      <c r="L49" s="222">
        <v>2126.9568329999997</v>
      </c>
      <c r="M49" s="222">
        <v>2153.7110069999999</v>
      </c>
      <c r="N49" s="222">
        <v>4245.5051399999993</v>
      </c>
      <c r="O49" s="222">
        <v>4372.4534602680005</v>
      </c>
      <c r="P49" s="222">
        <v>4372.4534602680005</v>
      </c>
      <c r="Q49" s="222">
        <v>4372.4534602680005</v>
      </c>
      <c r="R49" s="222">
        <v>4372.4534602680005</v>
      </c>
      <c r="S49" s="222"/>
      <c r="T49" s="222"/>
      <c r="U49" s="222"/>
      <c r="V49" s="221"/>
      <c r="W49" s="221"/>
      <c r="X49" s="221"/>
      <c r="Y49" s="221"/>
    </row>
    <row r="50" spans="1:25" x14ac:dyDescent="0.2">
      <c r="A50" s="210">
        <v>149</v>
      </c>
      <c r="B50" s="211" t="s">
        <v>187</v>
      </c>
      <c r="C50" s="209">
        <v>1</v>
      </c>
      <c r="D50" s="222">
        <v>21433.028920000001</v>
      </c>
      <c r="E50" s="222">
        <v>21885.49574914213</v>
      </c>
      <c r="F50" s="222">
        <v>23070.482391512011</v>
      </c>
      <c r="G50" s="222">
        <v>11846.642852226021</v>
      </c>
      <c r="H50" s="222">
        <v>11461.613789878764</v>
      </c>
      <c r="I50" s="222">
        <v>1107.2393400000001</v>
      </c>
      <c r="J50" s="222">
        <v>1114.789974</v>
      </c>
      <c r="K50" s="222">
        <v>1197.96622</v>
      </c>
      <c r="L50" s="222">
        <v>924.64383000000009</v>
      </c>
      <c r="M50" s="222">
        <v>936.27457000000004</v>
      </c>
      <c r="N50" s="222">
        <v>3038.2486400000003</v>
      </c>
      <c r="O50" s="222">
        <v>3023.7000195239998</v>
      </c>
      <c r="P50" s="222">
        <v>3023.7000195239998</v>
      </c>
      <c r="Q50" s="222">
        <v>3023.7000195239998</v>
      </c>
      <c r="R50" s="222">
        <v>3023.7000195239998</v>
      </c>
      <c r="S50" s="222"/>
      <c r="T50" s="222"/>
      <c r="U50" s="222"/>
      <c r="V50" s="221"/>
      <c r="W50" s="221"/>
      <c r="X50" s="221"/>
      <c r="Y50" s="221"/>
    </row>
    <row r="51" spans="1:25" x14ac:dyDescent="0.2">
      <c r="A51" s="210">
        <v>151</v>
      </c>
      <c r="B51" s="211" t="s">
        <v>188</v>
      </c>
      <c r="C51" s="209">
        <v>14</v>
      </c>
      <c r="D51" s="222">
        <v>5409.0430199999992</v>
      </c>
      <c r="E51" s="222">
        <v>5351.0952097849504</v>
      </c>
      <c r="F51" s="222">
        <v>5565.5709905865224</v>
      </c>
      <c r="G51" s="222">
        <v>3101.9622447897764</v>
      </c>
      <c r="H51" s="222">
        <v>3052.5382410098332</v>
      </c>
      <c r="I51" s="222">
        <v>656.54043999999999</v>
      </c>
      <c r="J51" s="222">
        <v>631.99230499999999</v>
      </c>
      <c r="K51" s="222">
        <v>684.39194599999996</v>
      </c>
      <c r="L51" s="222">
        <v>528.24426900000003</v>
      </c>
      <c r="M51" s="222">
        <v>534.88885099999993</v>
      </c>
      <c r="N51" s="222">
        <v>446.73111</v>
      </c>
      <c r="O51" s="222">
        <v>443.86013394960003</v>
      </c>
      <c r="P51" s="222">
        <v>443.86013394960003</v>
      </c>
      <c r="Q51" s="222">
        <v>443.86013394960003</v>
      </c>
      <c r="R51" s="222">
        <v>443.86013394960003</v>
      </c>
      <c r="S51" s="222"/>
      <c r="T51" s="222"/>
      <c r="U51" s="222"/>
      <c r="V51" s="221"/>
      <c r="W51" s="221"/>
      <c r="X51" s="221"/>
      <c r="Y51" s="221"/>
    </row>
    <row r="52" spans="1:25" x14ac:dyDescent="0.2">
      <c r="A52" s="210">
        <v>152</v>
      </c>
      <c r="B52" s="247" t="s">
        <v>189</v>
      </c>
      <c r="C52" s="209">
        <v>15</v>
      </c>
      <c r="D52" s="222">
        <v>13541.88616</v>
      </c>
      <c r="E52" s="222">
        <v>13876.928948426308</v>
      </c>
      <c r="F52" s="222">
        <v>14329.740824935236</v>
      </c>
      <c r="G52" s="222">
        <v>7748.5391400035733</v>
      </c>
      <c r="H52" s="222">
        <v>7602.5540614753445</v>
      </c>
      <c r="I52" s="222">
        <v>636.25184000000002</v>
      </c>
      <c r="J52" s="222">
        <v>583.7255449999999</v>
      </c>
      <c r="K52" s="222">
        <v>631.94455199999993</v>
      </c>
      <c r="L52" s="222">
        <v>487.76302799999996</v>
      </c>
      <c r="M52" s="222">
        <v>493.89841200000001</v>
      </c>
      <c r="N52" s="222">
        <v>885.58244999999999</v>
      </c>
      <c r="O52" s="222">
        <v>883.84401529679997</v>
      </c>
      <c r="P52" s="222">
        <v>883.84401529679997</v>
      </c>
      <c r="Q52" s="222">
        <v>883.84401529679997</v>
      </c>
      <c r="R52" s="222">
        <v>883.84401529679997</v>
      </c>
      <c r="S52" s="222"/>
      <c r="T52" s="222"/>
      <c r="U52" s="222"/>
      <c r="V52" s="221"/>
      <c r="W52" s="221"/>
      <c r="X52" s="221"/>
      <c r="Y52" s="221"/>
    </row>
    <row r="53" spans="1:25" x14ac:dyDescent="0.2">
      <c r="A53" s="210">
        <v>165</v>
      </c>
      <c r="B53" s="211" t="s">
        <v>190</v>
      </c>
      <c r="C53" s="209">
        <v>5</v>
      </c>
      <c r="D53" s="222">
        <v>58494.963400000001</v>
      </c>
      <c r="E53" s="222">
        <v>59409.39084029544</v>
      </c>
      <c r="F53" s="222">
        <v>61748.594155323437</v>
      </c>
      <c r="G53" s="222">
        <v>32161.296995705274</v>
      </c>
      <c r="H53" s="222">
        <v>31358.741491256118</v>
      </c>
      <c r="I53" s="222">
        <v>2676.1019300000003</v>
      </c>
      <c r="J53" s="222">
        <v>2133.5397330000001</v>
      </c>
      <c r="K53" s="222">
        <v>2307.1433499999998</v>
      </c>
      <c r="L53" s="222">
        <v>1780.7562750000002</v>
      </c>
      <c r="M53" s="222">
        <v>1803.1557250000001</v>
      </c>
      <c r="N53" s="222">
        <v>3636.5233699999999</v>
      </c>
      <c r="O53" s="222">
        <v>3632.6336895360009</v>
      </c>
      <c r="P53" s="222">
        <v>3632.6336895360009</v>
      </c>
      <c r="Q53" s="222">
        <v>3632.6336895360009</v>
      </c>
      <c r="R53" s="222">
        <v>3632.6336895360009</v>
      </c>
      <c r="S53" s="222"/>
      <c r="T53" s="222"/>
      <c r="U53" s="222"/>
      <c r="V53" s="221"/>
      <c r="W53" s="221"/>
      <c r="X53" s="221"/>
      <c r="Y53" s="221"/>
    </row>
    <row r="54" spans="1:25" x14ac:dyDescent="0.2">
      <c r="A54" s="210">
        <v>167</v>
      </c>
      <c r="B54" s="211" t="s">
        <v>191</v>
      </c>
      <c r="C54" s="209">
        <v>12</v>
      </c>
      <c r="D54" s="222">
        <v>220260.92989</v>
      </c>
      <c r="E54" s="222">
        <v>225527.90641262691</v>
      </c>
      <c r="F54" s="222">
        <v>236158.65792914201</v>
      </c>
      <c r="G54" s="222">
        <v>122367.64996675836</v>
      </c>
      <c r="H54" s="222">
        <v>119095.67441713379</v>
      </c>
      <c r="I54" s="222">
        <v>21356.187389999999</v>
      </c>
      <c r="J54" s="222">
        <v>21858.509067999999</v>
      </c>
      <c r="K54" s="222">
        <v>23702.11692</v>
      </c>
      <c r="L54" s="222">
        <v>18294.35238</v>
      </c>
      <c r="M54" s="222">
        <v>18524.470020000004</v>
      </c>
      <c r="N54" s="222">
        <v>20776.212420000003</v>
      </c>
      <c r="O54" s="222">
        <v>21195.464413715996</v>
      </c>
      <c r="P54" s="222">
        <v>21195.464413715996</v>
      </c>
      <c r="Q54" s="222">
        <v>21195.464413715996</v>
      </c>
      <c r="R54" s="222">
        <v>21195.464413715996</v>
      </c>
      <c r="S54" s="222"/>
      <c r="T54" s="222"/>
      <c r="U54" s="222"/>
      <c r="V54" s="221"/>
      <c r="W54" s="221"/>
      <c r="X54" s="221"/>
      <c r="Y54" s="221"/>
    </row>
    <row r="55" spans="1:25" x14ac:dyDescent="0.2">
      <c r="A55" s="210">
        <v>169</v>
      </c>
      <c r="B55" s="211" t="s">
        <v>192</v>
      </c>
      <c r="C55" s="209">
        <v>5</v>
      </c>
      <c r="D55" s="222">
        <v>16673.767319999999</v>
      </c>
      <c r="E55" s="222">
        <v>17333.390377262964</v>
      </c>
      <c r="F55" s="222">
        <v>18275.106335375913</v>
      </c>
      <c r="G55" s="222">
        <v>9599.8515542392397</v>
      </c>
      <c r="H55" s="222">
        <v>9387.7282190342958</v>
      </c>
      <c r="I55" s="222">
        <v>1079.6005500000001</v>
      </c>
      <c r="J55" s="222">
        <v>1043.179116</v>
      </c>
      <c r="K55" s="222">
        <v>1128.5454560000001</v>
      </c>
      <c r="L55" s="222">
        <v>871.06178399999988</v>
      </c>
      <c r="M55" s="222">
        <v>882.01853599999993</v>
      </c>
      <c r="N55" s="222">
        <v>895.24756000000002</v>
      </c>
      <c r="O55" s="222">
        <v>974.18465982719988</v>
      </c>
      <c r="P55" s="222">
        <v>974.18465982719988</v>
      </c>
      <c r="Q55" s="222">
        <v>974.18465982719988</v>
      </c>
      <c r="R55" s="222">
        <v>974.18465982719988</v>
      </c>
      <c r="S55" s="222"/>
      <c r="T55" s="222"/>
      <c r="U55" s="222"/>
      <c r="V55" s="221"/>
      <c r="W55" s="221"/>
      <c r="X55" s="221"/>
      <c r="Y55" s="221"/>
    </row>
    <row r="56" spans="1:25" x14ac:dyDescent="0.2">
      <c r="A56" s="210">
        <v>171</v>
      </c>
      <c r="B56" s="211" t="s">
        <v>193</v>
      </c>
      <c r="C56" s="209">
        <v>10</v>
      </c>
      <c r="D56" s="222">
        <v>14749.620050000001</v>
      </c>
      <c r="E56" s="222">
        <v>14369.363372050138</v>
      </c>
      <c r="F56" s="222">
        <v>15090.983547051952</v>
      </c>
      <c r="G56" s="222">
        <v>7741.529710365041</v>
      </c>
      <c r="H56" s="222">
        <v>7587.2606684895391</v>
      </c>
      <c r="I56" s="222">
        <v>1488.6474800000001</v>
      </c>
      <c r="J56" s="222">
        <v>1378.3776000000003</v>
      </c>
      <c r="K56" s="222">
        <v>1494.8756679999997</v>
      </c>
      <c r="L56" s="222">
        <v>1153.8118019999999</v>
      </c>
      <c r="M56" s="222">
        <v>1168.3251579999999</v>
      </c>
      <c r="N56" s="222">
        <v>1183.1877099999999</v>
      </c>
      <c r="O56" s="222">
        <v>1185.9984365759999</v>
      </c>
      <c r="P56" s="222">
        <v>1185.9984365759999</v>
      </c>
      <c r="Q56" s="222">
        <v>1185.9984365759999</v>
      </c>
      <c r="R56" s="222">
        <v>1185.9984365759999</v>
      </c>
      <c r="S56" s="222"/>
      <c r="T56" s="222"/>
      <c r="U56" s="222"/>
      <c r="V56" s="221"/>
      <c r="W56" s="221"/>
      <c r="X56" s="221"/>
      <c r="Y56" s="221"/>
    </row>
    <row r="57" spans="1:25" x14ac:dyDescent="0.2">
      <c r="A57" s="210">
        <v>172</v>
      </c>
      <c r="B57" s="246" t="s">
        <v>194</v>
      </c>
      <c r="C57" s="209">
        <v>13</v>
      </c>
      <c r="D57" s="222">
        <v>12364.431789999999</v>
      </c>
      <c r="E57" s="222">
        <v>12199.493077064306</v>
      </c>
      <c r="F57" s="222">
        <v>12679.314258683973</v>
      </c>
      <c r="G57" s="222">
        <v>6581.2648014066963</v>
      </c>
      <c r="H57" s="222">
        <v>6484.3336246099589</v>
      </c>
      <c r="I57" s="222">
        <v>1491.7655</v>
      </c>
      <c r="J57" s="222">
        <v>1518.6717110000002</v>
      </c>
      <c r="K57" s="222">
        <v>1646.6815999999999</v>
      </c>
      <c r="L57" s="222">
        <v>1270.9824000000001</v>
      </c>
      <c r="M57" s="222">
        <v>1286.9695999999999</v>
      </c>
      <c r="N57" s="222">
        <v>1685.8250500000001</v>
      </c>
      <c r="O57" s="222">
        <v>1722.4379173919999</v>
      </c>
      <c r="P57" s="222">
        <v>1722.4379173919999</v>
      </c>
      <c r="Q57" s="222">
        <v>1722.4379173919999</v>
      </c>
      <c r="R57" s="222">
        <v>1722.4379173919999</v>
      </c>
      <c r="S57" s="222"/>
      <c r="T57" s="222"/>
      <c r="U57" s="222"/>
      <c r="V57" s="221"/>
      <c r="W57" s="221"/>
      <c r="X57" s="221"/>
      <c r="Y57" s="221"/>
    </row>
    <row r="58" spans="1:25" x14ac:dyDescent="0.2">
      <c r="A58" s="210">
        <v>176</v>
      </c>
      <c r="B58" s="211" t="s">
        <v>196</v>
      </c>
      <c r="C58" s="209">
        <v>12</v>
      </c>
      <c r="D58" s="222">
        <v>11710.34209</v>
      </c>
      <c r="E58" s="222">
        <v>11327.309421422249</v>
      </c>
      <c r="F58" s="222">
        <v>11801.747561511394</v>
      </c>
      <c r="G58" s="222">
        <v>6078.3191034719885</v>
      </c>
      <c r="H58" s="222">
        <v>6000.4140608470543</v>
      </c>
      <c r="I58" s="222">
        <v>1860.33384</v>
      </c>
      <c r="J58" s="222">
        <v>1666.3442639999998</v>
      </c>
      <c r="K58" s="222">
        <v>1804.6335419999998</v>
      </c>
      <c r="L58" s="222">
        <v>1392.8967630000002</v>
      </c>
      <c r="M58" s="222">
        <v>1410.417477</v>
      </c>
      <c r="N58" s="222">
        <v>1212.57293</v>
      </c>
      <c r="O58" s="222">
        <v>1195.7923491648</v>
      </c>
      <c r="P58" s="222">
        <v>1195.7923491648</v>
      </c>
      <c r="Q58" s="222">
        <v>1195.7923491648</v>
      </c>
      <c r="R58" s="222">
        <v>1195.7923491648</v>
      </c>
      <c r="S58" s="222"/>
      <c r="T58" s="222"/>
      <c r="U58" s="222"/>
      <c r="V58" s="221"/>
      <c r="W58" s="221"/>
      <c r="X58" s="221"/>
      <c r="Y58" s="221"/>
    </row>
    <row r="59" spans="1:25" x14ac:dyDescent="0.2">
      <c r="A59" s="210">
        <v>177</v>
      </c>
      <c r="B59" s="211" t="s">
        <v>197</v>
      </c>
      <c r="C59" s="209">
        <v>6</v>
      </c>
      <c r="D59" s="222">
        <v>5707.2977300000002</v>
      </c>
      <c r="E59" s="222">
        <v>5722.1951066880838</v>
      </c>
      <c r="F59" s="222">
        <v>5988.1364111341454</v>
      </c>
      <c r="G59" s="222">
        <v>3101.7207717353922</v>
      </c>
      <c r="H59" s="222">
        <v>3037.7395371662669</v>
      </c>
      <c r="I59" s="222">
        <v>923.79165999999998</v>
      </c>
      <c r="J59" s="222">
        <v>1046.2207870000002</v>
      </c>
      <c r="K59" s="222">
        <v>1137.2532820000001</v>
      </c>
      <c r="L59" s="222">
        <v>877.782873</v>
      </c>
      <c r="M59" s="222">
        <v>888.82416699999999</v>
      </c>
      <c r="N59" s="222">
        <v>543.08606999999995</v>
      </c>
      <c r="O59" s="222">
        <v>554.35963470000002</v>
      </c>
      <c r="P59" s="222">
        <v>554.35963470000002</v>
      </c>
      <c r="Q59" s="222">
        <v>554.35963470000002</v>
      </c>
      <c r="R59" s="222">
        <v>554.35963470000002</v>
      </c>
      <c r="S59" s="222"/>
      <c r="T59" s="222"/>
      <c r="U59" s="222"/>
      <c r="V59" s="221"/>
      <c r="W59" s="221"/>
      <c r="X59" s="221"/>
      <c r="Y59" s="221"/>
    </row>
    <row r="60" spans="1:25" x14ac:dyDescent="0.2">
      <c r="A60" s="210">
        <v>178</v>
      </c>
      <c r="B60" s="211" t="s">
        <v>198</v>
      </c>
      <c r="C60" s="209">
        <v>10</v>
      </c>
      <c r="D60" s="222">
        <v>15240.84483</v>
      </c>
      <c r="E60" s="222">
        <v>16257.412126633526</v>
      </c>
      <c r="F60" s="222">
        <v>16835.841755095604</v>
      </c>
      <c r="G60" s="222">
        <v>8809.7114054109079</v>
      </c>
      <c r="H60" s="222">
        <v>8627.9856951910479</v>
      </c>
      <c r="I60" s="222">
        <v>2547.9166</v>
      </c>
      <c r="J60" s="222">
        <v>2460.5536789999996</v>
      </c>
      <c r="K60" s="222">
        <v>2666.2992000000004</v>
      </c>
      <c r="L60" s="222">
        <v>2057.9688000000006</v>
      </c>
      <c r="M60" s="222">
        <v>2083.8552</v>
      </c>
      <c r="N60" s="222">
        <v>1505.4918</v>
      </c>
      <c r="O60" s="222">
        <v>1498.1562210432</v>
      </c>
      <c r="P60" s="222">
        <v>1498.1562210432</v>
      </c>
      <c r="Q60" s="222">
        <v>1498.1562210432</v>
      </c>
      <c r="R60" s="222">
        <v>1498.1562210432</v>
      </c>
      <c r="S60" s="222"/>
      <c r="T60" s="222"/>
      <c r="U60" s="222"/>
      <c r="V60" s="221"/>
      <c r="W60" s="221"/>
      <c r="X60" s="221"/>
      <c r="Y60" s="221"/>
    </row>
    <row r="61" spans="1:25" x14ac:dyDescent="0.2">
      <c r="A61" s="210">
        <v>179</v>
      </c>
      <c r="B61" s="211" t="s">
        <v>199</v>
      </c>
      <c r="C61" s="209">
        <v>13</v>
      </c>
      <c r="D61" s="222">
        <v>440245.93358000001</v>
      </c>
      <c r="E61" s="222">
        <v>450971.19330110197</v>
      </c>
      <c r="F61" s="222">
        <v>471447.45164776879</v>
      </c>
      <c r="G61" s="222">
        <v>236976.74859883133</v>
      </c>
      <c r="H61" s="222">
        <v>229165.72659634106</v>
      </c>
      <c r="I61" s="222">
        <v>27050.78657</v>
      </c>
      <c r="J61" s="222">
        <v>26705.568805000003</v>
      </c>
      <c r="K61" s="222">
        <v>28946.934187999999</v>
      </c>
      <c r="L61" s="222">
        <v>22342.536582000001</v>
      </c>
      <c r="M61" s="222">
        <v>22623.574778000002</v>
      </c>
      <c r="N61" s="222">
        <v>47096.04047</v>
      </c>
      <c r="O61" s="222">
        <v>50763.780010752002</v>
      </c>
      <c r="P61" s="222">
        <v>50763.780010752002</v>
      </c>
      <c r="Q61" s="222">
        <v>50763.780010752002</v>
      </c>
      <c r="R61" s="222">
        <v>50763.780010752002</v>
      </c>
      <c r="S61" s="222"/>
      <c r="T61" s="222"/>
      <c r="U61" s="222"/>
      <c r="V61" s="221"/>
      <c r="W61" s="221"/>
      <c r="X61" s="221"/>
      <c r="Y61" s="221"/>
    </row>
    <row r="62" spans="1:25" x14ac:dyDescent="0.2">
      <c r="A62" s="210">
        <v>181</v>
      </c>
      <c r="B62" s="211" t="s">
        <v>200</v>
      </c>
      <c r="C62" s="209">
        <v>4</v>
      </c>
      <c r="D62" s="222">
        <v>5007.5873899999997</v>
      </c>
      <c r="E62" s="222">
        <v>5184.3421457971708</v>
      </c>
      <c r="F62" s="222">
        <v>5301.229500623931</v>
      </c>
      <c r="G62" s="222">
        <v>3032.3611813459479</v>
      </c>
      <c r="H62" s="222">
        <v>2991.7664043069335</v>
      </c>
      <c r="I62" s="222">
        <v>305.03583000000003</v>
      </c>
      <c r="J62" s="222">
        <v>279.61025899999999</v>
      </c>
      <c r="K62" s="222">
        <v>302.43786999999998</v>
      </c>
      <c r="L62" s="222">
        <v>233.43505500000001</v>
      </c>
      <c r="M62" s="222">
        <v>236.37134500000002</v>
      </c>
      <c r="N62" s="222">
        <v>391.62865999999997</v>
      </c>
      <c r="O62" s="222">
        <v>403.23235425360002</v>
      </c>
      <c r="P62" s="222">
        <v>403.23235425360002</v>
      </c>
      <c r="Q62" s="222">
        <v>403.23235425360002</v>
      </c>
      <c r="R62" s="222">
        <v>403.23235425360002</v>
      </c>
      <c r="S62" s="222"/>
      <c r="T62" s="222"/>
      <c r="U62" s="222"/>
      <c r="V62" s="221"/>
      <c r="W62" s="221"/>
      <c r="X62" s="221"/>
      <c r="Y62" s="221"/>
    </row>
    <row r="63" spans="1:25" x14ac:dyDescent="0.2">
      <c r="A63" s="210">
        <v>182</v>
      </c>
      <c r="B63" s="211" t="s">
        <v>127</v>
      </c>
      <c r="C63" s="209">
        <v>13</v>
      </c>
      <c r="D63" s="222">
        <v>69883.608510000005</v>
      </c>
      <c r="E63" s="222">
        <v>71075.947958015662</v>
      </c>
      <c r="F63" s="222">
        <v>73156.827073833672</v>
      </c>
      <c r="G63" s="222">
        <v>37414.357640513073</v>
      </c>
      <c r="H63" s="222">
        <v>36790.146573799095</v>
      </c>
      <c r="I63" s="222">
        <v>9416.4231</v>
      </c>
      <c r="J63" s="222">
        <v>8304.7709070000001</v>
      </c>
      <c r="K63" s="222">
        <v>9021.4622359999994</v>
      </c>
      <c r="L63" s="222">
        <v>6963.1674539999995</v>
      </c>
      <c r="M63" s="222">
        <v>7050.7544659999985</v>
      </c>
      <c r="N63" s="222">
        <v>6106.9449100000002</v>
      </c>
      <c r="O63" s="222">
        <v>6041.3047361640001</v>
      </c>
      <c r="P63" s="222">
        <v>6041.3047361640001</v>
      </c>
      <c r="Q63" s="222">
        <v>6041.3047361640001</v>
      </c>
      <c r="R63" s="222">
        <v>6041.3047361640001</v>
      </c>
      <c r="S63" s="222"/>
      <c r="T63" s="222"/>
      <c r="U63" s="222"/>
      <c r="V63" s="221"/>
      <c r="W63" s="221"/>
      <c r="X63" s="221"/>
      <c r="Y63" s="221"/>
    </row>
    <row r="64" spans="1:25" x14ac:dyDescent="0.2">
      <c r="A64" s="210">
        <v>186</v>
      </c>
      <c r="B64" s="211" t="s">
        <v>201</v>
      </c>
      <c r="C64" s="209">
        <v>1</v>
      </c>
      <c r="D64" s="222">
        <v>163674.76236000002</v>
      </c>
      <c r="E64" s="222">
        <v>171442.79556327313</v>
      </c>
      <c r="F64" s="222">
        <v>179298.01974880014</v>
      </c>
      <c r="G64" s="222">
        <v>88382.691926017244</v>
      </c>
      <c r="H64" s="222">
        <v>84567.366119051148</v>
      </c>
      <c r="I64" s="222">
        <v>5315.8872300000003</v>
      </c>
      <c r="J64" s="222">
        <v>5002.5120120000001</v>
      </c>
      <c r="K64" s="222">
        <v>5418.538716</v>
      </c>
      <c r="L64" s="222">
        <v>4182.2701740000002</v>
      </c>
      <c r="M64" s="222">
        <v>4234.8773460000002</v>
      </c>
      <c r="N64" s="222">
        <v>12902.70076</v>
      </c>
      <c r="O64" s="222">
        <v>13628.708030376003</v>
      </c>
      <c r="P64" s="222">
        <v>13628.708030376003</v>
      </c>
      <c r="Q64" s="222">
        <v>13628.708030376003</v>
      </c>
      <c r="R64" s="222">
        <v>13628.708030376003</v>
      </c>
      <c r="S64" s="222"/>
      <c r="T64" s="222"/>
      <c r="U64" s="222"/>
      <c r="V64" s="221"/>
      <c r="W64" s="221"/>
      <c r="X64" s="221"/>
      <c r="Y64" s="221"/>
    </row>
    <row r="65" spans="1:25" x14ac:dyDescent="0.2">
      <c r="A65" s="210">
        <v>202</v>
      </c>
      <c r="B65" s="211" t="s">
        <v>202</v>
      </c>
      <c r="C65" s="209">
        <v>2</v>
      </c>
      <c r="D65" s="222">
        <v>125221.40986</v>
      </c>
      <c r="E65" s="222">
        <v>129466.14501434876</v>
      </c>
      <c r="F65" s="222">
        <v>135884.5657545127</v>
      </c>
      <c r="G65" s="222">
        <v>66375.740352646826</v>
      </c>
      <c r="H65" s="222">
        <v>63703.301125092847</v>
      </c>
      <c r="I65" s="222">
        <v>4978.9449199999999</v>
      </c>
      <c r="J65" s="222">
        <v>5309.1579959999999</v>
      </c>
      <c r="K65" s="222">
        <v>5743.5317320000004</v>
      </c>
      <c r="L65" s="222">
        <v>4433.1142980000004</v>
      </c>
      <c r="M65" s="222">
        <v>4488.8767420000004</v>
      </c>
      <c r="N65" s="222">
        <v>7061.4079199999996</v>
      </c>
      <c r="O65" s="222">
        <v>7147.9776262247979</v>
      </c>
      <c r="P65" s="222">
        <v>7147.9776262247979</v>
      </c>
      <c r="Q65" s="222">
        <v>7147.9776262247979</v>
      </c>
      <c r="R65" s="222">
        <v>7147.9776262247979</v>
      </c>
      <c r="S65" s="222"/>
      <c r="T65" s="222"/>
      <c r="U65" s="222"/>
      <c r="V65" s="221"/>
      <c r="W65" s="221"/>
      <c r="X65" s="221"/>
      <c r="Y65" s="221"/>
    </row>
    <row r="66" spans="1:25" x14ac:dyDescent="0.2">
      <c r="A66" s="210">
        <v>204</v>
      </c>
      <c r="B66" s="211" t="s">
        <v>203</v>
      </c>
      <c r="C66" s="209">
        <v>11</v>
      </c>
      <c r="D66" s="222">
        <v>6988.15571</v>
      </c>
      <c r="E66" s="222">
        <v>7182.9331968138122</v>
      </c>
      <c r="F66" s="222">
        <v>7697.9918625615373</v>
      </c>
      <c r="G66" s="222">
        <v>4115.5122069906383</v>
      </c>
      <c r="H66" s="222">
        <v>4092.2153987544857</v>
      </c>
      <c r="I66" s="222">
        <v>995.21087999999997</v>
      </c>
      <c r="J66" s="222">
        <v>1098.2324490000001</v>
      </c>
      <c r="K66" s="222">
        <v>1190.9764339999999</v>
      </c>
      <c r="L66" s="222">
        <v>919.24880099999996</v>
      </c>
      <c r="M66" s="222">
        <v>930.81167900000003</v>
      </c>
      <c r="N66" s="222">
        <v>1050.7325800000001</v>
      </c>
      <c r="O66" s="222">
        <v>1114.546427364</v>
      </c>
      <c r="P66" s="222">
        <v>1114.546427364</v>
      </c>
      <c r="Q66" s="222">
        <v>1114.546427364</v>
      </c>
      <c r="R66" s="222">
        <v>1114.546427364</v>
      </c>
      <c r="S66" s="222"/>
      <c r="T66" s="222"/>
      <c r="U66" s="222"/>
      <c r="V66" s="221"/>
      <c r="W66" s="221"/>
      <c r="X66" s="221"/>
      <c r="Y66" s="221"/>
    </row>
    <row r="67" spans="1:25" x14ac:dyDescent="0.2">
      <c r="A67" s="210">
        <v>205</v>
      </c>
      <c r="B67" s="211" t="s">
        <v>204</v>
      </c>
      <c r="C67" s="209">
        <v>18</v>
      </c>
      <c r="D67" s="222">
        <v>122934.68648</v>
      </c>
      <c r="E67" s="222">
        <v>123572.21346701479</v>
      </c>
      <c r="F67" s="222">
        <v>128556.98372196511</v>
      </c>
      <c r="G67" s="222">
        <v>66929.377604234571</v>
      </c>
      <c r="H67" s="222">
        <v>65544.491954129931</v>
      </c>
      <c r="I67" s="222">
        <v>5736.8295900000003</v>
      </c>
      <c r="J67" s="222">
        <v>5468.7635180000007</v>
      </c>
      <c r="K67" s="222">
        <v>5922.1030380000002</v>
      </c>
      <c r="L67" s="222">
        <v>4570.9436070000002</v>
      </c>
      <c r="M67" s="222">
        <v>4628.4397530000006</v>
      </c>
      <c r="N67" s="222">
        <v>9986.0634200000004</v>
      </c>
      <c r="O67" s="222">
        <v>10250.999586396003</v>
      </c>
      <c r="P67" s="222">
        <v>10250.999586396003</v>
      </c>
      <c r="Q67" s="222">
        <v>10250.999586396003</v>
      </c>
      <c r="R67" s="222">
        <v>10250.999586396003</v>
      </c>
      <c r="S67" s="222"/>
      <c r="T67" s="222"/>
      <c r="U67" s="222"/>
      <c r="V67" s="221"/>
      <c r="W67" s="221"/>
      <c r="X67" s="221"/>
      <c r="Y67" s="221"/>
    </row>
    <row r="68" spans="1:25" x14ac:dyDescent="0.2">
      <c r="A68" s="210">
        <v>208</v>
      </c>
      <c r="B68" s="211" t="s">
        <v>205</v>
      </c>
      <c r="C68" s="209">
        <v>17</v>
      </c>
      <c r="D68" s="222">
        <v>32482.035469999999</v>
      </c>
      <c r="E68" s="222">
        <v>33069.563815277135</v>
      </c>
      <c r="F68" s="222">
        <v>34715.750976343355</v>
      </c>
      <c r="G68" s="222">
        <v>17463.305872945784</v>
      </c>
      <c r="H68" s="222">
        <v>16997.194792375216</v>
      </c>
      <c r="I68" s="222">
        <v>2716.32384</v>
      </c>
      <c r="J68" s="222">
        <v>2120.8410100000001</v>
      </c>
      <c r="K68" s="222">
        <v>2294.4473640000001</v>
      </c>
      <c r="L68" s="222">
        <v>1770.9569460000002</v>
      </c>
      <c r="M68" s="222">
        <v>1793.2331340000001</v>
      </c>
      <c r="N68" s="222">
        <v>3556.9781499999999</v>
      </c>
      <c r="O68" s="222">
        <v>5107.6572968399996</v>
      </c>
      <c r="P68" s="222">
        <v>5107.6572968399996</v>
      </c>
      <c r="Q68" s="222">
        <v>5107.6572968399996</v>
      </c>
      <c r="R68" s="222">
        <v>5107.6572968399996</v>
      </c>
      <c r="S68" s="222"/>
      <c r="T68" s="222"/>
      <c r="U68" s="222"/>
      <c r="V68" s="221"/>
      <c r="W68" s="221"/>
      <c r="X68" s="221"/>
      <c r="Y68" s="221"/>
    </row>
    <row r="69" spans="1:25" x14ac:dyDescent="0.2">
      <c r="A69" s="210">
        <v>211</v>
      </c>
      <c r="B69" s="211" t="s">
        <v>206</v>
      </c>
      <c r="C69" s="209">
        <v>6</v>
      </c>
      <c r="D69" s="222">
        <v>117565.95447</v>
      </c>
      <c r="E69" s="222">
        <v>117723.29881520927</v>
      </c>
      <c r="F69" s="222">
        <v>123831.52657052698</v>
      </c>
      <c r="G69" s="222">
        <v>64633.487742096106</v>
      </c>
      <c r="H69" s="222">
        <v>62900.689145644013</v>
      </c>
      <c r="I69" s="222">
        <v>4094.7275499999996</v>
      </c>
      <c r="J69" s="222">
        <v>4081.9972710000002</v>
      </c>
      <c r="K69" s="222">
        <v>4419.7122840000002</v>
      </c>
      <c r="L69" s="222">
        <v>3411.331326</v>
      </c>
      <c r="M69" s="222">
        <v>3454.2411539999998</v>
      </c>
      <c r="N69" s="222">
        <v>7080.4314199999999</v>
      </c>
      <c r="O69" s="222">
        <v>7068.4611333288003</v>
      </c>
      <c r="P69" s="222">
        <v>7068.4611333288003</v>
      </c>
      <c r="Q69" s="222">
        <v>7068.4611333288003</v>
      </c>
      <c r="R69" s="222">
        <v>7068.4611333288003</v>
      </c>
      <c r="S69" s="222"/>
      <c r="T69" s="222"/>
      <c r="U69" s="222"/>
      <c r="V69" s="221"/>
      <c r="W69" s="221"/>
      <c r="X69" s="221"/>
      <c r="Y69" s="221"/>
    </row>
    <row r="70" spans="1:25" x14ac:dyDescent="0.2">
      <c r="A70" s="210">
        <v>213</v>
      </c>
      <c r="B70" s="211" t="s">
        <v>207</v>
      </c>
      <c r="C70" s="209">
        <v>10</v>
      </c>
      <c r="D70" s="222">
        <v>14030.00599</v>
      </c>
      <c r="E70" s="222">
        <v>14011.021378824358</v>
      </c>
      <c r="F70" s="222">
        <v>14496.7489104908</v>
      </c>
      <c r="G70" s="222">
        <v>7566.3562776034823</v>
      </c>
      <c r="H70" s="222">
        <v>7423.0587811832711</v>
      </c>
      <c r="I70" s="222">
        <v>2828.2270099999996</v>
      </c>
      <c r="J70" s="222">
        <v>2620.7375359999996</v>
      </c>
      <c r="K70" s="222">
        <v>2841.2920800000002</v>
      </c>
      <c r="L70" s="222">
        <v>2193.0361200000002</v>
      </c>
      <c r="M70" s="222">
        <v>2220.6214799999998</v>
      </c>
      <c r="N70" s="222">
        <v>1826.3335</v>
      </c>
      <c r="O70" s="222">
        <v>1854.0519965640003</v>
      </c>
      <c r="P70" s="222">
        <v>1854.0519965640003</v>
      </c>
      <c r="Q70" s="222">
        <v>1854.0519965640003</v>
      </c>
      <c r="R70" s="222">
        <v>1854.0519965640003</v>
      </c>
      <c r="S70" s="222"/>
      <c r="T70" s="222"/>
      <c r="U70" s="222"/>
      <c r="V70" s="221"/>
      <c r="W70" s="221"/>
      <c r="X70" s="221"/>
      <c r="Y70" s="221"/>
    </row>
    <row r="71" spans="1:25" x14ac:dyDescent="0.2">
      <c r="A71" s="210">
        <v>214</v>
      </c>
      <c r="B71" s="211" t="s">
        <v>208</v>
      </c>
      <c r="C71" s="209">
        <v>4</v>
      </c>
      <c r="D71" s="222">
        <v>34114.652679999999</v>
      </c>
      <c r="E71" s="222">
        <v>35393.051435302965</v>
      </c>
      <c r="F71" s="222">
        <v>36274.404488816421</v>
      </c>
      <c r="G71" s="222">
        <v>19461.493478131299</v>
      </c>
      <c r="H71" s="222">
        <v>19179.637895731474</v>
      </c>
      <c r="I71" s="222">
        <v>2752.29963</v>
      </c>
      <c r="J71" s="222">
        <v>2613.6785409999998</v>
      </c>
      <c r="K71" s="222">
        <v>2830.3203140000001</v>
      </c>
      <c r="L71" s="222">
        <v>2184.5676210000001</v>
      </c>
      <c r="M71" s="222">
        <v>2212.0464590000001</v>
      </c>
      <c r="N71" s="222">
        <v>3001.1581099999999</v>
      </c>
      <c r="O71" s="222">
        <v>3460.8937420080001</v>
      </c>
      <c r="P71" s="222">
        <v>3460.8937420080001</v>
      </c>
      <c r="Q71" s="222">
        <v>3460.8937420080001</v>
      </c>
      <c r="R71" s="248">
        <v>3460.8937420080001</v>
      </c>
      <c r="S71" s="222"/>
      <c r="T71" s="222"/>
      <c r="U71" s="222"/>
      <c r="V71" s="221"/>
      <c r="W71" s="221"/>
      <c r="X71" s="221"/>
      <c r="Y71" s="221"/>
    </row>
    <row r="72" spans="1:25" x14ac:dyDescent="0.2">
      <c r="A72" s="210">
        <v>216</v>
      </c>
      <c r="B72" s="211" t="s">
        <v>209</v>
      </c>
      <c r="C72" s="209">
        <v>13</v>
      </c>
      <c r="D72" s="222">
        <v>3215.8396600000001</v>
      </c>
      <c r="E72" s="222">
        <v>3250.8388662940188</v>
      </c>
      <c r="F72" s="222">
        <v>3334.5440215924145</v>
      </c>
      <c r="G72" s="222">
        <v>1779.9140943259167</v>
      </c>
      <c r="H72" s="222">
        <v>1755.7038372732482</v>
      </c>
      <c r="I72" s="222">
        <v>570.26115000000004</v>
      </c>
      <c r="J72" s="222">
        <v>594.46465899999987</v>
      </c>
      <c r="K72" s="222">
        <v>644.15396599999997</v>
      </c>
      <c r="L72" s="222">
        <v>497.18679900000001</v>
      </c>
      <c r="M72" s="222">
        <v>503.44072099999994</v>
      </c>
      <c r="N72" s="222">
        <v>443.11426</v>
      </c>
      <c r="O72" s="222">
        <v>443.00989704</v>
      </c>
      <c r="P72" s="222">
        <v>443.00989704</v>
      </c>
      <c r="Q72" s="222">
        <v>443.00989704</v>
      </c>
      <c r="R72" s="222">
        <v>443.00989704</v>
      </c>
      <c r="S72" s="222"/>
      <c r="T72" s="222"/>
      <c r="U72" s="222"/>
      <c r="V72" s="221"/>
      <c r="W72" s="221"/>
      <c r="X72" s="221"/>
      <c r="Y72" s="221"/>
    </row>
    <row r="73" spans="1:25" x14ac:dyDescent="0.2">
      <c r="A73" s="210">
        <v>217</v>
      </c>
      <c r="B73" s="211" t="s">
        <v>210</v>
      </c>
      <c r="C73" s="209">
        <v>16</v>
      </c>
      <c r="D73" s="222">
        <v>15137.42655</v>
      </c>
      <c r="E73" s="222">
        <v>15992.865958309207</v>
      </c>
      <c r="F73" s="222">
        <v>16852.819478107776</v>
      </c>
      <c r="G73" s="222">
        <v>9044.9453576600954</v>
      </c>
      <c r="H73" s="222">
        <v>8896.4362275275362</v>
      </c>
      <c r="I73" s="222">
        <v>1209.61175</v>
      </c>
      <c r="J73" s="222">
        <v>972.40127500000006</v>
      </c>
      <c r="K73" s="222">
        <v>1051.2451920000001</v>
      </c>
      <c r="L73" s="222">
        <v>811.39798799999994</v>
      </c>
      <c r="M73" s="222">
        <v>821.60425200000009</v>
      </c>
      <c r="N73" s="222">
        <v>1276.0842299999999</v>
      </c>
      <c r="O73" s="222">
        <v>1265.8570018199998</v>
      </c>
      <c r="P73" s="222">
        <v>1265.8570018199998</v>
      </c>
      <c r="Q73" s="222">
        <v>1265.8570018199998</v>
      </c>
      <c r="R73" s="222">
        <v>1265.8570018199998</v>
      </c>
      <c r="S73" s="222"/>
      <c r="T73" s="222"/>
      <c r="U73" s="222"/>
      <c r="V73" s="221"/>
      <c r="W73" s="221"/>
      <c r="X73" s="221"/>
      <c r="Y73" s="221"/>
    </row>
    <row r="74" spans="1:25" x14ac:dyDescent="0.2">
      <c r="A74" s="210">
        <v>218</v>
      </c>
      <c r="B74" s="211" t="s">
        <v>211</v>
      </c>
      <c r="C74" s="209">
        <v>14</v>
      </c>
      <c r="D74" s="222">
        <v>3706.7920299999996</v>
      </c>
      <c r="E74" s="222">
        <v>3656.2980367337523</v>
      </c>
      <c r="F74" s="222">
        <v>3824.7045291788386</v>
      </c>
      <c r="G74" s="222">
        <v>2147.2214447785686</v>
      </c>
      <c r="H74" s="222">
        <v>2109.256676601598</v>
      </c>
      <c r="I74" s="222">
        <v>308.42905999999999</v>
      </c>
      <c r="J74" s="222">
        <v>281.59066100000001</v>
      </c>
      <c r="K74" s="222">
        <v>304.43380400000001</v>
      </c>
      <c r="L74" s="222">
        <v>234.975606</v>
      </c>
      <c r="M74" s="222">
        <v>237.931274</v>
      </c>
      <c r="N74" s="222">
        <v>227.15729000000002</v>
      </c>
      <c r="O74" s="222">
        <v>252.72530789999999</v>
      </c>
      <c r="P74" s="222">
        <v>252.72530789999999</v>
      </c>
      <c r="Q74" s="222">
        <v>252.72530789999999</v>
      </c>
      <c r="R74" s="222">
        <v>252.72530789999999</v>
      </c>
      <c r="S74" s="222"/>
      <c r="T74" s="222"/>
      <c r="U74" s="222"/>
      <c r="V74" s="221"/>
      <c r="W74" s="221"/>
      <c r="X74" s="221"/>
      <c r="Y74" s="221"/>
    </row>
    <row r="75" spans="1:25" x14ac:dyDescent="0.2">
      <c r="A75" s="210">
        <v>224</v>
      </c>
      <c r="B75" s="211" t="s">
        <v>212</v>
      </c>
      <c r="C75" s="209">
        <v>1</v>
      </c>
      <c r="D75" s="222">
        <v>27957.939039999997</v>
      </c>
      <c r="E75" s="222">
        <v>28186.912810350743</v>
      </c>
      <c r="F75" s="222">
        <v>29433.326092207124</v>
      </c>
      <c r="G75" s="222">
        <v>15285.727014500088</v>
      </c>
      <c r="H75" s="222">
        <v>14903.414256725981</v>
      </c>
      <c r="I75" s="222">
        <v>1346.5859499999999</v>
      </c>
      <c r="J75" s="222">
        <v>1256.6533010000001</v>
      </c>
      <c r="K75" s="222">
        <v>1357.8996759999998</v>
      </c>
      <c r="L75" s="222">
        <v>1048.087614</v>
      </c>
      <c r="M75" s="222">
        <v>1061.2711059999999</v>
      </c>
      <c r="N75" s="222">
        <v>2251.4720400000001</v>
      </c>
      <c r="O75" s="222">
        <v>2224.936269972</v>
      </c>
      <c r="P75" s="222">
        <v>2224.936269972</v>
      </c>
      <c r="Q75" s="222">
        <v>2224.936269972</v>
      </c>
      <c r="R75" s="222">
        <v>2224.936269972</v>
      </c>
      <c r="S75" s="222"/>
      <c r="T75" s="222"/>
      <c r="U75" s="222"/>
      <c r="V75" s="221"/>
      <c r="W75" s="221"/>
      <c r="X75" s="221"/>
      <c r="Y75" s="221"/>
    </row>
    <row r="76" spans="1:25" x14ac:dyDescent="0.2">
      <c r="A76" s="210">
        <v>226</v>
      </c>
      <c r="B76" s="211" t="s">
        <v>213</v>
      </c>
      <c r="C76" s="209">
        <v>13</v>
      </c>
      <c r="D76" s="222">
        <v>9803.4263599999995</v>
      </c>
      <c r="E76" s="222">
        <v>10156.292323064232</v>
      </c>
      <c r="F76" s="222">
        <v>10690.06309884626</v>
      </c>
      <c r="G76" s="222">
        <v>5630.2541351999116</v>
      </c>
      <c r="H76" s="222">
        <v>5541.7977147808988</v>
      </c>
      <c r="I76" s="222">
        <v>1364.96047</v>
      </c>
      <c r="J76" s="222">
        <v>1346.0118430000002</v>
      </c>
      <c r="K76" s="222">
        <v>1458.22559</v>
      </c>
      <c r="L76" s="222">
        <v>1125.523635</v>
      </c>
      <c r="M76" s="222">
        <v>1139.6811650000002</v>
      </c>
      <c r="N76" s="222">
        <v>961.83352000000002</v>
      </c>
      <c r="O76" s="222">
        <v>1089.0956936328</v>
      </c>
      <c r="P76" s="222">
        <v>1089.0956936328</v>
      </c>
      <c r="Q76" s="222">
        <v>1089.0956936328</v>
      </c>
      <c r="R76" s="222">
        <v>1089.0956936328</v>
      </c>
      <c r="S76" s="222"/>
      <c r="T76" s="222"/>
      <c r="U76" s="222"/>
      <c r="V76" s="221"/>
      <c r="W76" s="221"/>
      <c r="X76" s="221"/>
      <c r="Y76" s="221"/>
    </row>
    <row r="77" spans="1:25" x14ac:dyDescent="0.2">
      <c r="A77" s="210">
        <v>230</v>
      </c>
      <c r="B77" s="211" t="s">
        <v>214</v>
      </c>
      <c r="C77" s="209">
        <v>4</v>
      </c>
      <c r="D77" s="222">
        <v>5487.2057300000006</v>
      </c>
      <c r="E77" s="222">
        <v>5534.7199478931698</v>
      </c>
      <c r="F77" s="222">
        <v>5831.686033301381</v>
      </c>
      <c r="G77" s="222">
        <v>3044.8695249205616</v>
      </c>
      <c r="H77" s="222">
        <v>2977.6739458537604</v>
      </c>
      <c r="I77" s="222">
        <v>703.55146999999999</v>
      </c>
      <c r="J77" s="222">
        <v>620.70587100000012</v>
      </c>
      <c r="K77" s="222">
        <v>672.12464600000021</v>
      </c>
      <c r="L77" s="222">
        <v>518.77581900000007</v>
      </c>
      <c r="M77" s="222">
        <v>525.30130100000008</v>
      </c>
      <c r="N77" s="222">
        <v>536.05779000000007</v>
      </c>
      <c r="O77" s="222">
        <v>690.07806751440012</v>
      </c>
      <c r="P77" s="222">
        <v>690.07806751440012</v>
      </c>
      <c r="Q77" s="222">
        <v>690.07806751440012</v>
      </c>
      <c r="R77" s="222">
        <v>690.07806751440012</v>
      </c>
      <c r="S77" s="222"/>
      <c r="T77" s="222"/>
      <c r="U77" s="222"/>
      <c r="V77" s="221"/>
      <c r="W77" s="221"/>
      <c r="X77" s="221"/>
      <c r="Y77" s="221"/>
    </row>
    <row r="78" spans="1:25" x14ac:dyDescent="0.2">
      <c r="A78" s="210">
        <v>231</v>
      </c>
      <c r="B78" s="211" t="s">
        <v>215</v>
      </c>
      <c r="C78" s="209">
        <v>15</v>
      </c>
      <c r="D78" s="222">
        <v>4837.2482800000007</v>
      </c>
      <c r="E78" s="222">
        <v>5013.285538354442</v>
      </c>
      <c r="F78" s="222">
        <v>5084.6197702463032</v>
      </c>
      <c r="G78" s="222">
        <v>2795.9556992251105</v>
      </c>
      <c r="H78" s="222">
        <v>2742.9951181266588</v>
      </c>
      <c r="I78" s="222">
        <v>1204.7591399999999</v>
      </c>
      <c r="J78" s="222">
        <v>1083.1325299999999</v>
      </c>
      <c r="K78" s="222">
        <v>1176.5512839999999</v>
      </c>
      <c r="L78" s="222">
        <v>908.11482599999999</v>
      </c>
      <c r="M78" s="222">
        <v>919.53765399999997</v>
      </c>
      <c r="N78" s="222">
        <v>595.95262000000002</v>
      </c>
      <c r="O78" s="222">
        <v>602.79293092799992</v>
      </c>
      <c r="P78" s="222">
        <v>602.79293092799992</v>
      </c>
      <c r="Q78" s="222">
        <v>602.79293092799992</v>
      </c>
      <c r="R78" s="222">
        <v>602.79293092799992</v>
      </c>
      <c r="S78" s="222"/>
      <c r="T78" s="222"/>
      <c r="U78" s="222"/>
      <c r="V78" s="221"/>
      <c r="W78" s="221"/>
      <c r="X78" s="221"/>
      <c r="Y78" s="221"/>
    </row>
    <row r="79" spans="1:25" x14ac:dyDescent="0.2">
      <c r="A79" s="210">
        <v>232</v>
      </c>
      <c r="B79" s="211" t="s">
        <v>216</v>
      </c>
      <c r="C79" s="209">
        <v>14</v>
      </c>
      <c r="D79" s="222">
        <v>38423.13594</v>
      </c>
      <c r="E79" s="222">
        <v>38534.522187066163</v>
      </c>
      <c r="F79" s="222">
        <v>40211.884547153488</v>
      </c>
      <c r="G79" s="222">
        <v>22341.240764347258</v>
      </c>
      <c r="H79" s="222">
        <v>22039.254500815903</v>
      </c>
      <c r="I79" s="222">
        <v>4023.24863</v>
      </c>
      <c r="J79" s="222">
        <v>3978.1791320000002</v>
      </c>
      <c r="K79" s="222">
        <v>4307.7448979999999</v>
      </c>
      <c r="L79" s="222">
        <v>3324.9098969999995</v>
      </c>
      <c r="M79" s="222">
        <v>3366.7326629999998</v>
      </c>
      <c r="N79" s="222">
        <v>3421.0198100000002</v>
      </c>
      <c r="O79" s="222">
        <v>3496.5962852496004</v>
      </c>
      <c r="P79" s="222">
        <v>3496.5962852496004</v>
      </c>
      <c r="Q79" s="222">
        <v>3496.5962852496004</v>
      </c>
      <c r="R79" s="222">
        <v>3496.5962852496004</v>
      </c>
      <c r="S79" s="222"/>
      <c r="T79" s="222"/>
      <c r="U79" s="222"/>
      <c r="V79" s="221"/>
      <c r="W79" s="221"/>
      <c r="X79" s="221"/>
      <c r="Y79" s="221"/>
    </row>
    <row r="80" spans="1:25" x14ac:dyDescent="0.2">
      <c r="A80" s="210">
        <v>233</v>
      </c>
      <c r="B80" s="211" t="s">
        <v>217</v>
      </c>
      <c r="C80" s="209">
        <v>14</v>
      </c>
      <c r="D80" s="222">
        <v>47134.394489999999</v>
      </c>
      <c r="E80" s="222">
        <v>47085.132153375875</v>
      </c>
      <c r="F80" s="222">
        <v>49414.956815587975</v>
      </c>
      <c r="G80" s="222">
        <v>26964.749965057814</v>
      </c>
      <c r="H80" s="222">
        <v>26469.082577536839</v>
      </c>
      <c r="I80" s="222">
        <v>3913.0127200000002</v>
      </c>
      <c r="J80" s="222">
        <v>3364.4458610000001</v>
      </c>
      <c r="K80" s="222">
        <v>3643.8229659999997</v>
      </c>
      <c r="L80" s="222">
        <v>2812.4652989999995</v>
      </c>
      <c r="M80" s="222">
        <v>2847.8422210000003</v>
      </c>
      <c r="N80" s="222">
        <v>4063.9492599999999</v>
      </c>
      <c r="O80" s="222">
        <v>4079.3445084840009</v>
      </c>
      <c r="P80" s="222">
        <v>4079.3445084840009</v>
      </c>
      <c r="Q80" s="222">
        <v>4079.3445084840009</v>
      </c>
      <c r="R80" s="222">
        <v>4079.3445084840009</v>
      </c>
      <c r="S80" s="222"/>
      <c r="T80" s="222"/>
      <c r="U80" s="222"/>
      <c r="V80" s="221"/>
      <c r="W80" s="221"/>
      <c r="X80" s="221"/>
      <c r="Y80" s="221"/>
    </row>
    <row r="81" spans="1:25" x14ac:dyDescent="0.2">
      <c r="A81" s="210">
        <v>235</v>
      </c>
      <c r="B81" s="211" t="s">
        <v>218</v>
      </c>
      <c r="C81" s="209">
        <v>1</v>
      </c>
      <c r="D81" s="222">
        <v>62527.913070000002</v>
      </c>
      <c r="E81" s="222">
        <v>65870.543181868139</v>
      </c>
      <c r="F81" s="222">
        <v>67864.25062401827</v>
      </c>
      <c r="G81" s="222">
        <v>26417.844412006241</v>
      </c>
      <c r="H81" s="222">
        <v>24278.073042194734</v>
      </c>
      <c r="I81" s="222">
        <v>2080.62907</v>
      </c>
      <c r="J81" s="222">
        <v>1900.5765049999998</v>
      </c>
      <c r="K81" s="222">
        <v>2063.0294359999998</v>
      </c>
      <c r="L81" s="222">
        <v>1592.3382539999998</v>
      </c>
      <c r="M81" s="222">
        <v>1612.3676659999999</v>
      </c>
      <c r="N81" s="222">
        <v>4659.3122300000005</v>
      </c>
      <c r="O81" s="222">
        <v>4783.0257667056012</v>
      </c>
      <c r="P81" s="222">
        <v>4783.0257667056012</v>
      </c>
      <c r="Q81" s="222">
        <v>4783.0257667056012</v>
      </c>
      <c r="R81" s="222">
        <v>4783.0257667056012</v>
      </c>
      <c r="S81" s="222"/>
      <c r="T81" s="222"/>
      <c r="U81" s="222"/>
      <c r="V81" s="221"/>
      <c r="W81" s="221"/>
      <c r="X81" s="221"/>
      <c r="Y81" s="221"/>
    </row>
    <row r="82" spans="1:25" x14ac:dyDescent="0.2">
      <c r="A82" s="210">
        <v>236</v>
      </c>
      <c r="B82" s="211" t="s">
        <v>219</v>
      </c>
      <c r="C82" s="209">
        <v>16</v>
      </c>
      <c r="D82" s="222">
        <v>11738.22034</v>
      </c>
      <c r="E82" s="222">
        <v>12422.863794559093</v>
      </c>
      <c r="F82" s="222">
        <v>12852.908149883026</v>
      </c>
      <c r="G82" s="222">
        <v>7011.4134531527816</v>
      </c>
      <c r="H82" s="222">
        <v>6911.7503575302781</v>
      </c>
      <c r="I82" s="222">
        <v>1456.7468000000001</v>
      </c>
      <c r="J82" s="222">
        <v>1001.3152829999999</v>
      </c>
      <c r="K82" s="222">
        <v>1086.911826</v>
      </c>
      <c r="L82" s="222">
        <v>838.92708899999991</v>
      </c>
      <c r="M82" s="222">
        <v>849.47963099999981</v>
      </c>
      <c r="N82" s="222">
        <v>893.5574499999999</v>
      </c>
      <c r="O82" s="222">
        <v>937.41006088560016</v>
      </c>
      <c r="P82" s="222">
        <v>937.41006088560016</v>
      </c>
      <c r="Q82" s="222">
        <v>937.41006088560016</v>
      </c>
      <c r="R82" s="222">
        <v>937.41006088560016</v>
      </c>
      <c r="S82" s="222"/>
      <c r="T82" s="222"/>
      <c r="U82" s="222"/>
      <c r="V82" s="221"/>
      <c r="W82" s="221"/>
      <c r="X82" s="221"/>
      <c r="Y82" s="221"/>
    </row>
    <row r="83" spans="1:25" x14ac:dyDescent="0.2">
      <c r="A83" s="210">
        <v>239</v>
      </c>
      <c r="B83" s="211" t="s">
        <v>220</v>
      </c>
      <c r="C83" s="209">
        <v>11</v>
      </c>
      <c r="D83" s="222">
        <v>5995.02405</v>
      </c>
      <c r="E83" s="222">
        <v>5928.3826646927355</v>
      </c>
      <c r="F83" s="222">
        <v>6109.6096035065157</v>
      </c>
      <c r="G83" s="222">
        <v>3139.0698689419964</v>
      </c>
      <c r="H83" s="222">
        <v>3077.292630124598</v>
      </c>
      <c r="I83" s="222">
        <v>758.73169999999993</v>
      </c>
      <c r="J83" s="222">
        <v>634.65123900000003</v>
      </c>
      <c r="K83" s="222">
        <v>686.88804799999991</v>
      </c>
      <c r="L83" s="222">
        <v>530.17087200000003</v>
      </c>
      <c r="M83" s="222">
        <v>536.83968800000002</v>
      </c>
      <c r="N83" s="222">
        <v>561.08577000000002</v>
      </c>
      <c r="O83" s="222">
        <v>538.52881342800003</v>
      </c>
      <c r="P83" s="222">
        <v>538.52881342800003</v>
      </c>
      <c r="Q83" s="222">
        <v>538.52881342800003</v>
      </c>
      <c r="R83" s="222">
        <v>538.52881342800003</v>
      </c>
      <c r="S83" s="222"/>
      <c r="T83" s="222"/>
      <c r="U83" s="222"/>
      <c r="V83" s="221"/>
      <c r="W83" s="221"/>
      <c r="X83" s="221"/>
      <c r="Y83" s="221"/>
    </row>
    <row r="84" spans="1:25" x14ac:dyDescent="0.2">
      <c r="A84" s="210">
        <v>240</v>
      </c>
      <c r="B84" s="211" t="s">
        <v>221</v>
      </c>
      <c r="C84" s="209">
        <v>19</v>
      </c>
      <c r="D84" s="222">
        <v>73194.838279999996</v>
      </c>
      <c r="E84" s="222">
        <v>75053.441147819351</v>
      </c>
      <c r="F84" s="222">
        <v>77903.076661967949</v>
      </c>
      <c r="G84" s="222">
        <v>41346.300683427769</v>
      </c>
      <c r="H84" s="222">
        <v>40802.669665490284</v>
      </c>
      <c r="I84" s="222">
        <v>8112.11672</v>
      </c>
      <c r="J84" s="222">
        <v>7284.9026439999998</v>
      </c>
      <c r="K84" s="222">
        <v>7918.8979119999995</v>
      </c>
      <c r="L84" s="222">
        <v>6112.1590679999999</v>
      </c>
      <c r="M84" s="222">
        <v>6189.0415719999992</v>
      </c>
      <c r="N84" s="222">
        <v>6624.0687199999993</v>
      </c>
      <c r="O84" s="222">
        <v>6656.9472329616001</v>
      </c>
      <c r="P84" s="222">
        <v>6656.9472329616001</v>
      </c>
      <c r="Q84" s="222">
        <v>6656.9472329616001</v>
      </c>
      <c r="R84" s="222">
        <v>6656.9472329616001</v>
      </c>
      <c r="S84" s="222"/>
      <c r="T84" s="222"/>
      <c r="U84" s="222"/>
      <c r="V84" s="221"/>
      <c r="W84" s="221"/>
      <c r="X84" s="221"/>
      <c r="Y84" s="221"/>
    </row>
    <row r="85" spans="1:25" x14ac:dyDescent="0.2">
      <c r="A85" s="210">
        <v>320</v>
      </c>
      <c r="B85" s="211" t="s">
        <v>222</v>
      </c>
      <c r="C85" s="209">
        <v>19</v>
      </c>
      <c r="D85" s="222">
        <v>23513.797420000003</v>
      </c>
      <c r="E85" s="222">
        <v>24603.027010513382</v>
      </c>
      <c r="F85" s="222">
        <v>24921.344119049161</v>
      </c>
      <c r="G85" s="222">
        <v>13213.058277938173</v>
      </c>
      <c r="H85" s="222">
        <v>13055.825709888062</v>
      </c>
      <c r="I85" s="222">
        <v>1292.3490200000001</v>
      </c>
      <c r="J85" s="222">
        <v>1273.7598609999998</v>
      </c>
      <c r="K85" s="222">
        <v>1379.1405420000001</v>
      </c>
      <c r="L85" s="222">
        <v>1064.4822629999999</v>
      </c>
      <c r="M85" s="222">
        <v>1077.8719769999998</v>
      </c>
      <c r="N85" s="222">
        <v>4347.2221500000005</v>
      </c>
      <c r="O85" s="222">
        <v>4429.958684964</v>
      </c>
      <c r="P85" s="222">
        <v>4429.958684964</v>
      </c>
      <c r="Q85" s="222">
        <v>4429.958684964</v>
      </c>
      <c r="R85" s="222">
        <v>4429.958684964</v>
      </c>
      <c r="S85" s="222"/>
      <c r="T85" s="222"/>
      <c r="U85" s="222"/>
      <c r="V85" s="221"/>
      <c r="W85" s="221"/>
      <c r="X85" s="221"/>
      <c r="Y85" s="221"/>
    </row>
    <row r="86" spans="1:25" x14ac:dyDescent="0.2">
      <c r="A86" s="210">
        <v>241</v>
      </c>
      <c r="B86" s="211" t="s">
        <v>223</v>
      </c>
      <c r="C86" s="209">
        <v>19</v>
      </c>
      <c r="D86" s="222">
        <v>30084.341069999999</v>
      </c>
      <c r="E86" s="222">
        <v>31158.19788730704</v>
      </c>
      <c r="F86" s="222">
        <v>32333.947282537029</v>
      </c>
      <c r="G86" s="222">
        <v>16953.766152559667</v>
      </c>
      <c r="H86" s="222">
        <v>16578.424310307029</v>
      </c>
      <c r="I86" s="222">
        <v>924.78026</v>
      </c>
      <c r="J86" s="222">
        <v>1090.483279</v>
      </c>
      <c r="K86" s="222">
        <v>1180.7316420000002</v>
      </c>
      <c r="L86" s="222">
        <v>911.3414130000001</v>
      </c>
      <c r="M86" s="222">
        <v>922.80482700000016</v>
      </c>
      <c r="N86" s="222">
        <v>3811.89896</v>
      </c>
      <c r="O86" s="222">
        <v>3740.1933731904001</v>
      </c>
      <c r="P86" s="222">
        <v>3740.1933731904001</v>
      </c>
      <c r="Q86" s="222">
        <v>3740.1933731904001</v>
      </c>
      <c r="R86" s="222">
        <v>3740.1933731904001</v>
      </c>
      <c r="S86" s="222"/>
      <c r="T86" s="222"/>
      <c r="U86" s="222"/>
      <c r="V86" s="221"/>
      <c r="W86" s="221"/>
      <c r="X86" s="221"/>
      <c r="Y86" s="221"/>
    </row>
    <row r="87" spans="1:25" x14ac:dyDescent="0.2">
      <c r="A87" s="210">
        <v>322</v>
      </c>
      <c r="B87" s="249" t="s">
        <v>128</v>
      </c>
      <c r="C87" s="209">
        <v>2</v>
      </c>
      <c r="D87" s="222">
        <v>19154.459449999998</v>
      </c>
      <c r="E87" s="222">
        <v>18784.685547898607</v>
      </c>
      <c r="F87" s="222">
        <v>19661.144214335076</v>
      </c>
      <c r="G87" s="222">
        <v>9734.7264226548014</v>
      </c>
      <c r="H87" s="222">
        <v>9454.4913373817799</v>
      </c>
      <c r="I87" s="222">
        <v>1006.4892600000001</v>
      </c>
      <c r="J87" s="222">
        <v>1118.264367</v>
      </c>
      <c r="K87" s="222">
        <v>1211.0276499999998</v>
      </c>
      <c r="L87" s="222">
        <v>934.72522499999991</v>
      </c>
      <c r="M87" s="222">
        <v>946.48277499999995</v>
      </c>
      <c r="N87" s="222">
        <v>3220.8781899999999</v>
      </c>
      <c r="O87" s="222">
        <v>3247.5077660735997</v>
      </c>
      <c r="P87" s="222">
        <v>3247.5077660735997</v>
      </c>
      <c r="Q87" s="222">
        <v>3247.5077660735997</v>
      </c>
      <c r="R87" s="222">
        <v>3247.5077660735997</v>
      </c>
      <c r="S87" s="222"/>
      <c r="T87" s="222"/>
      <c r="U87" s="222"/>
      <c r="V87" s="221"/>
      <c r="W87" s="221"/>
      <c r="X87" s="221"/>
      <c r="Y87" s="221"/>
    </row>
    <row r="88" spans="1:25" x14ac:dyDescent="0.2">
      <c r="A88" s="210">
        <v>244</v>
      </c>
      <c r="B88" s="211" t="s">
        <v>224</v>
      </c>
      <c r="C88" s="209">
        <v>17</v>
      </c>
      <c r="D88" s="222">
        <v>60191.766189999995</v>
      </c>
      <c r="E88" s="222">
        <v>62284.474028800527</v>
      </c>
      <c r="F88" s="222">
        <v>65211.965620054398</v>
      </c>
      <c r="G88" s="222">
        <v>33737.981545815797</v>
      </c>
      <c r="H88" s="222">
        <v>32491.108898302726</v>
      </c>
      <c r="I88" s="222">
        <v>3445.0482400000001</v>
      </c>
      <c r="J88" s="222">
        <v>3758.7975499999993</v>
      </c>
      <c r="K88" s="222">
        <v>4083.4523039999995</v>
      </c>
      <c r="L88" s="222">
        <v>3151.7908560000001</v>
      </c>
      <c r="M88" s="222">
        <v>3191.4360239999996</v>
      </c>
      <c r="N88" s="222">
        <v>3609.4839400000001</v>
      </c>
      <c r="O88" s="222">
        <v>3617.5869438672003</v>
      </c>
      <c r="P88" s="222">
        <v>3617.5869438672003</v>
      </c>
      <c r="Q88" s="222">
        <v>3617.5869438672003</v>
      </c>
      <c r="R88" s="222">
        <v>3617.5869438672003</v>
      </c>
      <c r="S88" s="222"/>
      <c r="T88" s="222"/>
      <c r="U88" s="222"/>
      <c r="V88" s="221"/>
      <c r="W88" s="221"/>
      <c r="X88" s="221"/>
      <c r="Y88" s="221"/>
    </row>
    <row r="89" spans="1:25" x14ac:dyDescent="0.2">
      <c r="A89" s="210">
        <v>245</v>
      </c>
      <c r="B89" s="211" t="s">
        <v>225</v>
      </c>
      <c r="C89" s="209">
        <v>1</v>
      </c>
      <c r="D89" s="222">
        <v>135456.88462999999</v>
      </c>
      <c r="E89" s="222">
        <v>135193.41219891625</v>
      </c>
      <c r="F89" s="222">
        <v>142975.80524508358</v>
      </c>
      <c r="G89" s="222">
        <v>67979.523128436951</v>
      </c>
      <c r="H89" s="222">
        <v>64935.878260644633</v>
      </c>
      <c r="I89" s="222">
        <v>11635.172859999999</v>
      </c>
      <c r="J89" s="222">
        <v>9400.7467209999995</v>
      </c>
      <c r="K89" s="222">
        <v>10176.895842</v>
      </c>
      <c r="L89" s="222">
        <v>7854.9827130000003</v>
      </c>
      <c r="M89" s="222">
        <v>7953.7875270000004</v>
      </c>
      <c r="N89" s="222">
        <v>9733.9002400000008</v>
      </c>
      <c r="O89" s="222">
        <v>10166.689542715196</v>
      </c>
      <c r="P89" s="222">
        <v>10166.689542715196</v>
      </c>
      <c r="Q89" s="222">
        <v>10166.689542715196</v>
      </c>
      <c r="R89" s="222">
        <v>10166.689542715196</v>
      </c>
      <c r="S89" s="222"/>
      <c r="T89" s="222"/>
      <c r="U89" s="222"/>
      <c r="V89" s="221"/>
      <c r="W89" s="221"/>
      <c r="X89" s="221"/>
      <c r="Y89" s="221"/>
    </row>
    <row r="90" spans="1:25" x14ac:dyDescent="0.2">
      <c r="A90" s="210">
        <v>249</v>
      </c>
      <c r="B90" s="211" t="s">
        <v>226</v>
      </c>
      <c r="C90" s="209">
        <v>13</v>
      </c>
      <c r="D90" s="222">
        <v>28769.701379999999</v>
      </c>
      <c r="E90" s="222">
        <v>30578.834220350705</v>
      </c>
      <c r="F90" s="222">
        <v>31602.230460862069</v>
      </c>
      <c r="G90" s="222">
        <v>16777.766984896934</v>
      </c>
      <c r="H90" s="222">
        <v>16550.695966151463</v>
      </c>
      <c r="I90" s="222">
        <v>2595.19877</v>
      </c>
      <c r="J90" s="222">
        <v>2521.808665</v>
      </c>
      <c r="K90" s="222">
        <v>2730.3137000000002</v>
      </c>
      <c r="L90" s="222">
        <v>2107.3780499999998</v>
      </c>
      <c r="M90" s="222">
        <v>2133.8859499999999</v>
      </c>
      <c r="N90" s="222">
        <v>2449.2297200000003</v>
      </c>
      <c r="O90" s="222">
        <v>2459.1118476024003</v>
      </c>
      <c r="P90" s="222">
        <v>2459.1118476024003</v>
      </c>
      <c r="Q90" s="222">
        <v>2459.1118476024003</v>
      </c>
      <c r="R90" s="222">
        <v>2459.1118476024003</v>
      </c>
      <c r="S90" s="222"/>
      <c r="T90" s="222"/>
      <c r="U90" s="222"/>
      <c r="V90" s="221"/>
      <c r="W90" s="221"/>
      <c r="X90" s="221"/>
      <c r="Y90" s="221"/>
    </row>
    <row r="91" spans="1:25" x14ac:dyDescent="0.2">
      <c r="A91" s="210">
        <v>250</v>
      </c>
      <c r="B91" s="211" t="s">
        <v>227</v>
      </c>
      <c r="C91" s="209">
        <v>6</v>
      </c>
      <c r="D91" s="222">
        <v>4684.94175</v>
      </c>
      <c r="E91" s="222">
        <v>4809.8195537789634</v>
      </c>
      <c r="F91" s="222">
        <v>4880.5824887446079</v>
      </c>
      <c r="G91" s="222">
        <v>2662.2143061659308</v>
      </c>
      <c r="H91" s="222">
        <v>2636.7548277201454</v>
      </c>
      <c r="I91" s="222">
        <v>705.93521999999996</v>
      </c>
      <c r="J91" s="222">
        <v>669.60986300000002</v>
      </c>
      <c r="K91" s="222">
        <v>725.55053999999996</v>
      </c>
      <c r="L91" s="222">
        <v>560.01230999999996</v>
      </c>
      <c r="M91" s="222">
        <v>567.05649000000005</v>
      </c>
      <c r="N91" s="222">
        <v>492.25167999999996</v>
      </c>
      <c r="O91" s="222">
        <v>556.03898203920005</v>
      </c>
      <c r="P91" s="222">
        <v>556.03898203920005</v>
      </c>
      <c r="Q91" s="222">
        <v>556.03898203920005</v>
      </c>
      <c r="R91" s="222">
        <v>556.03898203920005</v>
      </c>
      <c r="S91" s="222"/>
      <c r="T91" s="222"/>
      <c r="U91" s="222"/>
      <c r="V91" s="221"/>
      <c r="W91" s="221"/>
      <c r="X91" s="221"/>
      <c r="Y91" s="221"/>
    </row>
    <row r="92" spans="1:25" x14ac:dyDescent="0.2">
      <c r="A92" s="210">
        <v>256</v>
      </c>
      <c r="B92" s="211" t="s">
        <v>228</v>
      </c>
      <c r="C92" s="209">
        <v>13</v>
      </c>
      <c r="D92" s="222">
        <v>3838.3721</v>
      </c>
      <c r="E92" s="222">
        <v>3781.3962595703274</v>
      </c>
      <c r="F92" s="222">
        <v>4034.1551873270223</v>
      </c>
      <c r="G92" s="222">
        <v>2057.217359892637</v>
      </c>
      <c r="H92" s="222">
        <v>2012.5473521436063</v>
      </c>
      <c r="I92" s="222">
        <v>578.43058999999994</v>
      </c>
      <c r="J92" s="222">
        <v>584.69041700000002</v>
      </c>
      <c r="K92" s="222">
        <v>633.91761999999994</v>
      </c>
      <c r="L92" s="222">
        <v>489.28593000000001</v>
      </c>
      <c r="M92" s="222">
        <v>495.44047</v>
      </c>
      <c r="N92" s="222">
        <v>364.85187000000002</v>
      </c>
      <c r="O92" s="222">
        <v>365.32765837200003</v>
      </c>
      <c r="P92" s="222">
        <v>365.32765837200003</v>
      </c>
      <c r="Q92" s="222">
        <v>365.32765837200003</v>
      </c>
      <c r="R92" s="222">
        <v>365.32765837200003</v>
      </c>
      <c r="S92" s="222"/>
      <c r="T92" s="222"/>
      <c r="U92" s="222"/>
      <c r="V92" s="221"/>
      <c r="W92" s="221"/>
      <c r="X92" s="221"/>
      <c r="Y92" s="221"/>
    </row>
    <row r="93" spans="1:25" x14ac:dyDescent="0.2">
      <c r="A93" s="210">
        <v>257</v>
      </c>
      <c r="B93" s="249" t="s">
        <v>229</v>
      </c>
      <c r="C93" s="209">
        <v>1</v>
      </c>
      <c r="D93" s="222">
        <v>171018.45166999998</v>
      </c>
      <c r="E93" s="222">
        <v>172991.07177944321</v>
      </c>
      <c r="F93" s="222">
        <v>182908.12815760451</v>
      </c>
      <c r="G93" s="222">
        <v>87567.642234879444</v>
      </c>
      <c r="H93" s="222">
        <v>83451.830058741543</v>
      </c>
      <c r="I93" s="222">
        <v>7264.7936200000004</v>
      </c>
      <c r="J93" s="222">
        <v>6743.5020770000001</v>
      </c>
      <c r="K93" s="222">
        <v>7282.2771600000005</v>
      </c>
      <c r="L93" s="222">
        <v>5620.7867399999996</v>
      </c>
      <c r="M93" s="222">
        <v>5691.4884599999996</v>
      </c>
      <c r="N93" s="222">
        <v>11436.16956</v>
      </c>
      <c r="O93" s="222">
        <v>11517.719823568797</v>
      </c>
      <c r="P93" s="222">
        <v>11517.719823568797</v>
      </c>
      <c r="Q93" s="222">
        <v>11517.719823568797</v>
      </c>
      <c r="R93" s="222">
        <v>11517.719823568797</v>
      </c>
      <c r="S93" s="222"/>
      <c r="T93" s="222"/>
      <c r="U93" s="222"/>
      <c r="V93" s="221"/>
      <c r="W93" s="221"/>
      <c r="X93" s="221"/>
      <c r="Y93" s="221"/>
    </row>
    <row r="94" spans="1:25" x14ac:dyDescent="0.2">
      <c r="A94" s="210">
        <v>260</v>
      </c>
      <c r="B94" s="211" t="s">
        <v>230</v>
      </c>
      <c r="C94" s="209">
        <v>12</v>
      </c>
      <c r="D94" s="222">
        <v>28980.180479999999</v>
      </c>
      <c r="E94" s="222">
        <v>27915.688426256547</v>
      </c>
      <c r="F94" s="222">
        <v>29532.504847535871</v>
      </c>
      <c r="G94" s="222">
        <v>15631.945374157256</v>
      </c>
      <c r="H94" s="222">
        <v>15435.92289077235</v>
      </c>
      <c r="I94" s="222">
        <v>2594.07942</v>
      </c>
      <c r="J94" s="222">
        <v>2173.0242920000001</v>
      </c>
      <c r="K94" s="222">
        <v>2354.799184</v>
      </c>
      <c r="L94" s="222">
        <v>1817.539176</v>
      </c>
      <c r="M94" s="222">
        <v>1840.4013039999998</v>
      </c>
      <c r="N94" s="222">
        <v>2747.5458399999998</v>
      </c>
      <c r="O94" s="222">
        <v>2842.8623637119999</v>
      </c>
      <c r="P94" s="222">
        <v>2842.8623637119999</v>
      </c>
      <c r="Q94" s="222">
        <v>2842.8623637119999</v>
      </c>
      <c r="R94" s="222">
        <v>2842.8623637119999</v>
      </c>
      <c r="S94" s="222"/>
      <c r="T94" s="222"/>
      <c r="U94" s="222"/>
      <c r="V94" s="221"/>
      <c r="W94" s="221"/>
      <c r="X94" s="221"/>
      <c r="Y94" s="221"/>
    </row>
    <row r="95" spans="1:25" x14ac:dyDescent="0.2">
      <c r="A95" s="210">
        <v>261</v>
      </c>
      <c r="B95" s="211" t="s">
        <v>231</v>
      </c>
      <c r="C95" s="209">
        <v>19</v>
      </c>
      <c r="D95" s="222">
        <v>19635.542359999999</v>
      </c>
      <c r="E95" s="222">
        <v>20088.179216637942</v>
      </c>
      <c r="F95" s="222">
        <v>20896.866176338732</v>
      </c>
      <c r="G95" s="222">
        <v>10776.203622835885</v>
      </c>
      <c r="H95" s="222">
        <v>10508.150162167252</v>
      </c>
      <c r="I95" s="222">
        <v>2402.2880800000003</v>
      </c>
      <c r="J95" s="222">
        <v>2182.7990080000004</v>
      </c>
      <c r="K95" s="222">
        <v>2366.0704740000001</v>
      </c>
      <c r="L95" s="222">
        <v>1826.2388610000003</v>
      </c>
      <c r="M95" s="222">
        <v>1849.2104190000002</v>
      </c>
      <c r="N95" s="222">
        <v>7106.0469699999994</v>
      </c>
      <c r="O95" s="222">
        <v>6889.0675045031994</v>
      </c>
      <c r="P95" s="222">
        <v>6889.0675045031994</v>
      </c>
      <c r="Q95" s="222">
        <v>6889.0675045031994</v>
      </c>
      <c r="R95" s="222">
        <v>6889.0675045031994</v>
      </c>
      <c r="S95" s="222"/>
      <c r="T95" s="222"/>
      <c r="U95" s="222"/>
      <c r="V95" s="221"/>
      <c r="W95" s="221"/>
      <c r="X95" s="221"/>
      <c r="Y95" s="221"/>
    </row>
    <row r="96" spans="1:25" x14ac:dyDescent="0.2">
      <c r="A96" s="210">
        <v>263</v>
      </c>
      <c r="B96" s="211" t="s">
        <v>232</v>
      </c>
      <c r="C96" s="209">
        <v>11</v>
      </c>
      <c r="D96" s="222">
        <v>20787.471920000004</v>
      </c>
      <c r="E96" s="222">
        <v>20571.527296182485</v>
      </c>
      <c r="F96" s="222">
        <v>21519.622197983645</v>
      </c>
      <c r="G96" s="222">
        <v>11160.127142120291</v>
      </c>
      <c r="H96" s="222">
        <v>10932.136002198176</v>
      </c>
      <c r="I96" s="222">
        <v>1985.7261699999999</v>
      </c>
      <c r="J96" s="222">
        <v>1861.0462620000001</v>
      </c>
      <c r="K96" s="222">
        <v>2013.218842</v>
      </c>
      <c r="L96" s="222">
        <v>1553.8922130000003</v>
      </c>
      <c r="M96" s="222">
        <v>1573.4380270000001</v>
      </c>
      <c r="N96" s="222">
        <v>1717.1331200000002</v>
      </c>
      <c r="O96" s="222">
        <v>1693.3590483312</v>
      </c>
      <c r="P96" s="222">
        <v>1693.3590483312</v>
      </c>
      <c r="Q96" s="222">
        <v>1693.3590483312</v>
      </c>
      <c r="R96" s="222">
        <v>1693.3590483312</v>
      </c>
      <c r="S96" s="222"/>
      <c r="T96" s="222"/>
      <c r="U96" s="222"/>
      <c r="V96" s="221"/>
      <c r="W96" s="221"/>
      <c r="X96" s="221"/>
      <c r="Y96" s="221"/>
    </row>
    <row r="97" spans="1:25" x14ac:dyDescent="0.2">
      <c r="A97" s="210">
        <v>265</v>
      </c>
      <c r="B97" s="211" t="s">
        <v>233</v>
      </c>
      <c r="C97" s="209">
        <v>13</v>
      </c>
      <c r="D97" s="222">
        <v>2518.0667100000001</v>
      </c>
      <c r="E97" s="222">
        <v>2580.5518748709133</v>
      </c>
      <c r="F97" s="222">
        <v>2663.730536218668</v>
      </c>
      <c r="G97" s="222">
        <v>1475.0360016835295</v>
      </c>
      <c r="H97" s="222">
        <v>1445.7739049384843</v>
      </c>
      <c r="I97" s="222">
        <v>619.32561999999996</v>
      </c>
      <c r="J97" s="222">
        <v>628.41217900000004</v>
      </c>
      <c r="K97" s="222">
        <v>681.29082199999993</v>
      </c>
      <c r="L97" s="222">
        <v>525.850683</v>
      </c>
      <c r="M97" s="222">
        <v>532.46515699999998</v>
      </c>
      <c r="N97" s="222">
        <v>378.79338000000001</v>
      </c>
      <c r="O97" s="222">
        <v>435.40257434400002</v>
      </c>
      <c r="P97" s="222">
        <v>435.40257434400002</v>
      </c>
      <c r="Q97" s="222">
        <v>435.40257434400002</v>
      </c>
      <c r="R97" s="222">
        <v>435.40257434400002</v>
      </c>
      <c r="S97" s="222"/>
      <c r="T97" s="222"/>
      <c r="U97" s="222"/>
      <c r="V97" s="221"/>
      <c r="W97" s="221"/>
      <c r="X97" s="221"/>
      <c r="Y97" s="221"/>
    </row>
    <row r="98" spans="1:25" x14ac:dyDescent="0.2">
      <c r="A98" s="210">
        <v>271</v>
      </c>
      <c r="B98" s="211" t="s">
        <v>234</v>
      </c>
      <c r="C98" s="209">
        <v>4</v>
      </c>
      <c r="D98" s="222">
        <v>22875.123940000001</v>
      </c>
      <c r="E98" s="222">
        <v>22946.297573553573</v>
      </c>
      <c r="F98" s="222">
        <v>23770.382671046285</v>
      </c>
      <c r="G98" s="222">
        <v>12809.958731104687</v>
      </c>
      <c r="H98" s="222">
        <v>12640.231772694251</v>
      </c>
      <c r="I98" s="222">
        <v>1652.7353700000001</v>
      </c>
      <c r="J98" s="222">
        <v>1237.718918</v>
      </c>
      <c r="K98" s="222">
        <v>1333.7268119999999</v>
      </c>
      <c r="L98" s="222">
        <v>1029.4299179999998</v>
      </c>
      <c r="M98" s="222">
        <v>1042.3787219999999</v>
      </c>
      <c r="N98" s="222">
        <v>2300.7796600000001</v>
      </c>
      <c r="O98" s="222">
        <v>2495.1367845696</v>
      </c>
      <c r="P98" s="222">
        <v>2495.1367845696</v>
      </c>
      <c r="Q98" s="222">
        <v>2495.1367845696</v>
      </c>
      <c r="R98" s="222">
        <v>2495.1367845696</v>
      </c>
      <c r="S98" s="222"/>
      <c r="T98" s="222"/>
      <c r="U98" s="222"/>
      <c r="V98" s="221"/>
      <c r="W98" s="221"/>
      <c r="X98" s="221"/>
      <c r="Y98" s="221"/>
    </row>
    <row r="99" spans="1:25" x14ac:dyDescent="0.2">
      <c r="A99" s="210">
        <v>272</v>
      </c>
      <c r="B99" s="250" t="s">
        <v>235</v>
      </c>
      <c r="C99" s="209">
        <v>16</v>
      </c>
      <c r="D99" s="222">
        <v>159223.45509</v>
      </c>
      <c r="E99" s="222">
        <v>162075.74528485871</v>
      </c>
      <c r="F99" s="222">
        <v>169441.6095218703</v>
      </c>
      <c r="G99" s="222">
        <v>92627.177440173866</v>
      </c>
      <c r="H99" s="222">
        <v>90646.707307198754</v>
      </c>
      <c r="I99" s="222">
        <v>16028.02318</v>
      </c>
      <c r="J99" s="222">
        <v>16027.113090999999</v>
      </c>
      <c r="K99" s="222">
        <v>17362.45147</v>
      </c>
      <c r="L99" s="222">
        <v>13401.115455000001</v>
      </c>
      <c r="M99" s="222">
        <v>13569.682945</v>
      </c>
      <c r="N99" s="222">
        <v>15457.07964</v>
      </c>
      <c r="O99" s="222">
        <v>15334.851163116002</v>
      </c>
      <c r="P99" s="222">
        <v>15334.851163116002</v>
      </c>
      <c r="Q99" s="222">
        <v>15334.851163116002</v>
      </c>
      <c r="R99" s="222">
        <v>15334.851163116002</v>
      </c>
      <c r="S99" s="222"/>
      <c r="T99" s="222"/>
      <c r="U99" s="222"/>
      <c r="V99" s="221"/>
      <c r="W99" s="221"/>
      <c r="X99" s="221"/>
      <c r="Y99" s="221"/>
    </row>
    <row r="100" spans="1:25" x14ac:dyDescent="0.2">
      <c r="A100" s="210">
        <v>273</v>
      </c>
      <c r="B100" s="211" t="s">
        <v>236</v>
      </c>
      <c r="C100" s="209">
        <v>19</v>
      </c>
      <c r="D100" s="222">
        <v>9989.8071500000005</v>
      </c>
      <c r="E100" s="222">
        <v>10754.810927907931</v>
      </c>
      <c r="F100" s="222">
        <v>10744.48028031887</v>
      </c>
      <c r="G100" s="222">
        <v>5609.0039003599422</v>
      </c>
      <c r="H100" s="222">
        <v>5476.1983612764343</v>
      </c>
      <c r="I100" s="222">
        <v>731.94803999999999</v>
      </c>
      <c r="J100" s="222">
        <v>801.30096900000001</v>
      </c>
      <c r="K100" s="222">
        <v>868.25250799999992</v>
      </c>
      <c r="L100" s="222">
        <v>670.15606200000002</v>
      </c>
      <c r="M100" s="222">
        <v>678.58569799999987</v>
      </c>
      <c r="N100" s="222">
        <v>3409.5943500000003</v>
      </c>
      <c r="O100" s="222">
        <v>3695.0538686735995</v>
      </c>
      <c r="P100" s="222">
        <v>3695.0538686735995</v>
      </c>
      <c r="Q100" s="222">
        <v>3695.0538686735995</v>
      </c>
      <c r="R100" s="222">
        <v>3695.0538686735995</v>
      </c>
      <c r="S100" s="222"/>
      <c r="T100" s="222"/>
      <c r="U100" s="222"/>
      <c r="V100" s="221"/>
      <c r="W100" s="221"/>
      <c r="X100" s="221"/>
      <c r="Y100" s="221"/>
    </row>
    <row r="101" spans="1:25" x14ac:dyDescent="0.2">
      <c r="A101" s="210">
        <v>275</v>
      </c>
      <c r="B101" s="211" t="s">
        <v>237</v>
      </c>
      <c r="C101" s="209">
        <v>13</v>
      </c>
      <c r="D101" s="222">
        <v>7240.6897399999998</v>
      </c>
      <c r="E101" s="222">
        <v>7447.73763123352</v>
      </c>
      <c r="F101" s="222">
        <v>7775.7489048060052</v>
      </c>
      <c r="G101" s="222">
        <v>4272.9224379609705</v>
      </c>
      <c r="H101" s="222">
        <v>4221.9183736820551</v>
      </c>
      <c r="I101" s="222">
        <v>807.94418000000007</v>
      </c>
      <c r="J101" s="222">
        <v>831.63252399999999</v>
      </c>
      <c r="K101" s="222">
        <v>901.40903199999991</v>
      </c>
      <c r="L101" s="222">
        <v>695.747748</v>
      </c>
      <c r="M101" s="222">
        <v>704.49929199999997</v>
      </c>
      <c r="N101" s="222">
        <v>765.24507999999992</v>
      </c>
      <c r="O101" s="222">
        <v>779.30974138800002</v>
      </c>
      <c r="P101" s="222">
        <v>779.30974138800002</v>
      </c>
      <c r="Q101" s="222">
        <v>779.30974138800002</v>
      </c>
      <c r="R101" s="222">
        <v>779.30974138800002</v>
      </c>
      <c r="S101" s="222"/>
      <c r="T101" s="222"/>
      <c r="U101" s="222"/>
      <c r="V101" s="221"/>
      <c r="W101" s="221"/>
      <c r="X101" s="221"/>
      <c r="Y101" s="221"/>
    </row>
    <row r="102" spans="1:25" x14ac:dyDescent="0.2">
      <c r="A102" s="210">
        <v>276</v>
      </c>
      <c r="B102" s="211" t="s">
        <v>238</v>
      </c>
      <c r="C102" s="209">
        <v>12</v>
      </c>
      <c r="D102" s="222">
        <v>46162.355869999999</v>
      </c>
      <c r="E102" s="222">
        <v>46745.2617502957</v>
      </c>
      <c r="F102" s="222">
        <v>49699.053476888505</v>
      </c>
      <c r="G102" s="222">
        <v>25758.974069471398</v>
      </c>
      <c r="H102" s="222">
        <v>24892.391704746307</v>
      </c>
      <c r="I102" s="222">
        <v>1873.19895</v>
      </c>
      <c r="J102" s="222">
        <v>1449.338667</v>
      </c>
      <c r="K102" s="222">
        <v>1569.3012020000001</v>
      </c>
      <c r="L102" s="222">
        <v>1211.2567530000001</v>
      </c>
      <c r="M102" s="222">
        <v>1226.4926870000002</v>
      </c>
      <c r="N102" s="222">
        <v>2721.1923700000002</v>
      </c>
      <c r="O102" s="222">
        <v>2765.8736956727994</v>
      </c>
      <c r="P102" s="222">
        <v>2765.8736956727994</v>
      </c>
      <c r="Q102" s="222">
        <v>2765.8736956727994</v>
      </c>
      <c r="R102" s="222">
        <v>2765.8736956727994</v>
      </c>
      <c r="S102" s="222"/>
      <c r="T102" s="222"/>
      <c r="U102" s="222"/>
      <c r="V102" s="221"/>
      <c r="W102" s="221"/>
      <c r="X102" s="221"/>
      <c r="Y102" s="221"/>
    </row>
    <row r="103" spans="1:25" x14ac:dyDescent="0.2">
      <c r="A103" s="210">
        <v>280</v>
      </c>
      <c r="B103" s="211" t="s">
        <v>239</v>
      </c>
      <c r="C103" s="209">
        <v>15</v>
      </c>
      <c r="D103" s="222">
        <v>5403.7271300000002</v>
      </c>
      <c r="E103" s="222">
        <v>5392.6095512716693</v>
      </c>
      <c r="F103" s="222">
        <v>5601.9675182884057</v>
      </c>
      <c r="G103" s="222">
        <v>3141.8369880907753</v>
      </c>
      <c r="H103" s="222">
        <v>3075.7243282278623</v>
      </c>
      <c r="I103" s="222">
        <v>974.50162</v>
      </c>
      <c r="J103" s="222">
        <v>867.03172499999994</v>
      </c>
      <c r="K103" s="222">
        <v>939.34537399999999</v>
      </c>
      <c r="L103" s="222">
        <v>725.02871099999993</v>
      </c>
      <c r="M103" s="222">
        <v>734.14856899999984</v>
      </c>
      <c r="N103" s="222">
        <v>708.59680000000003</v>
      </c>
      <c r="O103" s="222">
        <v>743.77684525680002</v>
      </c>
      <c r="P103" s="222">
        <v>743.77684525680002</v>
      </c>
      <c r="Q103" s="222">
        <v>743.77684525680002</v>
      </c>
      <c r="R103" s="222">
        <v>743.77684525680002</v>
      </c>
      <c r="S103" s="222"/>
      <c r="T103" s="222"/>
      <c r="U103" s="222"/>
      <c r="V103" s="221"/>
      <c r="W103" s="221"/>
      <c r="X103" s="221"/>
      <c r="Y103" s="221"/>
    </row>
    <row r="104" spans="1:25" x14ac:dyDescent="0.2">
      <c r="A104" s="210">
        <v>284</v>
      </c>
      <c r="B104" s="211" t="s">
        <v>240</v>
      </c>
      <c r="C104" s="209">
        <v>2</v>
      </c>
      <c r="D104" s="222">
        <v>6359.4108799999995</v>
      </c>
      <c r="E104" s="222">
        <v>5955.8866850202166</v>
      </c>
      <c r="F104" s="222">
        <v>6406.5666953438149</v>
      </c>
      <c r="G104" s="222">
        <v>3077.0829398432898</v>
      </c>
      <c r="H104" s="222">
        <v>2979.6640597734627</v>
      </c>
      <c r="I104" s="222">
        <v>543.47844999999995</v>
      </c>
      <c r="J104" s="222">
        <v>619.47912800000006</v>
      </c>
      <c r="K104" s="222">
        <v>672.01999799999999</v>
      </c>
      <c r="L104" s="222">
        <v>518.69504700000005</v>
      </c>
      <c r="M104" s="222">
        <v>525.21951299999989</v>
      </c>
      <c r="N104" s="222">
        <v>536.01035999999999</v>
      </c>
      <c r="O104" s="222">
        <v>522.44899056240001</v>
      </c>
      <c r="P104" s="222">
        <v>522.44899056240001</v>
      </c>
      <c r="Q104" s="222">
        <v>522.44899056240001</v>
      </c>
      <c r="R104" s="222">
        <v>522.44899056240001</v>
      </c>
      <c r="S104" s="222"/>
      <c r="T104" s="222"/>
      <c r="U104" s="222"/>
      <c r="V104" s="221"/>
      <c r="W104" s="221"/>
      <c r="X104" s="221"/>
      <c r="Y104" s="221"/>
    </row>
    <row r="105" spans="1:25" x14ac:dyDescent="0.2">
      <c r="A105" s="210">
        <v>285</v>
      </c>
      <c r="B105" s="211" t="s">
        <v>241</v>
      </c>
      <c r="C105" s="209">
        <v>8</v>
      </c>
      <c r="D105" s="222">
        <v>191006.38755000001</v>
      </c>
      <c r="E105" s="222">
        <v>193336.6563028465</v>
      </c>
      <c r="F105" s="222">
        <v>201079.10157879654</v>
      </c>
      <c r="G105" s="222">
        <v>105891.24756299963</v>
      </c>
      <c r="H105" s="222">
        <v>104153.27895241586</v>
      </c>
      <c r="I105" s="222">
        <v>10128.325919999999</v>
      </c>
      <c r="J105" s="222">
        <v>9821.6964740000003</v>
      </c>
      <c r="K105" s="222">
        <v>10627.50704</v>
      </c>
      <c r="L105" s="222">
        <v>8202.7845600000001</v>
      </c>
      <c r="M105" s="222">
        <v>8305.9642399999993</v>
      </c>
      <c r="N105" s="222">
        <v>15045.884800000002</v>
      </c>
      <c r="O105" s="222">
        <v>15072.601498800001</v>
      </c>
      <c r="P105" s="222">
        <v>15072.601498800001</v>
      </c>
      <c r="Q105" s="222">
        <v>15072.601498800001</v>
      </c>
      <c r="R105" s="222">
        <v>15072.601498800001</v>
      </c>
      <c r="S105" s="222"/>
      <c r="T105" s="222"/>
      <c r="U105" s="222"/>
      <c r="V105" s="221"/>
      <c r="W105" s="221"/>
      <c r="X105" s="221"/>
      <c r="Y105" s="221"/>
    </row>
    <row r="106" spans="1:25" x14ac:dyDescent="0.2">
      <c r="A106" s="210">
        <v>286</v>
      </c>
      <c r="B106" s="211" t="s">
        <v>242</v>
      </c>
      <c r="C106" s="209">
        <v>8</v>
      </c>
      <c r="D106" s="222">
        <v>289189.36488000001</v>
      </c>
      <c r="E106" s="222">
        <v>291520.39804149565</v>
      </c>
      <c r="F106" s="222">
        <v>303297.20139215357</v>
      </c>
      <c r="G106" s="222">
        <v>154154.83616865709</v>
      </c>
      <c r="H106" s="222">
        <v>150877.60704732174</v>
      </c>
      <c r="I106" s="222">
        <v>20631.094809999999</v>
      </c>
      <c r="J106" s="222">
        <v>20813.471135</v>
      </c>
      <c r="K106" s="222">
        <v>22548.715504</v>
      </c>
      <c r="L106" s="222">
        <v>17404.105656</v>
      </c>
      <c r="M106" s="222">
        <v>17623.025224000001</v>
      </c>
      <c r="N106" s="222">
        <v>28306.380239999999</v>
      </c>
      <c r="O106" s="222">
        <v>28022.120864303994</v>
      </c>
      <c r="P106" s="222">
        <v>28022.120864303994</v>
      </c>
      <c r="Q106" s="222">
        <v>28022.120864303994</v>
      </c>
      <c r="R106" s="222">
        <v>28022.120864303994</v>
      </c>
      <c r="S106" s="222"/>
      <c r="T106" s="222"/>
      <c r="U106" s="222"/>
      <c r="V106" s="221"/>
      <c r="W106" s="221"/>
      <c r="X106" s="221"/>
      <c r="Y106" s="221"/>
    </row>
    <row r="107" spans="1:25" x14ac:dyDescent="0.2">
      <c r="A107" s="210">
        <v>287</v>
      </c>
      <c r="B107" s="250" t="s">
        <v>243</v>
      </c>
      <c r="C107" s="209">
        <v>15</v>
      </c>
      <c r="D107" s="222">
        <v>20405.436329999997</v>
      </c>
      <c r="E107" s="222">
        <v>20258.134117151163</v>
      </c>
      <c r="F107" s="222">
        <v>20940.843547230899</v>
      </c>
      <c r="G107" s="222">
        <v>11295.88774481479</v>
      </c>
      <c r="H107" s="222">
        <v>11160.538707460168</v>
      </c>
      <c r="I107" s="222">
        <v>1573.4136799999999</v>
      </c>
      <c r="J107" s="222">
        <v>1563.832846</v>
      </c>
      <c r="K107" s="222">
        <v>1695.1840940000002</v>
      </c>
      <c r="L107" s="222">
        <v>1308.4187910000001</v>
      </c>
      <c r="M107" s="222">
        <v>1324.8768889999999</v>
      </c>
      <c r="N107" s="222">
        <v>2118.3498799999998</v>
      </c>
      <c r="O107" s="222">
        <v>2718.4738443624005</v>
      </c>
      <c r="P107" s="222">
        <v>2718.4738443624005</v>
      </c>
      <c r="Q107" s="222">
        <v>2718.4738443624005</v>
      </c>
      <c r="R107" s="222">
        <v>2718.4738443624005</v>
      </c>
      <c r="S107" s="222"/>
      <c r="T107" s="222"/>
      <c r="U107" s="222"/>
      <c r="V107" s="221"/>
      <c r="W107" s="221"/>
      <c r="X107" s="221"/>
      <c r="Y107" s="221"/>
    </row>
    <row r="108" spans="1:25" x14ac:dyDescent="0.2">
      <c r="A108" s="210">
        <v>288</v>
      </c>
      <c r="B108" s="211" t="s">
        <v>244</v>
      </c>
      <c r="C108" s="209">
        <v>15</v>
      </c>
      <c r="D108" s="222">
        <v>18707.031440000002</v>
      </c>
      <c r="E108" s="222">
        <v>20197.253683128958</v>
      </c>
      <c r="F108" s="222">
        <v>20907.550787896904</v>
      </c>
      <c r="G108" s="222">
        <v>11748.221578152741</v>
      </c>
      <c r="H108" s="222">
        <v>11464.586953498479</v>
      </c>
      <c r="I108" s="222">
        <v>2466.58853</v>
      </c>
      <c r="J108" s="222">
        <v>2396.0273490000004</v>
      </c>
      <c r="K108" s="222">
        <v>2600.6968520000005</v>
      </c>
      <c r="L108" s="222">
        <v>2007.3339779999999</v>
      </c>
      <c r="M108" s="222">
        <v>2032.5834620000003</v>
      </c>
      <c r="N108" s="222">
        <v>1584.5253400000001</v>
      </c>
      <c r="O108" s="222">
        <v>1803.9903978000002</v>
      </c>
      <c r="P108" s="222">
        <v>1803.9903978000002</v>
      </c>
      <c r="Q108" s="222">
        <v>1803.9903978000002</v>
      </c>
      <c r="R108" s="222">
        <v>1803.9903978000002</v>
      </c>
      <c r="S108" s="222"/>
      <c r="T108" s="222"/>
      <c r="U108" s="222"/>
      <c r="V108" s="221"/>
      <c r="W108" s="221"/>
      <c r="X108" s="221"/>
      <c r="Y108" s="221"/>
    </row>
    <row r="109" spans="1:25" x14ac:dyDescent="0.2">
      <c r="A109" s="210">
        <v>290</v>
      </c>
      <c r="B109" s="211" t="s">
        <v>245</v>
      </c>
      <c r="C109" s="209">
        <v>18</v>
      </c>
      <c r="D109" s="222">
        <v>23768.058590000001</v>
      </c>
      <c r="E109" s="222">
        <v>23679.31764719342</v>
      </c>
      <c r="F109" s="222">
        <v>24345.782667008883</v>
      </c>
      <c r="G109" s="222">
        <v>12923.361871963112</v>
      </c>
      <c r="H109" s="222">
        <v>12779.262520941533</v>
      </c>
      <c r="I109" s="222">
        <v>3190.2775499999998</v>
      </c>
      <c r="J109" s="222">
        <v>2921.689069</v>
      </c>
      <c r="K109" s="222">
        <v>3163.8726299999998</v>
      </c>
      <c r="L109" s="222">
        <v>2442.0181950000001</v>
      </c>
      <c r="M109" s="222">
        <v>2472.7354049999999</v>
      </c>
      <c r="N109" s="222">
        <v>2140.7584999999999</v>
      </c>
      <c r="O109" s="222">
        <v>2115.7563479568003</v>
      </c>
      <c r="P109" s="222">
        <v>2115.7563479568003</v>
      </c>
      <c r="Q109" s="222">
        <v>2115.7563479568003</v>
      </c>
      <c r="R109" s="222">
        <v>2115.7563479568003</v>
      </c>
      <c r="S109" s="222"/>
      <c r="T109" s="222"/>
      <c r="U109" s="222"/>
      <c r="V109" s="221"/>
      <c r="W109" s="221"/>
      <c r="X109" s="221"/>
      <c r="Y109" s="221"/>
    </row>
    <row r="110" spans="1:25" x14ac:dyDescent="0.2">
      <c r="A110" s="210">
        <v>291</v>
      </c>
      <c r="B110" s="211" t="s">
        <v>246</v>
      </c>
      <c r="C110" s="209">
        <v>13</v>
      </c>
      <c r="D110" s="222">
        <v>5720.3952599999993</v>
      </c>
      <c r="E110" s="222">
        <v>5979.8652672888302</v>
      </c>
      <c r="F110" s="222">
        <v>5980.3076273593861</v>
      </c>
      <c r="G110" s="222">
        <v>3084.6527135834531</v>
      </c>
      <c r="H110" s="222">
        <v>3027.8068811489334</v>
      </c>
      <c r="I110" s="222">
        <v>1005.6965</v>
      </c>
      <c r="J110" s="222">
        <v>1029.9149580000001</v>
      </c>
      <c r="K110" s="222">
        <v>1117.1425320000001</v>
      </c>
      <c r="L110" s="222">
        <v>862.26049799999987</v>
      </c>
      <c r="M110" s="222">
        <v>873.10654199999999</v>
      </c>
      <c r="N110" s="222">
        <v>1340.7714799999999</v>
      </c>
      <c r="O110" s="222">
        <v>1335.1669247040002</v>
      </c>
      <c r="P110" s="222">
        <v>1335.1669247040002</v>
      </c>
      <c r="Q110" s="222">
        <v>1335.1669247040002</v>
      </c>
      <c r="R110" s="222">
        <v>1335.1669247040002</v>
      </c>
      <c r="S110" s="222"/>
      <c r="T110" s="222"/>
      <c r="U110" s="222"/>
      <c r="V110" s="221"/>
      <c r="W110" s="221"/>
      <c r="X110" s="221"/>
      <c r="Y110" s="221"/>
    </row>
    <row r="111" spans="1:25" x14ac:dyDescent="0.2">
      <c r="A111" s="210">
        <v>297</v>
      </c>
      <c r="B111" s="211" t="s">
        <v>247</v>
      </c>
      <c r="C111" s="209">
        <v>11</v>
      </c>
      <c r="D111" s="222">
        <v>388774.47106999997</v>
      </c>
      <c r="E111" s="222">
        <v>389723.12590982777</v>
      </c>
      <c r="F111" s="222">
        <v>412417.65935074998</v>
      </c>
      <c r="G111" s="222">
        <v>212652.4103878384</v>
      </c>
      <c r="H111" s="222">
        <v>206216.95858571591</v>
      </c>
      <c r="I111" s="222">
        <v>25536.82243</v>
      </c>
      <c r="J111" s="222">
        <v>24452.113984</v>
      </c>
      <c r="K111" s="222">
        <v>26518.906329999998</v>
      </c>
      <c r="L111" s="222">
        <v>20468.476245000002</v>
      </c>
      <c r="M111" s="222">
        <v>20725.941354999999</v>
      </c>
      <c r="N111" s="222">
        <v>38433.516360000001</v>
      </c>
      <c r="O111" s="222">
        <v>38460.033508291192</v>
      </c>
      <c r="P111" s="222">
        <v>38460.033508291192</v>
      </c>
      <c r="Q111" s="222">
        <v>38460.033508291192</v>
      </c>
      <c r="R111" s="222">
        <v>38460.033508291192</v>
      </c>
      <c r="S111" s="222"/>
      <c r="T111" s="222"/>
      <c r="U111" s="222"/>
      <c r="V111" s="221"/>
      <c r="W111" s="221"/>
      <c r="X111" s="221"/>
      <c r="Y111" s="221"/>
    </row>
    <row r="112" spans="1:25" x14ac:dyDescent="0.2">
      <c r="A112" s="210">
        <v>300</v>
      </c>
      <c r="B112" s="211" t="s">
        <v>248</v>
      </c>
      <c r="C112" s="209">
        <v>14</v>
      </c>
      <c r="D112" s="222">
        <v>9699.9804399999994</v>
      </c>
      <c r="E112" s="222">
        <v>9545.80969670587</v>
      </c>
      <c r="F112" s="222">
        <v>9882.2533998260933</v>
      </c>
      <c r="G112" s="222">
        <v>5216.4475115455925</v>
      </c>
      <c r="H112" s="222">
        <v>5126.1837757261164</v>
      </c>
      <c r="I112" s="222">
        <v>755.04971999999998</v>
      </c>
      <c r="J112" s="222">
        <v>719.05370900000003</v>
      </c>
      <c r="K112" s="222">
        <v>779.22260399999993</v>
      </c>
      <c r="L112" s="222">
        <v>601.438806</v>
      </c>
      <c r="M112" s="222">
        <v>609.00407399999995</v>
      </c>
      <c r="N112" s="222">
        <v>848.89082999999994</v>
      </c>
      <c r="O112" s="222">
        <v>839.50681586880012</v>
      </c>
      <c r="P112" s="222">
        <v>839.50681586880012</v>
      </c>
      <c r="Q112" s="222">
        <v>839.50681586880012</v>
      </c>
      <c r="R112" s="222">
        <v>839.50681586880012</v>
      </c>
      <c r="S112" s="222"/>
      <c r="T112" s="222"/>
      <c r="U112" s="222"/>
      <c r="V112" s="221"/>
      <c r="W112" s="221"/>
      <c r="X112" s="221"/>
      <c r="Y112" s="221"/>
    </row>
    <row r="113" spans="1:25" x14ac:dyDescent="0.2">
      <c r="A113" s="210">
        <v>301</v>
      </c>
      <c r="B113" s="211" t="s">
        <v>249</v>
      </c>
      <c r="C113" s="209">
        <v>14</v>
      </c>
      <c r="D113" s="222">
        <v>57838.90812</v>
      </c>
      <c r="E113" s="222">
        <v>58593.150798077862</v>
      </c>
      <c r="F113" s="222">
        <v>61085.652136445249</v>
      </c>
      <c r="G113" s="222">
        <v>32214.324704448958</v>
      </c>
      <c r="H113" s="222">
        <v>31577.435437378834</v>
      </c>
      <c r="I113" s="222">
        <v>4317.6903400000001</v>
      </c>
      <c r="J113" s="222">
        <v>4116.3912369999998</v>
      </c>
      <c r="K113" s="222">
        <v>4451.5388720000001</v>
      </c>
      <c r="L113" s="222">
        <v>3435.8965080000003</v>
      </c>
      <c r="M113" s="222">
        <v>3479.1153320000003</v>
      </c>
      <c r="N113" s="222">
        <v>4335.6850400000003</v>
      </c>
      <c r="O113" s="222">
        <v>4392.0743362344001</v>
      </c>
      <c r="P113" s="222">
        <v>4392.0743362344001</v>
      </c>
      <c r="Q113" s="222">
        <v>4392.0743362344001</v>
      </c>
      <c r="R113" s="222">
        <v>4392.0743362344001</v>
      </c>
      <c r="S113" s="222"/>
      <c r="T113" s="222"/>
      <c r="U113" s="222"/>
      <c r="V113" s="221"/>
      <c r="W113" s="221"/>
      <c r="X113" s="221"/>
      <c r="Y113" s="221"/>
    </row>
    <row r="114" spans="1:25" x14ac:dyDescent="0.2">
      <c r="A114" s="210">
        <v>304</v>
      </c>
      <c r="B114" s="211" t="s">
        <v>250</v>
      </c>
      <c r="C114" s="209">
        <v>2</v>
      </c>
      <c r="D114" s="222">
        <v>2425.1845499999999</v>
      </c>
      <c r="E114" s="222">
        <v>2860.0694794546016</v>
      </c>
      <c r="F114" s="222">
        <v>2773.6462888812225</v>
      </c>
      <c r="G114" s="222">
        <v>1315.7882878835521</v>
      </c>
      <c r="H114" s="222">
        <v>1263.0793835226309</v>
      </c>
      <c r="I114" s="222">
        <v>201.19039999999998</v>
      </c>
      <c r="J114" s="222">
        <v>232.98742399999998</v>
      </c>
      <c r="K114" s="222">
        <v>252.84481199999996</v>
      </c>
      <c r="L114" s="222">
        <v>195.15691799999996</v>
      </c>
      <c r="M114" s="222">
        <v>197.61172199999999</v>
      </c>
      <c r="N114" s="222">
        <v>1402.4219399999999</v>
      </c>
      <c r="O114" s="222">
        <v>1413.2273077824</v>
      </c>
      <c r="P114" s="222">
        <v>1413.2273077824</v>
      </c>
      <c r="Q114" s="222">
        <v>1413.2273077824</v>
      </c>
      <c r="R114" s="222">
        <v>1413.2273077824</v>
      </c>
      <c r="S114" s="222"/>
      <c r="T114" s="222"/>
      <c r="U114" s="222"/>
      <c r="V114" s="221"/>
      <c r="W114" s="221"/>
      <c r="X114" s="221"/>
      <c r="Y114" s="221"/>
    </row>
    <row r="115" spans="1:25" x14ac:dyDescent="0.2">
      <c r="A115" s="210">
        <v>305</v>
      </c>
      <c r="B115" s="211" t="s">
        <v>251</v>
      </c>
      <c r="C115" s="209">
        <v>17</v>
      </c>
      <c r="D115" s="222">
        <v>41782.841500000002</v>
      </c>
      <c r="E115" s="222">
        <v>41565.116371390824</v>
      </c>
      <c r="F115" s="222">
        <v>43292.564842160929</v>
      </c>
      <c r="G115" s="222">
        <v>21727.009295904376</v>
      </c>
      <c r="H115" s="222">
        <v>21121.799815339436</v>
      </c>
      <c r="I115" s="222">
        <v>4066.8434300000004</v>
      </c>
      <c r="J115" s="222">
        <v>3949.0012139999999</v>
      </c>
      <c r="K115" s="222">
        <v>4276.8024619999997</v>
      </c>
      <c r="L115" s="222">
        <v>3301.0271429999998</v>
      </c>
      <c r="M115" s="222">
        <v>3342.549497</v>
      </c>
      <c r="N115" s="222">
        <v>6736.5134100000005</v>
      </c>
      <c r="O115" s="222">
        <v>7246.1457538080003</v>
      </c>
      <c r="P115" s="222">
        <v>7246.1457538080003</v>
      </c>
      <c r="Q115" s="222">
        <v>7246.1457538080003</v>
      </c>
      <c r="R115" s="222">
        <v>7246.1457538080003</v>
      </c>
      <c r="S115" s="222"/>
      <c r="T115" s="222"/>
      <c r="U115" s="222"/>
      <c r="V115" s="221"/>
      <c r="W115" s="221"/>
      <c r="X115" s="221"/>
      <c r="Y115" s="221"/>
    </row>
    <row r="116" spans="1:25" x14ac:dyDescent="0.2">
      <c r="A116" s="210">
        <v>312</v>
      </c>
      <c r="B116" s="211" t="s">
        <v>252</v>
      </c>
      <c r="C116" s="209">
        <v>13</v>
      </c>
      <c r="D116" s="222">
        <v>3422.66246</v>
      </c>
      <c r="E116" s="222">
        <v>3647.8814973820363</v>
      </c>
      <c r="F116" s="222">
        <v>3688.8460015163037</v>
      </c>
      <c r="G116" s="222">
        <v>1966.8464168118965</v>
      </c>
      <c r="H116" s="222">
        <v>1956.1617129611684</v>
      </c>
      <c r="I116" s="222">
        <v>577.0068</v>
      </c>
      <c r="J116" s="222">
        <v>624.64016199999992</v>
      </c>
      <c r="K116" s="222">
        <v>676.55199799999991</v>
      </c>
      <c r="L116" s="222">
        <v>522.19304699999998</v>
      </c>
      <c r="M116" s="222">
        <v>528.76151299999992</v>
      </c>
      <c r="N116" s="222">
        <v>320.68011999999999</v>
      </c>
      <c r="O116" s="222">
        <v>382.44053619600004</v>
      </c>
      <c r="P116" s="222">
        <v>382.44053619600004</v>
      </c>
      <c r="Q116" s="222">
        <v>382.44053619600004</v>
      </c>
      <c r="R116" s="222">
        <v>382.44053619600004</v>
      </c>
      <c r="S116" s="222"/>
      <c r="T116" s="222"/>
      <c r="U116" s="222"/>
      <c r="V116" s="221"/>
      <c r="W116" s="221"/>
      <c r="X116" s="221"/>
      <c r="Y116" s="221"/>
    </row>
    <row r="117" spans="1:25" x14ac:dyDescent="0.2">
      <c r="A117" s="210">
        <v>316</v>
      </c>
      <c r="B117" s="211" t="s">
        <v>253</v>
      </c>
      <c r="C117" s="209">
        <v>7</v>
      </c>
      <c r="D117" s="222">
        <v>14789.48171</v>
      </c>
      <c r="E117" s="222">
        <v>14300.761931729425</v>
      </c>
      <c r="F117" s="222">
        <v>14920.221618221734</v>
      </c>
      <c r="G117" s="222">
        <v>8138.2769334447266</v>
      </c>
      <c r="H117" s="222">
        <v>7976.8415005134557</v>
      </c>
      <c r="I117" s="222">
        <v>735.51596999999992</v>
      </c>
      <c r="J117" s="222">
        <v>611.5053620000001</v>
      </c>
      <c r="K117" s="222">
        <v>662.58416800000009</v>
      </c>
      <c r="L117" s="222">
        <v>511.41205200000007</v>
      </c>
      <c r="M117" s="222">
        <v>517.84490800000003</v>
      </c>
      <c r="N117" s="222">
        <v>1161.3065200000001</v>
      </c>
      <c r="O117" s="222">
        <v>1117.8068734800001</v>
      </c>
      <c r="P117" s="222">
        <v>1117.8068734800001</v>
      </c>
      <c r="Q117" s="222">
        <v>1117.8068734800001</v>
      </c>
      <c r="R117" s="222">
        <v>1117.8068734800001</v>
      </c>
      <c r="S117" s="222"/>
      <c r="T117" s="222"/>
      <c r="U117" s="222"/>
      <c r="V117" s="221"/>
      <c r="W117" s="221"/>
      <c r="X117" s="221"/>
      <c r="Y117" s="221"/>
    </row>
    <row r="118" spans="1:25" x14ac:dyDescent="0.2">
      <c r="A118" s="210">
        <v>317</v>
      </c>
      <c r="B118" s="211" t="s">
        <v>254</v>
      </c>
      <c r="C118" s="223">
        <v>17</v>
      </c>
      <c r="D118" s="222">
        <v>5780.5561699999998</v>
      </c>
      <c r="E118" s="222">
        <v>5942.0427157064605</v>
      </c>
      <c r="F118" s="222">
        <v>6206.6222582992732</v>
      </c>
      <c r="G118" s="222">
        <v>3366.2064511036742</v>
      </c>
      <c r="H118" s="222">
        <v>3328.5597461618336</v>
      </c>
      <c r="I118" s="222">
        <v>626.05260999999996</v>
      </c>
      <c r="J118" s="222">
        <v>597.62221899999986</v>
      </c>
      <c r="K118" s="222">
        <v>648.1079299999999</v>
      </c>
      <c r="L118" s="222">
        <v>500.23864499999996</v>
      </c>
      <c r="M118" s="222">
        <v>506.53095500000001</v>
      </c>
      <c r="N118" s="222">
        <v>470.24837000000002</v>
      </c>
      <c r="O118" s="222">
        <v>572.82450786000004</v>
      </c>
      <c r="P118" s="222">
        <v>572.82450786000004</v>
      </c>
      <c r="Q118" s="222">
        <v>572.82450786000004</v>
      </c>
      <c r="R118" s="222">
        <v>572.82450786000004</v>
      </c>
      <c r="S118" s="222"/>
      <c r="T118" s="222"/>
      <c r="U118" s="222"/>
      <c r="V118" s="221"/>
      <c r="W118" s="221"/>
      <c r="X118" s="221"/>
      <c r="Y118" s="221"/>
    </row>
    <row r="119" spans="1:25" x14ac:dyDescent="0.2">
      <c r="A119" s="210">
        <v>398</v>
      </c>
      <c r="B119" s="211" t="s">
        <v>255</v>
      </c>
      <c r="C119" s="209">
        <v>7</v>
      </c>
      <c r="D119" s="222">
        <v>390175.45143999998</v>
      </c>
      <c r="E119" s="222">
        <v>405011.84906529135</v>
      </c>
      <c r="F119" s="222">
        <v>423604.50421980215</v>
      </c>
      <c r="G119" s="222">
        <v>217923.60254800977</v>
      </c>
      <c r="H119" s="222">
        <v>213012.12159997673</v>
      </c>
      <c r="I119" s="222">
        <v>26717.540850000001</v>
      </c>
      <c r="J119" s="222">
        <v>27932.905597000001</v>
      </c>
      <c r="K119" s="222">
        <v>30266.323400000001</v>
      </c>
      <c r="L119" s="222">
        <v>23360.900099999999</v>
      </c>
      <c r="M119" s="222">
        <v>23654.747900000002</v>
      </c>
      <c r="N119" s="222">
        <v>35897.405030000002</v>
      </c>
      <c r="O119" s="222">
        <v>40745.474527404003</v>
      </c>
      <c r="P119" s="222">
        <v>40745.474527404003</v>
      </c>
      <c r="Q119" s="222">
        <v>40745.474527404003</v>
      </c>
      <c r="R119" s="222">
        <v>40745.474527404003</v>
      </c>
      <c r="S119" s="222"/>
      <c r="T119" s="222"/>
      <c r="U119" s="222"/>
      <c r="V119" s="221"/>
      <c r="W119" s="221"/>
      <c r="X119" s="221"/>
      <c r="Y119" s="221"/>
    </row>
    <row r="120" spans="1:25" x14ac:dyDescent="0.2">
      <c r="A120" s="210">
        <v>399</v>
      </c>
      <c r="B120" s="250" t="s">
        <v>256</v>
      </c>
      <c r="C120" s="209">
        <v>15</v>
      </c>
      <c r="D120" s="222">
        <v>27661.25691</v>
      </c>
      <c r="E120" s="222">
        <v>27746.218165969593</v>
      </c>
      <c r="F120" s="222">
        <v>29323.548054872666</v>
      </c>
      <c r="G120" s="222">
        <v>15782.798285987617</v>
      </c>
      <c r="H120" s="222">
        <v>15512.333647809015</v>
      </c>
      <c r="I120" s="222">
        <v>1132.7511000000002</v>
      </c>
      <c r="J120" s="222">
        <v>1013.692176</v>
      </c>
      <c r="K120" s="222">
        <v>1096.095924</v>
      </c>
      <c r="L120" s="222">
        <v>846.01578600000005</v>
      </c>
      <c r="M120" s="222">
        <v>856.65749399999993</v>
      </c>
      <c r="N120" s="222">
        <v>1217.8584799999999</v>
      </c>
      <c r="O120" s="222">
        <v>1219.7477482800002</v>
      </c>
      <c r="P120" s="222">
        <v>1219.7477482800002</v>
      </c>
      <c r="Q120" s="222">
        <v>1219.7477482800002</v>
      </c>
      <c r="R120" s="222">
        <v>1219.7477482800002</v>
      </c>
      <c r="S120" s="222"/>
      <c r="T120" s="222"/>
      <c r="U120" s="222"/>
      <c r="V120" s="221"/>
      <c r="W120" s="221"/>
      <c r="X120" s="221"/>
      <c r="Y120" s="221"/>
    </row>
    <row r="121" spans="1:25" x14ac:dyDescent="0.2">
      <c r="A121" s="210">
        <v>400</v>
      </c>
      <c r="B121" s="211" t="s">
        <v>257</v>
      </c>
      <c r="C121" s="209">
        <v>2</v>
      </c>
      <c r="D121" s="222">
        <v>25111.728739999999</v>
      </c>
      <c r="E121" s="222">
        <v>25899.679882079763</v>
      </c>
      <c r="F121" s="222">
        <v>26460.741422852687</v>
      </c>
      <c r="G121" s="222">
        <v>13735.901716349228</v>
      </c>
      <c r="H121" s="222">
        <v>13391.479398674284</v>
      </c>
      <c r="I121" s="222">
        <v>2074.18797</v>
      </c>
      <c r="J121" s="222">
        <v>2028.9713700000002</v>
      </c>
      <c r="K121" s="222">
        <v>2194.1758340000001</v>
      </c>
      <c r="L121" s="222">
        <v>1693.562901</v>
      </c>
      <c r="M121" s="222">
        <v>1714.865579</v>
      </c>
      <c r="N121" s="222">
        <v>2045.9182599999999</v>
      </c>
      <c r="O121" s="222">
        <v>2041.0851275424</v>
      </c>
      <c r="P121" s="222">
        <v>2041.0851275424</v>
      </c>
      <c r="Q121" s="222">
        <v>2041.0851275424</v>
      </c>
      <c r="R121" s="222">
        <v>2041.0851275424</v>
      </c>
      <c r="S121" s="222"/>
      <c r="T121" s="222"/>
      <c r="U121" s="222"/>
      <c r="V121" s="221"/>
      <c r="W121" s="221"/>
      <c r="X121" s="221"/>
      <c r="Y121" s="221"/>
    </row>
    <row r="122" spans="1:25" x14ac:dyDescent="0.2">
      <c r="A122" s="210">
        <v>407</v>
      </c>
      <c r="B122" s="211" t="s">
        <v>258</v>
      </c>
      <c r="C122" s="209">
        <v>1</v>
      </c>
      <c r="D122" s="222">
        <v>7595.0393400000003</v>
      </c>
      <c r="E122" s="222">
        <v>7673.6487336993669</v>
      </c>
      <c r="F122" s="222">
        <v>7859.837174976592</v>
      </c>
      <c r="G122" s="222">
        <v>4129.3381821126241</v>
      </c>
      <c r="H122" s="222">
        <v>4006.581421311012</v>
      </c>
      <c r="I122" s="222">
        <v>508.06006000000002</v>
      </c>
      <c r="J122" s="222">
        <v>563.69463799999994</v>
      </c>
      <c r="K122" s="222">
        <v>611.167598</v>
      </c>
      <c r="L122" s="222">
        <v>471.72644700000001</v>
      </c>
      <c r="M122" s="222">
        <v>477.66011299999997</v>
      </c>
      <c r="N122" s="222">
        <v>547.44997999999998</v>
      </c>
      <c r="O122" s="222">
        <v>536.29594080000004</v>
      </c>
      <c r="P122" s="222">
        <v>536.29594080000004</v>
      </c>
      <c r="Q122" s="222">
        <v>536.29594080000004</v>
      </c>
      <c r="R122" s="222">
        <v>536.29594080000004</v>
      </c>
      <c r="S122" s="222"/>
      <c r="T122" s="222"/>
      <c r="U122" s="222"/>
      <c r="V122" s="221"/>
      <c r="W122" s="221"/>
      <c r="X122" s="221"/>
      <c r="Y122" s="221"/>
    </row>
    <row r="123" spans="1:25" x14ac:dyDescent="0.2">
      <c r="A123" s="210">
        <v>402</v>
      </c>
      <c r="B123" s="211" t="s">
        <v>259</v>
      </c>
      <c r="C123" s="209">
        <v>11</v>
      </c>
      <c r="D123" s="222">
        <v>25412.969719999997</v>
      </c>
      <c r="E123" s="222">
        <v>25977.152082291752</v>
      </c>
      <c r="F123" s="222">
        <v>27837.771649413291</v>
      </c>
      <c r="G123" s="222">
        <v>14679.466646782756</v>
      </c>
      <c r="H123" s="222">
        <v>14421.625380770956</v>
      </c>
      <c r="I123" s="222">
        <v>1766.69769</v>
      </c>
      <c r="J123" s="222">
        <v>1596.2971540000001</v>
      </c>
      <c r="K123" s="222">
        <v>1728.4384680000001</v>
      </c>
      <c r="L123" s="222">
        <v>1334.0860020000002</v>
      </c>
      <c r="M123" s="222">
        <v>1350.8669580000001</v>
      </c>
      <c r="N123" s="222">
        <v>2218.9859900000001</v>
      </c>
      <c r="O123" s="222">
        <v>2210.3751061631997</v>
      </c>
      <c r="P123" s="222">
        <v>2210.3751061631997</v>
      </c>
      <c r="Q123" s="222">
        <v>2210.3751061631997</v>
      </c>
      <c r="R123" s="222">
        <v>2210.3751061631997</v>
      </c>
      <c r="S123" s="222"/>
      <c r="T123" s="222"/>
      <c r="U123" s="222"/>
      <c r="V123" s="221"/>
      <c r="W123" s="221"/>
      <c r="X123" s="221"/>
      <c r="Y123" s="221"/>
    </row>
    <row r="124" spans="1:25" x14ac:dyDescent="0.2">
      <c r="A124" s="210">
        <v>403</v>
      </c>
      <c r="B124" s="211" t="s">
        <v>260</v>
      </c>
      <c r="C124" s="209">
        <v>14</v>
      </c>
      <c r="D124" s="222">
        <v>8037.0839699999997</v>
      </c>
      <c r="E124" s="222">
        <v>7976.3725903426675</v>
      </c>
      <c r="F124" s="222">
        <v>8325.4928197216868</v>
      </c>
      <c r="G124" s="222">
        <v>4365.9911856089948</v>
      </c>
      <c r="H124" s="222">
        <v>4299.872004145609</v>
      </c>
      <c r="I124" s="222">
        <v>982.21715000000006</v>
      </c>
      <c r="J124" s="222">
        <v>752.40539500000011</v>
      </c>
      <c r="K124" s="222">
        <v>816.2459540000001</v>
      </c>
      <c r="L124" s="222">
        <v>630.01508100000001</v>
      </c>
      <c r="M124" s="222">
        <v>637.93979900000011</v>
      </c>
      <c r="N124" s="222">
        <v>886.44160999999997</v>
      </c>
      <c r="O124" s="222">
        <v>909.57974937600011</v>
      </c>
      <c r="P124" s="222">
        <v>909.57974937600011</v>
      </c>
      <c r="Q124" s="222">
        <v>909.57974937600011</v>
      </c>
      <c r="R124" s="222">
        <v>909.57974937600011</v>
      </c>
      <c r="S124" s="222"/>
      <c r="T124" s="222"/>
      <c r="U124" s="222"/>
      <c r="V124" s="221"/>
      <c r="W124" s="221"/>
      <c r="X124" s="221"/>
      <c r="Y124" s="221"/>
    </row>
    <row r="125" spans="1:25" x14ac:dyDescent="0.2">
      <c r="A125" s="210">
        <v>405</v>
      </c>
      <c r="B125" s="211" t="s">
        <v>261</v>
      </c>
      <c r="C125" s="209">
        <v>9</v>
      </c>
      <c r="D125" s="222">
        <v>244562.14805000002</v>
      </c>
      <c r="E125" s="222">
        <v>250178.83688664829</v>
      </c>
      <c r="F125" s="222">
        <v>259403.05867450064</v>
      </c>
      <c r="G125" s="222">
        <v>135640.38327354565</v>
      </c>
      <c r="H125" s="222">
        <v>132747.69670585351</v>
      </c>
      <c r="I125" s="222">
        <v>24744.674660000001</v>
      </c>
      <c r="J125" s="222">
        <v>22355.392384999999</v>
      </c>
      <c r="K125" s="222">
        <v>24260.613408000001</v>
      </c>
      <c r="L125" s="222">
        <v>18725.424911999999</v>
      </c>
      <c r="M125" s="222">
        <v>18960.964848</v>
      </c>
      <c r="N125" s="222">
        <v>24626.3357</v>
      </c>
      <c r="O125" s="222">
        <v>25710.271690776008</v>
      </c>
      <c r="P125" s="222">
        <v>25710.271690776008</v>
      </c>
      <c r="Q125" s="222">
        <v>25710.271690776008</v>
      </c>
      <c r="R125" s="222">
        <v>25710.271690776008</v>
      </c>
      <c r="S125" s="222"/>
      <c r="T125" s="222"/>
      <c r="U125" s="222"/>
      <c r="V125" s="221"/>
      <c r="W125" s="221"/>
      <c r="X125" s="221"/>
      <c r="Y125" s="221"/>
    </row>
    <row r="126" spans="1:25" x14ac:dyDescent="0.2">
      <c r="A126" s="210">
        <v>408</v>
      </c>
      <c r="B126" s="211" t="s">
        <v>262</v>
      </c>
      <c r="C126" s="223">
        <v>14</v>
      </c>
      <c r="D126" s="222">
        <v>43334.764799999997</v>
      </c>
      <c r="E126" s="222">
        <v>44368.14793858242</v>
      </c>
      <c r="F126" s="222">
        <v>46815.407116356691</v>
      </c>
      <c r="G126" s="222">
        <v>25344.699846068244</v>
      </c>
      <c r="H126" s="222">
        <v>24821.936758628315</v>
      </c>
      <c r="I126" s="222">
        <v>2467.9442799999997</v>
      </c>
      <c r="J126" s="222">
        <v>2481.1599109999997</v>
      </c>
      <c r="K126" s="222">
        <v>2684.5613060000001</v>
      </c>
      <c r="L126" s="222">
        <v>2072.0643089999999</v>
      </c>
      <c r="M126" s="222">
        <v>2098.1280109999998</v>
      </c>
      <c r="N126" s="222">
        <v>2884.59292</v>
      </c>
      <c r="O126" s="222">
        <v>3001.9588893360001</v>
      </c>
      <c r="P126" s="222">
        <v>3001.9588893360001</v>
      </c>
      <c r="Q126" s="222">
        <v>3001.9588893360001</v>
      </c>
      <c r="R126" s="222">
        <v>3001.9588893360001</v>
      </c>
      <c r="S126" s="222"/>
      <c r="T126" s="222"/>
      <c r="U126" s="222"/>
      <c r="V126" s="221"/>
      <c r="W126" s="221"/>
      <c r="X126" s="221"/>
      <c r="Y126" s="221"/>
    </row>
    <row r="127" spans="1:25" x14ac:dyDescent="0.2">
      <c r="A127" s="210">
        <v>410</v>
      </c>
      <c r="B127" s="211" t="s">
        <v>263</v>
      </c>
      <c r="C127" s="209">
        <v>13</v>
      </c>
      <c r="D127" s="222">
        <v>60611.823950000005</v>
      </c>
      <c r="E127" s="222">
        <v>61209.254961304752</v>
      </c>
      <c r="F127" s="222">
        <v>63843.746990483953</v>
      </c>
      <c r="G127" s="222">
        <v>34329.447777021895</v>
      </c>
      <c r="H127" s="222">
        <v>33654.206484138711</v>
      </c>
      <c r="I127" s="222">
        <v>2605.83889</v>
      </c>
      <c r="J127" s="222">
        <v>2617.176833</v>
      </c>
      <c r="K127" s="222">
        <v>2837.6998519999997</v>
      </c>
      <c r="L127" s="222">
        <v>2190.2634780000003</v>
      </c>
      <c r="M127" s="222">
        <v>2217.8139620000002</v>
      </c>
      <c r="N127" s="222">
        <v>4713.23866</v>
      </c>
      <c r="O127" s="222">
        <v>4701.6528285120003</v>
      </c>
      <c r="P127" s="222">
        <v>4701.6528285120003</v>
      </c>
      <c r="Q127" s="222">
        <v>4701.6528285120003</v>
      </c>
      <c r="R127" s="222">
        <v>4701.6528285120003</v>
      </c>
      <c r="S127" s="222"/>
      <c r="T127" s="222"/>
      <c r="U127" s="222"/>
      <c r="V127" s="221"/>
      <c r="W127" s="221"/>
      <c r="X127" s="221"/>
      <c r="Y127" s="221"/>
    </row>
    <row r="128" spans="1:25" x14ac:dyDescent="0.2">
      <c r="A128" s="210">
        <v>416</v>
      </c>
      <c r="B128" s="211" t="s">
        <v>264</v>
      </c>
      <c r="C128" s="209">
        <v>9</v>
      </c>
      <c r="D128" s="222">
        <v>9242.7945799999998</v>
      </c>
      <c r="E128" s="222">
        <v>9370.7476167979057</v>
      </c>
      <c r="F128" s="222">
        <v>9708.4568447798538</v>
      </c>
      <c r="G128" s="222">
        <v>5055.1050464132941</v>
      </c>
      <c r="H128" s="222">
        <v>4966.493234807549</v>
      </c>
      <c r="I128" s="222">
        <v>519.83398999999997</v>
      </c>
      <c r="J128" s="222">
        <v>421.070582</v>
      </c>
      <c r="K128" s="222">
        <v>456.426784</v>
      </c>
      <c r="L128" s="222">
        <v>352.29057600000004</v>
      </c>
      <c r="M128" s="222">
        <v>356.72190399999994</v>
      </c>
      <c r="N128" s="222">
        <v>814.70732999999996</v>
      </c>
      <c r="O128" s="222">
        <v>820.47371596800008</v>
      </c>
      <c r="P128" s="222">
        <v>820.47371596800008</v>
      </c>
      <c r="Q128" s="222">
        <v>820.47371596800008</v>
      </c>
      <c r="R128" s="222">
        <v>820.47371596800008</v>
      </c>
      <c r="S128" s="222"/>
      <c r="T128" s="222"/>
      <c r="U128" s="222"/>
      <c r="V128" s="221"/>
      <c r="W128" s="221"/>
      <c r="X128" s="221"/>
      <c r="Y128" s="221"/>
    </row>
    <row r="129" spans="1:25" x14ac:dyDescent="0.2">
      <c r="A129" s="210">
        <v>418</v>
      </c>
      <c r="B129" s="211" t="s">
        <v>265</v>
      </c>
      <c r="C129" s="209">
        <v>6</v>
      </c>
      <c r="D129" s="222">
        <v>83967.951950000002</v>
      </c>
      <c r="E129" s="222">
        <v>84504.407994553505</v>
      </c>
      <c r="F129" s="222">
        <v>89372.694492452516</v>
      </c>
      <c r="G129" s="222">
        <v>45718.459634299383</v>
      </c>
      <c r="H129" s="222">
        <v>44182.514480192251</v>
      </c>
      <c r="I129" s="222">
        <v>4684.0476699999999</v>
      </c>
      <c r="J129" s="222">
        <v>4233.6959849999994</v>
      </c>
      <c r="K129" s="222">
        <v>4593.012256</v>
      </c>
      <c r="L129" s="222">
        <v>3545.0919840000006</v>
      </c>
      <c r="M129" s="222">
        <v>3589.6843360000007</v>
      </c>
      <c r="N129" s="222">
        <v>5313.7476999999999</v>
      </c>
      <c r="O129" s="222">
        <v>5406.1281615480011</v>
      </c>
      <c r="P129" s="222">
        <v>5406.1281615480011</v>
      </c>
      <c r="Q129" s="222">
        <v>5406.1281615480011</v>
      </c>
      <c r="R129" s="222">
        <v>5406.1281615480011</v>
      </c>
      <c r="S129" s="222"/>
      <c r="T129" s="222"/>
      <c r="U129" s="222"/>
      <c r="V129" s="221"/>
      <c r="W129" s="221"/>
      <c r="X129" s="221"/>
      <c r="Y129" s="221"/>
    </row>
    <row r="130" spans="1:25" x14ac:dyDescent="0.2">
      <c r="A130" s="210">
        <v>420</v>
      </c>
      <c r="B130" s="211" t="s">
        <v>266</v>
      </c>
      <c r="C130" s="209">
        <v>11</v>
      </c>
      <c r="D130" s="222">
        <v>27957.1685</v>
      </c>
      <c r="E130" s="222">
        <v>30267.959110067841</v>
      </c>
      <c r="F130" s="222">
        <v>30944.200845065465</v>
      </c>
      <c r="G130" s="222">
        <v>15970.783209709851</v>
      </c>
      <c r="H130" s="222">
        <v>15722.506345375696</v>
      </c>
      <c r="I130" s="222">
        <v>2820.9386199999999</v>
      </c>
      <c r="J130" s="222">
        <v>2629.9517950000004</v>
      </c>
      <c r="K130" s="222">
        <v>2851.7556440000003</v>
      </c>
      <c r="L130" s="222">
        <v>2201.1123660000003</v>
      </c>
      <c r="M130" s="222">
        <v>2228.7993140000003</v>
      </c>
      <c r="N130" s="222">
        <v>2419.77511</v>
      </c>
      <c r="O130" s="222">
        <v>2422.55707308</v>
      </c>
      <c r="P130" s="222">
        <v>2422.55707308</v>
      </c>
      <c r="Q130" s="222">
        <v>2422.55707308</v>
      </c>
      <c r="R130" s="222">
        <v>2422.55707308</v>
      </c>
      <c r="S130" s="222"/>
      <c r="T130" s="222"/>
      <c r="U130" s="222"/>
      <c r="V130" s="221"/>
      <c r="W130" s="221"/>
      <c r="X130" s="221"/>
      <c r="Y130" s="221"/>
    </row>
    <row r="131" spans="1:25" x14ac:dyDescent="0.2">
      <c r="A131" s="210">
        <v>421</v>
      </c>
      <c r="B131" s="211" t="s">
        <v>267</v>
      </c>
      <c r="C131" s="209">
        <v>16</v>
      </c>
      <c r="D131" s="222">
        <v>1885.7200500000001</v>
      </c>
      <c r="E131" s="222">
        <v>1902.4871789179178</v>
      </c>
      <c r="F131" s="222">
        <v>1996.9185960725856</v>
      </c>
      <c r="G131" s="222">
        <v>1074.4185845436009</v>
      </c>
      <c r="H131" s="222">
        <v>1042.8670458408985</v>
      </c>
      <c r="I131" s="222">
        <v>404.89283</v>
      </c>
      <c r="J131" s="222">
        <v>387.78402900000003</v>
      </c>
      <c r="K131" s="222">
        <v>420.15018400000002</v>
      </c>
      <c r="L131" s="222">
        <v>324.29067600000002</v>
      </c>
      <c r="M131" s="222">
        <v>328.36980400000004</v>
      </c>
      <c r="N131" s="222">
        <v>278.47229999999996</v>
      </c>
      <c r="O131" s="222">
        <v>273.16082457599992</v>
      </c>
      <c r="P131" s="222">
        <v>273.16082457599992</v>
      </c>
      <c r="Q131" s="222">
        <v>273.16082457599992</v>
      </c>
      <c r="R131" s="222">
        <v>273.16082457599992</v>
      </c>
      <c r="S131" s="222"/>
      <c r="T131" s="222"/>
      <c r="U131" s="222"/>
      <c r="V131" s="221"/>
      <c r="W131" s="221"/>
      <c r="X131" s="221"/>
      <c r="Y131" s="221"/>
    </row>
    <row r="132" spans="1:25" x14ac:dyDescent="0.2">
      <c r="A132" s="210">
        <v>422</v>
      </c>
      <c r="B132" s="211" t="s">
        <v>268</v>
      </c>
      <c r="C132" s="209">
        <v>12</v>
      </c>
      <c r="D132" s="222">
        <v>32294.475210000001</v>
      </c>
      <c r="E132" s="222">
        <v>31939.514349958088</v>
      </c>
      <c r="F132" s="222">
        <v>33115.188738533354</v>
      </c>
      <c r="G132" s="222">
        <v>16932.682806130517</v>
      </c>
      <c r="H132" s="222">
        <v>16758.056754143421</v>
      </c>
      <c r="I132" s="222">
        <v>5053.8045499999998</v>
      </c>
      <c r="J132" s="222">
        <v>4528.0794319999995</v>
      </c>
      <c r="K132" s="222">
        <v>4908.12201</v>
      </c>
      <c r="L132" s="222">
        <v>3788.3077649999996</v>
      </c>
      <c r="M132" s="222">
        <v>3835.9594349999998</v>
      </c>
      <c r="N132" s="222">
        <v>3282.3464100000001</v>
      </c>
      <c r="O132" s="222">
        <v>3271.7382949343996</v>
      </c>
      <c r="P132" s="222">
        <v>3271.7382949343996</v>
      </c>
      <c r="Q132" s="222">
        <v>3271.7382949343996</v>
      </c>
      <c r="R132" s="222">
        <v>3271.7382949343996</v>
      </c>
      <c r="S132" s="222"/>
      <c r="T132" s="222"/>
      <c r="U132" s="222"/>
      <c r="V132" s="221"/>
      <c r="W132" s="221"/>
      <c r="X132" s="221"/>
      <c r="Y132" s="221"/>
    </row>
    <row r="133" spans="1:25" x14ac:dyDescent="0.2">
      <c r="A133" s="210">
        <v>423</v>
      </c>
      <c r="B133" s="211" t="s">
        <v>269</v>
      </c>
      <c r="C133" s="209">
        <v>2</v>
      </c>
      <c r="D133" s="222">
        <v>68995.61834999999</v>
      </c>
      <c r="E133" s="222">
        <v>70175.186813028558</v>
      </c>
      <c r="F133" s="222">
        <v>74386.028448105659</v>
      </c>
      <c r="G133" s="222">
        <v>36035.611426062176</v>
      </c>
      <c r="H133" s="222">
        <v>34431.614376147532</v>
      </c>
      <c r="I133" s="222">
        <v>3393.2646600000003</v>
      </c>
      <c r="J133" s="222">
        <v>3683.1076429999994</v>
      </c>
      <c r="K133" s="222">
        <v>3991.2382580000003</v>
      </c>
      <c r="L133" s="222">
        <v>3080.615937</v>
      </c>
      <c r="M133" s="222">
        <v>3119.3658229999996</v>
      </c>
      <c r="N133" s="222">
        <v>3566.5522999999998</v>
      </c>
      <c r="O133" s="222">
        <v>3527.7897189455998</v>
      </c>
      <c r="P133" s="222">
        <v>3527.7897189455998</v>
      </c>
      <c r="Q133" s="222">
        <v>3527.7897189455998</v>
      </c>
      <c r="R133" s="222">
        <v>3527.7897189455998</v>
      </c>
      <c r="S133" s="222"/>
      <c r="T133" s="222"/>
      <c r="U133" s="222"/>
      <c r="V133" s="221"/>
      <c r="W133" s="221"/>
      <c r="X133" s="221"/>
      <c r="Y133" s="221"/>
    </row>
    <row r="134" spans="1:25" x14ac:dyDescent="0.2">
      <c r="A134" s="210">
        <v>425</v>
      </c>
      <c r="B134" s="211" t="s">
        <v>270</v>
      </c>
      <c r="C134" s="209">
        <v>17</v>
      </c>
      <c r="D134" s="222">
        <v>29444.623010000003</v>
      </c>
      <c r="E134" s="222">
        <v>30847.739536862784</v>
      </c>
      <c r="F134" s="222">
        <v>32440.153412121326</v>
      </c>
      <c r="G134" s="222">
        <v>17837.959976902283</v>
      </c>
      <c r="H134" s="222">
        <v>17275.952680271781</v>
      </c>
      <c r="I134" s="222">
        <v>752.48910999999998</v>
      </c>
      <c r="J134" s="222">
        <v>707.29418899999985</v>
      </c>
      <c r="K134" s="222">
        <v>767.32692799999984</v>
      </c>
      <c r="L134" s="222">
        <v>592.25719200000003</v>
      </c>
      <c r="M134" s="222">
        <v>599.70696799999996</v>
      </c>
      <c r="N134" s="222">
        <v>1187.0600099999999</v>
      </c>
      <c r="O134" s="222">
        <v>1245.3857466575998</v>
      </c>
      <c r="P134" s="222">
        <v>1245.3857466575998</v>
      </c>
      <c r="Q134" s="222">
        <v>1245.3857466575998</v>
      </c>
      <c r="R134" s="222">
        <v>1245.3857466575998</v>
      </c>
      <c r="S134" s="222"/>
      <c r="T134" s="222"/>
      <c r="U134" s="222"/>
      <c r="V134" s="221"/>
      <c r="W134" s="221"/>
      <c r="X134" s="221"/>
      <c r="Y134" s="221"/>
    </row>
    <row r="135" spans="1:25" x14ac:dyDescent="0.2">
      <c r="A135" s="210">
        <v>426</v>
      </c>
      <c r="B135" s="211" t="s">
        <v>271</v>
      </c>
      <c r="C135" s="209">
        <v>12</v>
      </c>
      <c r="D135" s="222">
        <v>36071.229549999996</v>
      </c>
      <c r="E135" s="222">
        <v>36638.513608034315</v>
      </c>
      <c r="F135" s="222">
        <v>38502.769701841549</v>
      </c>
      <c r="G135" s="222">
        <v>20743.07363814006</v>
      </c>
      <c r="H135" s="222">
        <v>20359.306238794132</v>
      </c>
      <c r="I135" s="222">
        <v>1532.9718500000001</v>
      </c>
      <c r="J135" s="222">
        <v>1335.4797110000002</v>
      </c>
      <c r="K135" s="222">
        <v>1447.3792780000003</v>
      </c>
      <c r="L135" s="222">
        <v>1117.151967</v>
      </c>
      <c r="M135" s="222">
        <v>1131.204193</v>
      </c>
      <c r="N135" s="222">
        <v>2419.39</v>
      </c>
      <c r="O135" s="222">
        <v>2376.1885331784006</v>
      </c>
      <c r="P135" s="222">
        <v>2376.1885331784006</v>
      </c>
      <c r="Q135" s="222">
        <v>2376.1885331784006</v>
      </c>
      <c r="R135" s="222">
        <v>2376.1885331784006</v>
      </c>
      <c r="S135" s="222"/>
      <c r="T135" s="222"/>
      <c r="U135" s="222"/>
      <c r="V135" s="221"/>
      <c r="W135" s="221"/>
      <c r="X135" s="221"/>
      <c r="Y135" s="221"/>
    </row>
    <row r="136" spans="1:25" x14ac:dyDescent="0.2">
      <c r="A136" s="210">
        <v>444</v>
      </c>
      <c r="B136" s="211" t="s">
        <v>272</v>
      </c>
      <c r="C136" s="209">
        <v>1</v>
      </c>
      <c r="D136" s="222">
        <v>170621.23627000002</v>
      </c>
      <c r="E136" s="222">
        <v>171790.87098792841</v>
      </c>
      <c r="F136" s="222">
        <v>180350.9889574984</v>
      </c>
      <c r="G136" s="222">
        <v>91590.682226889927</v>
      </c>
      <c r="H136" s="222">
        <v>88857.427139568346</v>
      </c>
      <c r="I136" s="222">
        <v>6612.9911199999997</v>
      </c>
      <c r="J136" s="222">
        <v>7004.5385430000006</v>
      </c>
      <c r="K136" s="222">
        <v>7592.6349059999993</v>
      </c>
      <c r="L136" s="222">
        <v>5860.3347089999997</v>
      </c>
      <c r="M136" s="222">
        <v>5934.0496109999995</v>
      </c>
      <c r="N136" s="222">
        <v>12615.873079999999</v>
      </c>
      <c r="O136" s="222">
        <v>13409.451680968801</v>
      </c>
      <c r="P136" s="222">
        <v>13409.451680968801</v>
      </c>
      <c r="Q136" s="222">
        <v>13409.451680968801</v>
      </c>
      <c r="R136" s="222">
        <v>13409.451680968801</v>
      </c>
      <c r="S136" s="222"/>
      <c r="T136" s="222"/>
      <c r="U136" s="222"/>
      <c r="V136" s="221"/>
      <c r="W136" s="221"/>
      <c r="X136" s="221"/>
      <c r="Y136" s="221"/>
    </row>
    <row r="137" spans="1:25" x14ac:dyDescent="0.2">
      <c r="A137" s="210">
        <v>430</v>
      </c>
      <c r="B137" s="211" t="s">
        <v>273</v>
      </c>
      <c r="C137" s="209">
        <v>2</v>
      </c>
      <c r="D137" s="222">
        <v>45769.437669999999</v>
      </c>
      <c r="E137" s="222">
        <v>46870.520260087374</v>
      </c>
      <c r="F137" s="222">
        <v>48245.178366924723</v>
      </c>
      <c r="G137" s="222">
        <v>24816.349789394179</v>
      </c>
      <c r="H137" s="222">
        <v>24198.754868556018</v>
      </c>
      <c r="I137" s="222">
        <v>3594.8457599999997</v>
      </c>
      <c r="J137" s="222">
        <v>3333.3119499999998</v>
      </c>
      <c r="K137" s="222">
        <v>3609.9534760000001</v>
      </c>
      <c r="L137" s="222">
        <v>2786.3233140000002</v>
      </c>
      <c r="M137" s="222">
        <v>2821.3714059999998</v>
      </c>
      <c r="N137" s="222">
        <v>4149.3594800000001</v>
      </c>
      <c r="O137" s="222">
        <v>4118.2553316719986</v>
      </c>
      <c r="P137" s="222">
        <v>4118.2553316719986</v>
      </c>
      <c r="Q137" s="222">
        <v>4118.2553316719986</v>
      </c>
      <c r="R137" s="222">
        <v>4118.2553316719986</v>
      </c>
      <c r="S137" s="222"/>
      <c r="T137" s="222"/>
      <c r="U137" s="222"/>
      <c r="V137" s="221"/>
      <c r="W137" s="221"/>
      <c r="X137" s="221"/>
      <c r="Y137" s="221"/>
    </row>
    <row r="138" spans="1:25" x14ac:dyDescent="0.2">
      <c r="A138" s="210">
        <v>433</v>
      </c>
      <c r="B138" s="211" t="s">
        <v>274</v>
      </c>
      <c r="C138" s="223">
        <v>5</v>
      </c>
      <c r="D138" s="222">
        <v>25504.035969999997</v>
      </c>
      <c r="E138" s="222">
        <v>25552.073816795633</v>
      </c>
      <c r="F138" s="222">
        <v>26765.177766997676</v>
      </c>
      <c r="G138" s="222">
        <v>14443.319233015858</v>
      </c>
      <c r="H138" s="222">
        <v>14128.241835505252</v>
      </c>
      <c r="I138" s="222">
        <v>1684.53513</v>
      </c>
      <c r="J138" s="222">
        <v>1478.8500649999999</v>
      </c>
      <c r="K138" s="222">
        <v>1602.95192</v>
      </c>
      <c r="L138" s="222">
        <v>1237.2298799999999</v>
      </c>
      <c r="M138" s="222">
        <v>1252.7925199999997</v>
      </c>
      <c r="N138" s="222">
        <v>2028.63338</v>
      </c>
      <c r="O138" s="222">
        <v>2029.1482891752</v>
      </c>
      <c r="P138" s="222">
        <v>2029.1482891752</v>
      </c>
      <c r="Q138" s="222">
        <v>2029.1482891752</v>
      </c>
      <c r="R138" s="222">
        <v>2029.1482891752</v>
      </c>
      <c r="S138" s="222"/>
      <c r="T138" s="222"/>
      <c r="U138" s="222"/>
      <c r="V138" s="221"/>
      <c r="W138" s="221"/>
      <c r="X138" s="221"/>
      <c r="Y138" s="221"/>
    </row>
    <row r="139" spans="1:25" x14ac:dyDescent="0.2">
      <c r="A139" s="210">
        <v>434</v>
      </c>
      <c r="B139" s="211" t="s">
        <v>275</v>
      </c>
      <c r="C139" s="209">
        <v>1</v>
      </c>
      <c r="D139" s="222">
        <v>47748.576139999997</v>
      </c>
      <c r="E139" s="222">
        <v>48042.652252716885</v>
      </c>
      <c r="F139" s="222">
        <v>50403.536238153436</v>
      </c>
      <c r="G139" s="222">
        <v>24630.790635611273</v>
      </c>
      <c r="H139" s="222">
        <v>23849.138116202412</v>
      </c>
      <c r="I139" s="222">
        <v>9950.1106199999995</v>
      </c>
      <c r="J139" s="222">
        <v>6404.5990030000003</v>
      </c>
      <c r="K139" s="222">
        <v>6918.1340500000006</v>
      </c>
      <c r="L139" s="222">
        <v>5339.7248250000002</v>
      </c>
      <c r="M139" s="222">
        <v>5406.8911749999997</v>
      </c>
      <c r="N139" s="222">
        <v>8252.5864999999994</v>
      </c>
      <c r="O139" s="222">
        <v>7908.6168175920011</v>
      </c>
      <c r="P139" s="222">
        <v>7908.6168175920011</v>
      </c>
      <c r="Q139" s="222">
        <v>7908.6168175920011</v>
      </c>
      <c r="R139" s="222">
        <v>7908.6168175920011</v>
      </c>
      <c r="S139" s="222"/>
      <c r="T139" s="222"/>
      <c r="U139" s="222"/>
      <c r="V139" s="221"/>
      <c r="W139" s="221"/>
      <c r="X139" s="221"/>
      <c r="Y139" s="221"/>
    </row>
    <row r="140" spans="1:25" x14ac:dyDescent="0.2">
      <c r="A140" s="210">
        <v>435</v>
      </c>
      <c r="B140" s="211" t="s">
        <v>276</v>
      </c>
      <c r="C140" s="209">
        <v>13</v>
      </c>
      <c r="D140" s="222">
        <v>1655.46325</v>
      </c>
      <c r="E140" s="222">
        <v>1654.9486945800911</v>
      </c>
      <c r="F140" s="222">
        <v>1737.5238912925129</v>
      </c>
      <c r="G140" s="222">
        <v>765.37671965352365</v>
      </c>
      <c r="H140" s="222">
        <v>742.23925691427348</v>
      </c>
      <c r="I140" s="222">
        <v>286.41287</v>
      </c>
      <c r="J140" s="222">
        <v>292.51372900000001</v>
      </c>
      <c r="K140" s="222">
        <v>317.087354</v>
      </c>
      <c r="L140" s="222">
        <v>244.74218100000002</v>
      </c>
      <c r="M140" s="222">
        <v>247.82069899999999</v>
      </c>
      <c r="N140" s="222">
        <v>494.48649</v>
      </c>
      <c r="O140" s="222">
        <v>580.34310475200004</v>
      </c>
      <c r="P140" s="222">
        <v>580.34310475200004</v>
      </c>
      <c r="Q140" s="222">
        <v>580.34310475200004</v>
      </c>
      <c r="R140" s="222">
        <v>580.34310475200004</v>
      </c>
      <c r="S140" s="222"/>
      <c r="T140" s="222"/>
      <c r="U140" s="222"/>
      <c r="V140" s="221"/>
      <c r="W140" s="221"/>
      <c r="X140" s="221"/>
      <c r="Y140" s="221"/>
    </row>
    <row r="141" spans="1:25" x14ac:dyDescent="0.2">
      <c r="A141" s="210">
        <v>436</v>
      </c>
      <c r="B141" s="211" t="s">
        <v>277</v>
      </c>
      <c r="C141" s="209">
        <v>17</v>
      </c>
      <c r="D141" s="222">
        <v>5348.9697000000006</v>
      </c>
      <c r="E141" s="222">
        <v>5427.6234489906992</v>
      </c>
      <c r="F141" s="222">
        <v>5781.7254658990396</v>
      </c>
      <c r="G141" s="222">
        <v>3028.8185906023991</v>
      </c>
      <c r="H141" s="222">
        <v>2962.5538196946513</v>
      </c>
      <c r="I141" s="222">
        <v>164.39530999999999</v>
      </c>
      <c r="J141" s="222">
        <v>161.639343</v>
      </c>
      <c r="K141" s="222">
        <v>175.36100200000004</v>
      </c>
      <c r="L141" s="222">
        <v>135.35145300000002</v>
      </c>
      <c r="M141" s="222">
        <v>137.05398700000001</v>
      </c>
      <c r="N141" s="222">
        <v>287.68020000000001</v>
      </c>
      <c r="O141" s="222">
        <v>292.537644828</v>
      </c>
      <c r="P141" s="222">
        <v>292.537644828</v>
      </c>
      <c r="Q141" s="222">
        <v>292.537644828</v>
      </c>
      <c r="R141" s="222">
        <v>292.537644828</v>
      </c>
      <c r="S141" s="222"/>
      <c r="T141" s="222"/>
      <c r="U141" s="222"/>
      <c r="V141" s="221"/>
      <c r="W141" s="221"/>
      <c r="X141" s="221"/>
      <c r="Y141" s="221"/>
    </row>
    <row r="142" spans="1:25" x14ac:dyDescent="0.2">
      <c r="A142" s="210">
        <v>440</v>
      </c>
      <c r="B142" s="211" t="s">
        <v>278</v>
      </c>
      <c r="C142" s="209">
        <v>15</v>
      </c>
      <c r="D142" s="222">
        <v>13596.19823</v>
      </c>
      <c r="E142" s="222">
        <v>14263.533957587963</v>
      </c>
      <c r="F142" s="222">
        <v>15207.571630192475</v>
      </c>
      <c r="G142" s="222">
        <v>7684.2375641873969</v>
      </c>
      <c r="H142" s="222">
        <v>7300.4148447520292</v>
      </c>
      <c r="I142" s="222">
        <v>362.07903000000005</v>
      </c>
      <c r="J142" s="222">
        <v>365.29090000000002</v>
      </c>
      <c r="K142" s="222">
        <v>395.37044400000002</v>
      </c>
      <c r="L142" s="222">
        <v>305.16456599999998</v>
      </c>
      <c r="M142" s="222">
        <v>309.00311399999998</v>
      </c>
      <c r="N142" s="222">
        <v>1026.35139</v>
      </c>
      <c r="O142" s="222">
        <v>1048.9477538616002</v>
      </c>
      <c r="P142" s="222">
        <v>1048.9477538616002</v>
      </c>
      <c r="Q142" s="222">
        <v>1048.9477538616002</v>
      </c>
      <c r="R142" s="222">
        <v>1048.9477538616002</v>
      </c>
      <c r="S142" s="222"/>
      <c r="T142" s="222"/>
      <c r="U142" s="222"/>
      <c r="V142" s="221"/>
      <c r="W142" s="221"/>
      <c r="X142" s="221"/>
      <c r="Y142" s="221"/>
    </row>
    <row r="143" spans="1:25" x14ac:dyDescent="0.2">
      <c r="A143" s="210">
        <v>441</v>
      </c>
      <c r="B143" s="211" t="s">
        <v>279</v>
      </c>
      <c r="C143" s="209">
        <v>9</v>
      </c>
      <c r="D143" s="222">
        <v>13559.216259999999</v>
      </c>
      <c r="E143" s="222">
        <v>13826.417504563144</v>
      </c>
      <c r="F143" s="222">
        <v>14493.826562636299</v>
      </c>
      <c r="G143" s="222">
        <v>7329.5628866138313</v>
      </c>
      <c r="H143" s="222">
        <v>7165.6223867124945</v>
      </c>
      <c r="I143" s="222">
        <v>2201.5585599999999</v>
      </c>
      <c r="J143" s="222">
        <v>1992.1138379999998</v>
      </c>
      <c r="K143" s="222">
        <v>2160.3355959999999</v>
      </c>
      <c r="L143" s="222">
        <v>1667.4434939999999</v>
      </c>
      <c r="M143" s="222">
        <v>1688.4176260000002</v>
      </c>
      <c r="N143" s="222">
        <v>1503.1321599999999</v>
      </c>
      <c r="O143" s="222">
        <v>1495.7157713520003</v>
      </c>
      <c r="P143" s="222">
        <v>1495.7157713520003</v>
      </c>
      <c r="Q143" s="222">
        <v>1495.7157713520003</v>
      </c>
      <c r="R143" s="222">
        <v>1495.7157713520003</v>
      </c>
      <c r="S143" s="222"/>
      <c r="T143" s="222"/>
      <c r="U143" s="222"/>
      <c r="V143" s="221"/>
      <c r="W143" s="221"/>
      <c r="X143" s="221"/>
      <c r="Y143" s="221"/>
    </row>
    <row r="144" spans="1:25" x14ac:dyDescent="0.2">
      <c r="A144" s="210">
        <v>475</v>
      </c>
      <c r="B144" s="211" t="s">
        <v>281</v>
      </c>
      <c r="C144" s="209">
        <v>15</v>
      </c>
      <c r="D144" s="222">
        <v>17026.977749999998</v>
      </c>
      <c r="E144" s="222">
        <v>17323.02102609057</v>
      </c>
      <c r="F144" s="222">
        <v>18202.298935322033</v>
      </c>
      <c r="G144" s="222">
        <v>10032.328551866942</v>
      </c>
      <c r="H144" s="222">
        <v>9805.1255420523976</v>
      </c>
      <c r="I144" s="222">
        <v>1075.21354</v>
      </c>
      <c r="J144" s="222">
        <v>1120.050158</v>
      </c>
      <c r="K144" s="222">
        <v>1214.4179980000001</v>
      </c>
      <c r="L144" s="222">
        <v>937.34204699999987</v>
      </c>
      <c r="M144" s="222">
        <v>949.1325129999999</v>
      </c>
      <c r="N144" s="222">
        <v>1387.2890300000001</v>
      </c>
      <c r="O144" s="222">
        <v>1398.7054914768</v>
      </c>
      <c r="P144" s="222">
        <v>1398.7054914768</v>
      </c>
      <c r="Q144" s="222">
        <v>1398.7054914768</v>
      </c>
      <c r="R144" s="222">
        <v>1398.7054914768</v>
      </c>
      <c r="S144" s="222"/>
      <c r="T144" s="222"/>
      <c r="U144" s="222"/>
      <c r="V144" s="221"/>
      <c r="W144" s="221"/>
      <c r="X144" s="221"/>
      <c r="Y144" s="221"/>
    </row>
    <row r="145" spans="1:25" x14ac:dyDescent="0.2">
      <c r="A145" s="210">
        <v>480</v>
      </c>
      <c r="B145" s="211" t="s">
        <v>282</v>
      </c>
      <c r="C145" s="209">
        <v>2</v>
      </c>
      <c r="D145" s="222">
        <v>5950.9563099999996</v>
      </c>
      <c r="E145" s="222">
        <v>5744.9299495580963</v>
      </c>
      <c r="F145" s="222">
        <v>6146.0565274787814</v>
      </c>
      <c r="G145" s="222">
        <v>3212.8229310933702</v>
      </c>
      <c r="H145" s="222">
        <v>3132.5661052784267</v>
      </c>
      <c r="I145" s="222">
        <v>330.49745000000001</v>
      </c>
      <c r="J145" s="222">
        <v>313.71989500000001</v>
      </c>
      <c r="K145" s="222">
        <v>339.29538999999994</v>
      </c>
      <c r="L145" s="222">
        <v>261.88333500000005</v>
      </c>
      <c r="M145" s="222">
        <v>265.17746499999998</v>
      </c>
      <c r="N145" s="222">
        <v>349.61786000000001</v>
      </c>
      <c r="O145" s="222">
        <v>355.706628384</v>
      </c>
      <c r="P145" s="222">
        <v>355.706628384</v>
      </c>
      <c r="Q145" s="222">
        <v>355.706628384</v>
      </c>
      <c r="R145" s="222">
        <v>355.706628384</v>
      </c>
      <c r="S145" s="222"/>
      <c r="T145" s="222"/>
      <c r="U145" s="222"/>
      <c r="V145" s="221"/>
      <c r="W145" s="221"/>
      <c r="X145" s="221"/>
      <c r="Y145" s="221"/>
    </row>
    <row r="146" spans="1:25" x14ac:dyDescent="0.2">
      <c r="A146" s="210">
        <v>481</v>
      </c>
      <c r="B146" s="211" t="s">
        <v>283</v>
      </c>
      <c r="C146" s="209">
        <v>2</v>
      </c>
      <c r="D146" s="222">
        <v>36933.103880000002</v>
      </c>
      <c r="E146" s="222">
        <v>37342.017922060484</v>
      </c>
      <c r="F146" s="222">
        <v>39226.486006054096</v>
      </c>
      <c r="G146" s="222">
        <v>20326.723690248291</v>
      </c>
      <c r="H146" s="222">
        <v>19645.584553746525</v>
      </c>
      <c r="I146" s="222">
        <v>1646.9233400000001</v>
      </c>
      <c r="J146" s="222">
        <v>2404.2416639999997</v>
      </c>
      <c r="K146" s="222">
        <v>2609.1482079999996</v>
      </c>
      <c r="L146" s="222">
        <v>2013.8571119999999</v>
      </c>
      <c r="M146" s="222">
        <v>2039.1886480000003</v>
      </c>
      <c r="N146" s="222">
        <v>1863.8319899999999</v>
      </c>
      <c r="O146" s="222">
        <v>1892.2028149536</v>
      </c>
      <c r="P146" s="222">
        <v>1892.2028149536</v>
      </c>
      <c r="Q146" s="222">
        <v>1892.2028149536</v>
      </c>
      <c r="R146" s="222">
        <v>1892.2028149536</v>
      </c>
      <c r="S146" s="222"/>
      <c r="T146" s="222"/>
      <c r="U146" s="222"/>
      <c r="V146" s="221"/>
      <c r="W146" s="221"/>
      <c r="X146" s="221"/>
      <c r="Y146" s="221"/>
    </row>
    <row r="147" spans="1:25" x14ac:dyDescent="0.2">
      <c r="A147" s="210">
        <v>483</v>
      </c>
      <c r="B147" s="211" t="s">
        <v>284</v>
      </c>
      <c r="C147" s="209">
        <v>17</v>
      </c>
      <c r="D147" s="222">
        <v>2267.62275</v>
      </c>
      <c r="E147" s="222">
        <v>2227.1634528956351</v>
      </c>
      <c r="F147" s="222">
        <v>2422.3638097082658</v>
      </c>
      <c r="G147" s="222">
        <v>1315.9718852574888</v>
      </c>
      <c r="H147" s="222">
        <v>1300.5644536886609</v>
      </c>
      <c r="I147" s="222">
        <v>136.155</v>
      </c>
      <c r="J147" s="222">
        <v>121.73221599999999</v>
      </c>
      <c r="K147" s="222">
        <v>131.93352400000001</v>
      </c>
      <c r="L147" s="222">
        <v>101.83218600000001</v>
      </c>
      <c r="M147" s="222">
        <v>103.113094</v>
      </c>
      <c r="N147" s="222">
        <v>202.45713000000001</v>
      </c>
      <c r="O147" s="222">
        <v>329.58247909919999</v>
      </c>
      <c r="P147" s="222">
        <v>329.58247909919999</v>
      </c>
      <c r="Q147" s="222">
        <v>329.58247909919999</v>
      </c>
      <c r="R147" s="222">
        <v>329.58247909919999</v>
      </c>
      <c r="S147" s="222"/>
      <c r="T147" s="222"/>
      <c r="U147" s="222"/>
      <c r="V147" s="221"/>
      <c r="W147" s="221"/>
      <c r="X147" s="221"/>
      <c r="Y147" s="221"/>
    </row>
    <row r="148" spans="1:25" x14ac:dyDescent="0.2">
      <c r="A148" s="210">
        <v>484</v>
      </c>
      <c r="B148" s="211" t="s">
        <v>285</v>
      </c>
      <c r="C148" s="209">
        <v>4</v>
      </c>
      <c r="D148" s="222">
        <v>7977.1304900000005</v>
      </c>
      <c r="E148" s="222">
        <v>7951.596100924241</v>
      </c>
      <c r="F148" s="222">
        <v>8128.6812017014963</v>
      </c>
      <c r="G148" s="222">
        <v>3931.5878971585375</v>
      </c>
      <c r="H148" s="222">
        <v>3831.267755890377</v>
      </c>
      <c r="I148" s="222">
        <v>788.76071000000002</v>
      </c>
      <c r="J148" s="222">
        <v>845.19643699999995</v>
      </c>
      <c r="K148" s="222">
        <v>916.80320599999993</v>
      </c>
      <c r="L148" s="222">
        <v>707.62965899999995</v>
      </c>
      <c r="M148" s="222">
        <v>716.53066100000001</v>
      </c>
      <c r="N148" s="222">
        <v>991.85788000000002</v>
      </c>
      <c r="O148" s="222">
        <v>991.86230346719981</v>
      </c>
      <c r="P148" s="222">
        <v>991.86230346719981</v>
      </c>
      <c r="Q148" s="222">
        <v>991.86230346719981</v>
      </c>
      <c r="R148" s="222">
        <v>991.86230346719981</v>
      </c>
      <c r="S148" s="222"/>
      <c r="T148" s="222"/>
      <c r="U148" s="222"/>
      <c r="V148" s="221"/>
      <c r="W148" s="221"/>
      <c r="X148" s="221"/>
      <c r="Y148" s="221"/>
    </row>
    <row r="149" spans="1:25" x14ac:dyDescent="0.2">
      <c r="A149" s="210">
        <v>489</v>
      </c>
      <c r="B149" s="211" t="s">
        <v>286</v>
      </c>
      <c r="C149" s="223">
        <v>8</v>
      </c>
      <c r="D149" s="222">
        <v>4667.1405800000002</v>
      </c>
      <c r="E149" s="222">
        <v>4528.9015992399654</v>
      </c>
      <c r="F149" s="222">
        <v>4733.9415094041378</v>
      </c>
      <c r="G149" s="222">
        <v>2365.9841445745637</v>
      </c>
      <c r="H149" s="222">
        <v>2310.2609643683659</v>
      </c>
      <c r="I149" s="222">
        <v>834.12248</v>
      </c>
      <c r="J149" s="222">
        <v>791.59489199999996</v>
      </c>
      <c r="K149" s="222">
        <v>858.43516600000009</v>
      </c>
      <c r="L149" s="222">
        <v>662.57859899999994</v>
      </c>
      <c r="M149" s="222">
        <v>670.9129210000001</v>
      </c>
      <c r="N149" s="222">
        <v>495.04477000000003</v>
      </c>
      <c r="O149" s="222">
        <v>504.93137376000004</v>
      </c>
      <c r="P149" s="222">
        <v>504.93137376000004</v>
      </c>
      <c r="Q149" s="222">
        <v>504.93137376000004</v>
      </c>
      <c r="R149" s="222">
        <v>504.93137376000004</v>
      </c>
      <c r="S149" s="222"/>
      <c r="T149" s="222"/>
      <c r="U149" s="222"/>
      <c r="V149" s="221"/>
      <c r="W149" s="221"/>
      <c r="X149" s="221"/>
      <c r="Y149" s="221"/>
    </row>
    <row r="150" spans="1:25" x14ac:dyDescent="0.2">
      <c r="A150" s="210">
        <v>491</v>
      </c>
      <c r="B150" s="211" t="s">
        <v>287</v>
      </c>
      <c r="C150" s="209">
        <v>10</v>
      </c>
      <c r="D150" s="222">
        <v>169358.38080000001</v>
      </c>
      <c r="E150" s="222">
        <v>173366.63007964846</v>
      </c>
      <c r="F150" s="222">
        <v>180334.56383139815</v>
      </c>
      <c r="G150" s="222">
        <v>92115.594287366213</v>
      </c>
      <c r="H150" s="222">
        <v>89787.769743454322</v>
      </c>
      <c r="I150" s="222">
        <v>13293.10576</v>
      </c>
      <c r="J150" s="222">
        <v>13610.844017000001</v>
      </c>
      <c r="K150" s="222">
        <v>14771.047278</v>
      </c>
      <c r="L150" s="222">
        <v>11400.953966999999</v>
      </c>
      <c r="M150" s="222">
        <v>11544.362193000001</v>
      </c>
      <c r="N150" s="222">
        <v>18947.333200000001</v>
      </c>
      <c r="O150" s="222">
        <v>19188.927898519196</v>
      </c>
      <c r="P150" s="222">
        <v>19188.927898519196</v>
      </c>
      <c r="Q150" s="222">
        <v>19188.927898519196</v>
      </c>
      <c r="R150" s="222">
        <v>19188.927898519196</v>
      </c>
      <c r="S150" s="222"/>
      <c r="T150" s="222"/>
      <c r="U150" s="222"/>
      <c r="V150" s="221"/>
      <c r="W150" s="221"/>
      <c r="X150" s="221"/>
      <c r="Y150" s="221"/>
    </row>
    <row r="151" spans="1:25" x14ac:dyDescent="0.2">
      <c r="A151" s="210">
        <v>494</v>
      </c>
      <c r="B151" s="211" t="s">
        <v>288</v>
      </c>
      <c r="C151" s="209">
        <v>17</v>
      </c>
      <c r="D151" s="222">
        <v>24970.072600000003</v>
      </c>
      <c r="E151" s="222">
        <v>26090.592648307342</v>
      </c>
      <c r="F151" s="222">
        <v>27305.473289960111</v>
      </c>
      <c r="G151" s="222">
        <v>14329.766470814862</v>
      </c>
      <c r="H151" s="222">
        <v>13993.06642883908</v>
      </c>
      <c r="I151" s="222">
        <v>1204.75899</v>
      </c>
      <c r="J151" s="222">
        <v>760.70608099999993</v>
      </c>
      <c r="K151" s="222">
        <v>818.40813000000003</v>
      </c>
      <c r="L151" s="222">
        <v>631.68394499999999</v>
      </c>
      <c r="M151" s="222">
        <v>639.62965499999996</v>
      </c>
      <c r="N151" s="222">
        <v>3661.9097099999999</v>
      </c>
      <c r="O151" s="222">
        <v>3636.4712360064</v>
      </c>
      <c r="P151" s="222">
        <v>3636.4712360064</v>
      </c>
      <c r="Q151" s="222">
        <v>3636.4712360064</v>
      </c>
      <c r="R151" s="222">
        <v>3636.4712360064</v>
      </c>
      <c r="S151" s="222"/>
      <c r="T151" s="222"/>
      <c r="U151" s="222"/>
      <c r="V151" s="221"/>
      <c r="W151" s="221"/>
      <c r="X151" s="221"/>
      <c r="Y151" s="221"/>
    </row>
    <row r="152" spans="1:25" x14ac:dyDescent="0.2">
      <c r="A152" s="210">
        <v>495</v>
      </c>
      <c r="B152" s="211" t="s">
        <v>289</v>
      </c>
      <c r="C152" s="209">
        <v>13</v>
      </c>
      <c r="D152" s="222">
        <v>3973.2375000000002</v>
      </c>
      <c r="E152" s="222">
        <v>4044.4188507984391</v>
      </c>
      <c r="F152" s="222">
        <v>4176.3960570366753</v>
      </c>
      <c r="G152" s="222">
        <v>2305.2333468501802</v>
      </c>
      <c r="H152" s="222">
        <v>2280.5969913783115</v>
      </c>
      <c r="I152" s="222">
        <v>1080.6575399999999</v>
      </c>
      <c r="J152" s="222">
        <v>1108.390412</v>
      </c>
      <c r="K152" s="222">
        <v>1201.6183940000001</v>
      </c>
      <c r="L152" s="222">
        <v>927.46274100000005</v>
      </c>
      <c r="M152" s="222">
        <v>939.12893900000017</v>
      </c>
      <c r="N152" s="222">
        <v>403.81428000000005</v>
      </c>
      <c r="O152" s="222">
        <v>398.78419366800006</v>
      </c>
      <c r="P152" s="222">
        <v>398.78419366800006</v>
      </c>
      <c r="Q152" s="222">
        <v>398.78419366800006</v>
      </c>
      <c r="R152" s="222">
        <v>398.78419366800006</v>
      </c>
      <c r="S152" s="222"/>
      <c r="T152" s="222"/>
      <c r="U152" s="222"/>
      <c r="V152" s="221"/>
      <c r="W152" s="221"/>
      <c r="X152" s="221"/>
      <c r="Y152" s="221"/>
    </row>
    <row r="153" spans="1:25" x14ac:dyDescent="0.2">
      <c r="A153" s="210">
        <v>498</v>
      </c>
      <c r="B153" s="211" t="s">
        <v>290</v>
      </c>
      <c r="C153" s="209">
        <v>19</v>
      </c>
      <c r="D153" s="222">
        <v>7044.0880800000004</v>
      </c>
      <c r="E153" s="222">
        <v>7422.5002854582917</v>
      </c>
      <c r="F153" s="222">
        <v>7507.4010078334059</v>
      </c>
      <c r="G153" s="222">
        <v>4183.5600526958633</v>
      </c>
      <c r="H153" s="222">
        <v>4095.9738459433838</v>
      </c>
      <c r="I153" s="222">
        <v>728.14525000000003</v>
      </c>
      <c r="J153" s="222">
        <v>721.72262000000001</v>
      </c>
      <c r="K153" s="222">
        <v>782.39170799999999</v>
      </c>
      <c r="L153" s="222">
        <v>603.884862</v>
      </c>
      <c r="M153" s="222">
        <v>611.48089799999991</v>
      </c>
      <c r="N153" s="222">
        <v>965.8595600000001</v>
      </c>
      <c r="O153" s="222">
        <v>941.5437839760001</v>
      </c>
      <c r="P153" s="222">
        <v>941.5437839760001</v>
      </c>
      <c r="Q153" s="222">
        <v>941.5437839760001</v>
      </c>
      <c r="R153" s="222">
        <v>941.5437839760001</v>
      </c>
      <c r="S153" s="222"/>
      <c r="T153" s="222"/>
      <c r="U153" s="222"/>
      <c r="V153" s="221"/>
      <c r="W153" s="221"/>
      <c r="X153" s="221"/>
      <c r="Y153" s="221"/>
    </row>
    <row r="154" spans="1:25" x14ac:dyDescent="0.2">
      <c r="A154" s="210">
        <v>499</v>
      </c>
      <c r="B154" s="211" t="s">
        <v>291</v>
      </c>
      <c r="C154" s="209">
        <v>15</v>
      </c>
      <c r="D154" s="222">
        <v>69596.135299999994</v>
      </c>
      <c r="E154" s="222">
        <v>69947.12500761004</v>
      </c>
      <c r="F154" s="222">
        <v>73772.156378158848</v>
      </c>
      <c r="G154" s="222">
        <v>38392.653352697547</v>
      </c>
      <c r="H154" s="222">
        <v>37268.124960140558</v>
      </c>
      <c r="I154" s="222">
        <v>2650.0315000000001</v>
      </c>
      <c r="J154" s="222">
        <v>2429.4754040000003</v>
      </c>
      <c r="K154" s="222">
        <v>2629.3304400000006</v>
      </c>
      <c r="L154" s="222">
        <v>2029.4346600000001</v>
      </c>
      <c r="M154" s="222">
        <v>2054.9621400000001</v>
      </c>
      <c r="N154" s="222">
        <v>4578.7266500000005</v>
      </c>
      <c r="O154" s="222">
        <v>4552.9041108480005</v>
      </c>
      <c r="P154" s="222">
        <v>4552.9041108480005</v>
      </c>
      <c r="Q154" s="222">
        <v>4552.9041108480005</v>
      </c>
      <c r="R154" s="222">
        <v>4552.9041108480005</v>
      </c>
      <c r="S154" s="222"/>
      <c r="T154" s="222"/>
      <c r="U154" s="222"/>
      <c r="V154" s="221"/>
      <c r="W154" s="221"/>
      <c r="X154" s="221"/>
      <c r="Y154" s="221"/>
    </row>
    <row r="155" spans="1:25" x14ac:dyDescent="0.2">
      <c r="A155" s="210">
        <v>500</v>
      </c>
      <c r="B155" s="211" t="s">
        <v>292</v>
      </c>
      <c r="C155" s="223">
        <v>13</v>
      </c>
      <c r="D155" s="222">
        <v>34204.221680000002</v>
      </c>
      <c r="E155" s="222">
        <v>35942.341061427862</v>
      </c>
      <c r="F155" s="222">
        <v>36989.489304260336</v>
      </c>
      <c r="G155" s="222">
        <v>17961.56715471618</v>
      </c>
      <c r="H155" s="222">
        <v>17220.798883696447</v>
      </c>
      <c r="I155" s="222">
        <v>2316.3331200000002</v>
      </c>
      <c r="J155" s="222">
        <v>2174.8812210000001</v>
      </c>
      <c r="K155" s="222">
        <v>2358.7819880000002</v>
      </c>
      <c r="L155" s="222">
        <v>1820.6132820000003</v>
      </c>
      <c r="M155" s="222">
        <v>1843.5140780000002</v>
      </c>
      <c r="N155" s="222">
        <v>2133.9066400000002</v>
      </c>
      <c r="O155" s="222">
        <v>2216.0421316080001</v>
      </c>
      <c r="P155" s="222">
        <v>2216.0421316080001</v>
      </c>
      <c r="Q155" s="222">
        <v>2216.0421316080001</v>
      </c>
      <c r="R155" s="222">
        <v>2216.0421316080001</v>
      </c>
      <c r="S155" s="222"/>
      <c r="T155" s="222"/>
      <c r="U155" s="222"/>
      <c r="V155" s="221"/>
      <c r="W155" s="221"/>
      <c r="X155" s="221"/>
      <c r="Y155" s="221"/>
    </row>
    <row r="156" spans="1:25" x14ac:dyDescent="0.2">
      <c r="A156" s="210">
        <v>503</v>
      </c>
      <c r="B156" s="211" t="s">
        <v>293</v>
      </c>
      <c r="C156" s="209">
        <v>2</v>
      </c>
      <c r="D156" s="222">
        <v>25159.873449999999</v>
      </c>
      <c r="E156" s="222">
        <v>25514.333257570685</v>
      </c>
      <c r="F156" s="222">
        <v>26379.342278131353</v>
      </c>
      <c r="G156" s="222">
        <v>13919.23502310068</v>
      </c>
      <c r="H156" s="222">
        <v>13574.165256099917</v>
      </c>
      <c r="I156" s="222">
        <v>1113.3808300000001</v>
      </c>
      <c r="J156" s="222">
        <v>1004.687963</v>
      </c>
      <c r="K156" s="222">
        <v>1088.3736020000001</v>
      </c>
      <c r="L156" s="222">
        <v>840.0553530000002</v>
      </c>
      <c r="M156" s="222">
        <v>850.62208700000019</v>
      </c>
      <c r="N156" s="222">
        <v>1586.66058</v>
      </c>
      <c r="O156" s="222">
        <v>1584.9068469599997</v>
      </c>
      <c r="P156" s="222">
        <v>1584.9068469599997</v>
      </c>
      <c r="Q156" s="222">
        <v>1584.9068469599997</v>
      </c>
      <c r="R156" s="222">
        <v>1584.9068469599997</v>
      </c>
      <c r="S156" s="222"/>
      <c r="T156" s="222"/>
      <c r="U156" s="222"/>
      <c r="V156" s="221"/>
      <c r="W156" s="221"/>
      <c r="X156" s="221"/>
      <c r="Y156" s="221"/>
    </row>
    <row r="157" spans="1:25" x14ac:dyDescent="0.2">
      <c r="A157" s="210">
        <v>504</v>
      </c>
      <c r="B157" s="211" t="s">
        <v>294</v>
      </c>
      <c r="C157" s="209">
        <v>1</v>
      </c>
      <c r="D157" s="222">
        <v>5514.8320700000004</v>
      </c>
      <c r="E157" s="222">
        <v>5743.7414730429537</v>
      </c>
      <c r="F157" s="222">
        <v>5977.838651993814</v>
      </c>
      <c r="G157" s="222">
        <v>3279.6402128391492</v>
      </c>
      <c r="H157" s="222">
        <v>3221.412341922382</v>
      </c>
      <c r="I157" s="222">
        <v>463.33703000000003</v>
      </c>
      <c r="J157" s="222">
        <v>445.59004300000004</v>
      </c>
      <c r="K157" s="222">
        <v>482.94681200000002</v>
      </c>
      <c r="L157" s="222">
        <v>372.75991800000003</v>
      </c>
      <c r="M157" s="222">
        <v>377.44872199999998</v>
      </c>
      <c r="N157" s="222">
        <v>399.92536000000001</v>
      </c>
      <c r="O157" s="222">
        <v>394.568696832</v>
      </c>
      <c r="P157" s="222">
        <v>394.568696832</v>
      </c>
      <c r="Q157" s="222">
        <v>394.568696832</v>
      </c>
      <c r="R157" s="222">
        <v>394.568696832</v>
      </c>
      <c r="S157" s="222"/>
      <c r="T157" s="222"/>
      <c r="U157" s="222"/>
      <c r="V157" s="221"/>
      <c r="W157" s="221"/>
      <c r="X157" s="221"/>
      <c r="Y157" s="221"/>
    </row>
    <row r="158" spans="1:25" x14ac:dyDescent="0.2">
      <c r="A158" s="210">
        <v>505</v>
      </c>
      <c r="B158" s="211" t="s">
        <v>295</v>
      </c>
      <c r="C158" s="209">
        <v>1</v>
      </c>
      <c r="D158" s="222">
        <v>71548.658660000001</v>
      </c>
      <c r="E158" s="222">
        <v>71825.512979578314</v>
      </c>
      <c r="F158" s="222">
        <v>76510.825979564368</v>
      </c>
      <c r="G158" s="222">
        <v>39256.454309812012</v>
      </c>
      <c r="H158" s="222">
        <v>37918.502531463528</v>
      </c>
      <c r="I158" s="222">
        <v>2876.5525200000002</v>
      </c>
      <c r="J158" s="222">
        <v>2861.4686549999992</v>
      </c>
      <c r="K158" s="222">
        <v>3101.7337599999996</v>
      </c>
      <c r="L158" s="222">
        <v>2394.0566399999998</v>
      </c>
      <c r="M158" s="222">
        <v>2424.17056</v>
      </c>
      <c r="N158" s="222">
        <v>6885.1703600000001</v>
      </c>
      <c r="O158" s="222">
        <v>6779.4120802320003</v>
      </c>
      <c r="P158" s="222">
        <v>6779.4120802320003</v>
      </c>
      <c r="Q158" s="222">
        <v>6779.4120802320003</v>
      </c>
      <c r="R158" s="222">
        <v>6779.4120802320003</v>
      </c>
      <c r="S158" s="222"/>
      <c r="T158" s="222"/>
      <c r="U158" s="222"/>
      <c r="V158" s="221"/>
      <c r="W158" s="221"/>
      <c r="X158" s="221"/>
      <c r="Y158" s="221"/>
    </row>
    <row r="159" spans="1:25" x14ac:dyDescent="0.2">
      <c r="A159" s="210">
        <v>508</v>
      </c>
      <c r="B159" s="211" t="s">
        <v>296</v>
      </c>
      <c r="C159" s="209">
        <v>6</v>
      </c>
      <c r="D159" s="222">
        <v>35687.24553</v>
      </c>
      <c r="E159" s="222">
        <v>35301.997600019917</v>
      </c>
      <c r="F159" s="222">
        <v>36447.110565618044</v>
      </c>
      <c r="G159" s="222">
        <v>19524.787847782725</v>
      </c>
      <c r="H159" s="222">
        <v>19291.095322172019</v>
      </c>
      <c r="I159" s="222">
        <v>1771.51496</v>
      </c>
      <c r="J159" s="222">
        <v>2156.9007930000002</v>
      </c>
      <c r="K159" s="222">
        <v>2334.4472080000005</v>
      </c>
      <c r="L159" s="222">
        <v>1801.8306120000002</v>
      </c>
      <c r="M159" s="222">
        <v>1824.495148</v>
      </c>
      <c r="N159" s="222">
        <v>3181.6765699999996</v>
      </c>
      <c r="O159" s="222">
        <v>3147.9769597679997</v>
      </c>
      <c r="P159" s="222">
        <v>3147.9769597679997</v>
      </c>
      <c r="Q159" s="222">
        <v>3147.9769597679997</v>
      </c>
      <c r="R159" s="222">
        <v>3147.9769597679997</v>
      </c>
      <c r="S159" s="222"/>
      <c r="T159" s="222"/>
      <c r="U159" s="222"/>
      <c r="V159" s="221"/>
      <c r="W159" s="221"/>
      <c r="X159" s="221"/>
      <c r="Y159" s="221"/>
    </row>
    <row r="160" spans="1:25" x14ac:dyDescent="0.2">
      <c r="A160" s="210">
        <v>507</v>
      </c>
      <c r="B160" s="211" t="s">
        <v>297</v>
      </c>
      <c r="C160" s="209">
        <v>10</v>
      </c>
      <c r="D160" s="222">
        <v>16105.32085</v>
      </c>
      <c r="E160" s="222">
        <v>16269.111130937339</v>
      </c>
      <c r="F160" s="222">
        <v>16662.30141271331</v>
      </c>
      <c r="G160" s="222">
        <v>8138.9872745426119</v>
      </c>
      <c r="H160" s="222">
        <v>7927.056583827798</v>
      </c>
      <c r="I160" s="222">
        <v>2345.9521800000002</v>
      </c>
      <c r="J160" s="222">
        <v>2287.2177219999999</v>
      </c>
      <c r="K160" s="222">
        <v>2479.3356599999997</v>
      </c>
      <c r="L160" s="222">
        <v>1913.6619899999998</v>
      </c>
      <c r="M160" s="222">
        <v>1937.7332099999996</v>
      </c>
      <c r="N160" s="222">
        <v>2567.5928900000004</v>
      </c>
      <c r="O160" s="222">
        <v>2806.3182337080002</v>
      </c>
      <c r="P160" s="222">
        <v>2806.3182337080002</v>
      </c>
      <c r="Q160" s="222">
        <v>2806.3182337080002</v>
      </c>
      <c r="R160" s="222">
        <v>2806.3182337080002</v>
      </c>
      <c r="S160" s="222"/>
      <c r="T160" s="222"/>
      <c r="U160" s="222"/>
      <c r="V160" s="221"/>
      <c r="W160" s="221"/>
      <c r="X160" s="221"/>
      <c r="Y160" s="221"/>
    </row>
    <row r="161" spans="1:25" x14ac:dyDescent="0.2">
      <c r="A161" s="210">
        <v>529</v>
      </c>
      <c r="B161" s="211" t="s">
        <v>298</v>
      </c>
      <c r="C161" s="209">
        <v>2</v>
      </c>
      <c r="D161" s="222">
        <v>71893.900680000006</v>
      </c>
      <c r="E161" s="222">
        <v>75676.714946581269</v>
      </c>
      <c r="F161" s="222">
        <v>77605.541872722664</v>
      </c>
      <c r="G161" s="222">
        <v>36246.883363278866</v>
      </c>
      <c r="H161" s="222">
        <v>34500.517764084943</v>
      </c>
      <c r="I161" s="222">
        <v>7868.2313899999999</v>
      </c>
      <c r="J161" s="222">
        <v>10079.557018</v>
      </c>
      <c r="K161" s="222">
        <v>10942.171628</v>
      </c>
      <c r="L161" s="222">
        <v>8445.656742000001</v>
      </c>
      <c r="M161" s="222">
        <v>8551.8914179999992</v>
      </c>
      <c r="N161" s="222">
        <v>6545.5617899999997</v>
      </c>
      <c r="O161" s="222">
        <v>6603.6331689120007</v>
      </c>
      <c r="P161" s="222">
        <v>6603.6331689120007</v>
      </c>
      <c r="Q161" s="222">
        <v>6603.6331689120007</v>
      </c>
      <c r="R161" s="222">
        <v>6603.6331689120007</v>
      </c>
      <c r="S161" s="222"/>
      <c r="T161" s="222"/>
      <c r="U161" s="222"/>
      <c r="V161" s="221"/>
      <c r="W161" s="221"/>
      <c r="X161" s="221"/>
      <c r="Y161" s="221"/>
    </row>
    <row r="162" spans="1:25" x14ac:dyDescent="0.2">
      <c r="A162" s="210">
        <v>531</v>
      </c>
      <c r="B162" s="211" t="s">
        <v>299</v>
      </c>
      <c r="C162" s="209">
        <v>4</v>
      </c>
      <c r="D162" s="222">
        <v>16885.4575</v>
      </c>
      <c r="E162" s="222">
        <v>17793.282321967956</v>
      </c>
      <c r="F162" s="222">
        <v>18445.6674252048</v>
      </c>
      <c r="G162" s="222">
        <v>9629.8188362649271</v>
      </c>
      <c r="H162" s="222">
        <v>9467.6206865265085</v>
      </c>
      <c r="I162" s="222">
        <v>693.74287000000004</v>
      </c>
      <c r="J162" s="222">
        <v>575.66151500000001</v>
      </c>
      <c r="K162" s="222">
        <v>621.29929600000003</v>
      </c>
      <c r="L162" s="222">
        <v>479.54654400000004</v>
      </c>
      <c r="M162" s="222">
        <v>485.57857600000006</v>
      </c>
      <c r="N162" s="222">
        <v>1340.0297700000001</v>
      </c>
      <c r="O162" s="222">
        <v>1313.1503005919999</v>
      </c>
      <c r="P162" s="222">
        <v>1313.1503005919999</v>
      </c>
      <c r="Q162" s="222">
        <v>1313.1503005919999</v>
      </c>
      <c r="R162" s="222">
        <v>1313.1503005919999</v>
      </c>
      <c r="S162" s="222"/>
      <c r="T162" s="222"/>
      <c r="U162" s="222"/>
      <c r="V162" s="221"/>
      <c r="W162" s="221"/>
      <c r="X162" s="221"/>
      <c r="Y162" s="221"/>
    </row>
    <row r="163" spans="1:25" x14ac:dyDescent="0.2">
      <c r="A163" s="210">
        <v>535</v>
      </c>
      <c r="B163" s="211" t="s">
        <v>300</v>
      </c>
      <c r="C163" s="209">
        <v>17</v>
      </c>
      <c r="D163" s="222">
        <v>27412.305079999998</v>
      </c>
      <c r="E163" s="222">
        <v>28177.208763237497</v>
      </c>
      <c r="F163" s="222">
        <v>29263.59393892693</v>
      </c>
      <c r="G163" s="222">
        <v>15863.360887075039</v>
      </c>
      <c r="H163" s="222">
        <v>15612.605033384183</v>
      </c>
      <c r="I163" s="222">
        <v>1231.7588600000001</v>
      </c>
      <c r="J163" s="222">
        <v>1157.4139230000001</v>
      </c>
      <c r="K163" s="222">
        <v>1253.488576</v>
      </c>
      <c r="L163" s="222">
        <v>967.49846400000001</v>
      </c>
      <c r="M163" s="222">
        <v>979.66825600000004</v>
      </c>
      <c r="N163" s="222">
        <v>2334.2230800000002</v>
      </c>
      <c r="O163" s="222">
        <v>2446.881579156</v>
      </c>
      <c r="P163" s="222">
        <v>2446.881579156</v>
      </c>
      <c r="Q163" s="222">
        <v>2446.881579156</v>
      </c>
      <c r="R163" s="222">
        <v>2446.881579156</v>
      </c>
      <c r="S163" s="222"/>
      <c r="T163" s="222"/>
      <c r="U163" s="222"/>
      <c r="V163" s="221"/>
      <c r="W163" s="221"/>
      <c r="X163" s="221"/>
      <c r="Y163" s="221"/>
    </row>
    <row r="164" spans="1:25" x14ac:dyDescent="0.2">
      <c r="A164" s="210">
        <v>536</v>
      </c>
      <c r="B164" s="211" t="s">
        <v>301</v>
      </c>
      <c r="C164" s="209">
        <v>6</v>
      </c>
      <c r="D164" s="222">
        <v>114222.08299</v>
      </c>
      <c r="E164" s="222">
        <v>120770.85474266743</v>
      </c>
      <c r="F164" s="222">
        <v>126379.33418283054</v>
      </c>
      <c r="G164" s="222">
        <v>63998.861372089043</v>
      </c>
      <c r="H164" s="222">
        <v>62198.909457550901</v>
      </c>
      <c r="I164" s="222">
        <v>7239.76991</v>
      </c>
      <c r="J164" s="222">
        <v>9263.4713460000021</v>
      </c>
      <c r="K164" s="222">
        <v>10058.501874000001</v>
      </c>
      <c r="L164" s="222">
        <v>7763.6009610000001</v>
      </c>
      <c r="M164" s="222">
        <v>7861.2563190000001</v>
      </c>
      <c r="N164" s="222">
        <v>8614.2804800000013</v>
      </c>
      <c r="O164" s="222">
        <v>8841.5918100119998</v>
      </c>
      <c r="P164" s="222">
        <v>8841.5918100119998</v>
      </c>
      <c r="Q164" s="222">
        <v>8841.5918100119998</v>
      </c>
      <c r="R164" s="222">
        <v>8841.5918100119998</v>
      </c>
      <c r="S164" s="222"/>
      <c r="T164" s="222"/>
      <c r="U164" s="222"/>
      <c r="V164" s="221"/>
      <c r="W164" s="221"/>
      <c r="X164" s="221"/>
      <c r="Y164" s="221"/>
    </row>
    <row r="165" spans="1:25" x14ac:dyDescent="0.2">
      <c r="A165" s="210">
        <v>538</v>
      </c>
      <c r="B165" s="211" t="s">
        <v>302</v>
      </c>
      <c r="C165" s="209">
        <v>2</v>
      </c>
      <c r="D165" s="222">
        <v>16097.820599999999</v>
      </c>
      <c r="E165" s="222">
        <v>17028.685149419947</v>
      </c>
      <c r="F165" s="222">
        <v>17781.499294541129</v>
      </c>
      <c r="G165" s="222">
        <v>9592.2727503379156</v>
      </c>
      <c r="H165" s="222">
        <v>9348.8771278951317</v>
      </c>
      <c r="I165" s="222">
        <v>462.21415999999999</v>
      </c>
      <c r="J165" s="222">
        <v>458.93018900000004</v>
      </c>
      <c r="K165" s="222">
        <v>497.05925400000001</v>
      </c>
      <c r="L165" s="222">
        <v>383.65253099999995</v>
      </c>
      <c r="M165" s="222">
        <v>388.47834899999998</v>
      </c>
      <c r="N165" s="222">
        <v>852.56156999999996</v>
      </c>
      <c r="O165" s="222">
        <v>851.24782790400013</v>
      </c>
      <c r="P165" s="222">
        <v>851.24782790400013</v>
      </c>
      <c r="Q165" s="222">
        <v>851.24782790400013</v>
      </c>
      <c r="R165" s="222">
        <v>851.24782790400013</v>
      </c>
      <c r="S165" s="222"/>
      <c r="T165" s="222"/>
      <c r="U165" s="222"/>
      <c r="V165" s="221"/>
      <c r="W165" s="221"/>
      <c r="X165" s="221"/>
      <c r="Y165" s="221"/>
    </row>
    <row r="166" spans="1:25" x14ac:dyDescent="0.2">
      <c r="A166" s="210">
        <v>541</v>
      </c>
      <c r="B166" s="211" t="s">
        <v>303</v>
      </c>
      <c r="C166" s="209">
        <v>12</v>
      </c>
      <c r="D166" s="222">
        <v>19706.26224</v>
      </c>
      <c r="E166" s="222">
        <v>19875.534053688589</v>
      </c>
      <c r="F166" s="222">
        <v>20689.423275281344</v>
      </c>
      <c r="G166" s="222">
        <v>10510.223269144361</v>
      </c>
      <c r="H166" s="222">
        <v>10347.841451333832</v>
      </c>
      <c r="I166" s="222">
        <v>2881.04495</v>
      </c>
      <c r="J166" s="222">
        <v>2607.9726379999997</v>
      </c>
      <c r="K166" s="222">
        <v>2827.158214</v>
      </c>
      <c r="L166" s="222">
        <v>2182.1269709999997</v>
      </c>
      <c r="M166" s="222">
        <v>2209.5751089999994</v>
      </c>
      <c r="N166" s="222">
        <v>1652.3687399999999</v>
      </c>
      <c r="O166" s="222">
        <v>1660.7561965032</v>
      </c>
      <c r="P166" s="222">
        <v>1660.7561965032</v>
      </c>
      <c r="Q166" s="222">
        <v>1660.7561965032</v>
      </c>
      <c r="R166" s="222">
        <v>1660.7561965032</v>
      </c>
      <c r="S166" s="222"/>
      <c r="T166" s="222"/>
      <c r="U166" s="222"/>
      <c r="V166" s="221"/>
      <c r="W166" s="221"/>
      <c r="X166" s="221"/>
      <c r="Y166" s="221"/>
    </row>
    <row r="167" spans="1:25" x14ac:dyDescent="0.2">
      <c r="A167" s="210">
        <v>543</v>
      </c>
      <c r="B167" s="211" t="s">
        <v>304</v>
      </c>
      <c r="C167" s="209">
        <v>1</v>
      </c>
      <c r="D167" s="222">
        <v>165825.21943999999</v>
      </c>
      <c r="E167" s="222">
        <v>168835.48778141674</v>
      </c>
      <c r="F167" s="222">
        <v>178706.13536300504</v>
      </c>
      <c r="G167" s="222">
        <v>86311.908723427128</v>
      </c>
      <c r="H167" s="222">
        <v>82184.722694058757</v>
      </c>
      <c r="I167" s="222">
        <v>7810.3067099999998</v>
      </c>
      <c r="J167" s="222">
        <v>7737.9631610000006</v>
      </c>
      <c r="K167" s="222">
        <v>8391.1798980000021</v>
      </c>
      <c r="L167" s="222">
        <v>6476.6873970000015</v>
      </c>
      <c r="M167" s="222">
        <v>6558.1551630000004</v>
      </c>
      <c r="N167" s="222">
        <v>8972.2028300000002</v>
      </c>
      <c r="O167" s="222">
        <v>9370.9856228352</v>
      </c>
      <c r="P167" s="222">
        <v>9370.9856228352</v>
      </c>
      <c r="Q167" s="222">
        <v>9370.9856228352</v>
      </c>
      <c r="R167" s="222">
        <v>9370.9856228352</v>
      </c>
      <c r="S167" s="222"/>
      <c r="T167" s="222"/>
      <c r="U167" s="222"/>
      <c r="V167" s="221"/>
      <c r="W167" s="221"/>
      <c r="X167" s="221"/>
      <c r="Y167" s="221"/>
    </row>
    <row r="168" spans="1:25" x14ac:dyDescent="0.2">
      <c r="A168" s="210">
        <v>545</v>
      </c>
      <c r="B168" s="211" t="s">
        <v>305</v>
      </c>
      <c r="C168" s="209">
        <v>15</v>
      </c>
      <c r="D168" s="222">
        <v>26287.722949999999</v>
      </c>
      <c r="E168" s="222">
        <v>26787.405749517598</v>
      </c>
      <c r="F168" s="222">
        <v>27851.09811390769</v>
      </c>
      <c r="G168" s="222">
        <v>15389.866297176133</v>
      </c>
      <c r="H168" s="222">
        <v>15020.267521536474</v>
      </c>
      <c r="I168" s="222">
        <v>2618.9780000000001</v>
      </c>
      <c r="J168" s="222">
        <v>2558.1146180000001</v>
      </c>
      <c r="K168" s="222">
        <v>2773.1680860000006</v>
      </c>
      <c r="L168" s="222">
        <v>2140.4549790000001</v>
      </c>
      <c r="M168" s="222">
        <v>2167.3789409999999</v>
      </c>
      <c r="N168" s="222">
        <v>2909.8216299999999</v>
      </c>
      <c r="O168" s="222">
        <v>2975.5729992000001</v>
      </c>
      <c r="P168" s="222">
        <v>2975.5729992000001</v>
      </c>
      <c r="Q168" s="222">
        <v>2975.5729992000001</v>
      </c>
      <c r="R168" s="222">
        <v>2975.5729992000001</v>
      </c>
      <c r="S168" s="222"/>
      <c r="T168" s="222"/>
      <c r="U168" s="222"/>
      <c r="V168" s="221"/>
      <c r="W168" s="221"/>
      <c r="X168" s="221"/>
      <c r="Y168" s="221"/>
    </row>
    <row r="169" spans="1:25" x14ac:dyDescent="0.2">
      <c r="A169" s="210">
        <v>560</v>
      </c>
      <c r="B169" s="211" t="s">
        <v>306</v>
      </c>
      <c r="C169" s="209">
        <v>7</v>
      </c>
      <c r="D169" s="222">
        <v>48767.957999999999</v>
      </c>
      <c r="E169" s="222">
        <v>49456.4990545275</v>
      </c>
      <c r="F169" s="222">
        <v>51420.880627852843</v>
      </c>
      <c r="G169" s="222">
        <v>26737.750467668033</v>
      </c>
      <c r="H169" s="222">
        <v>26103.864995753331</v>
      </c>
      <c r="I169" s="222">
        <v>2691.32123</v>
      </c>
      <c r="J169" s="222">
        <v>2407.0747919999999</v>
      </c>
      <c r="K169" s="222">
        <v>2604.6751240000003</v>
      </c>
      <c r="L169" s="222">
        <v>2010.4045860000001</v>
      </c>
      <c r="M169" s="222">
        <v>2035.6926940000001</v>
      </c>
      <c r="N169" s="222">
        <v>4380.4495499999994</v>
      </c>
      <c r="O169" s="222">
        <v>4305.3852743759999</v>
      </c>
      <c r="P169" s="222">
        <v>4305.3852743759999</v>
      </c>
      <c r="Q169" s="222">
        <v>4305.3852743759999</v>
      </c>
      <c r="R169" s="222">
        <v>4305.3852743759999</v>
      </c>
      <c r="S169" s="222"/>
      <c r="T169" s="222"/>
      <c r="U169" s="222"/>
      <c r="V169" s="221"/>
      <c r="W169" s="221"/>
      <c r="X169" s="221"/>
      <c r="Y169" s="221"/>
    </row>
    <row r="170" spans="1:25" x14ac:dyDescent="0.2">
      <c r="A170" s="210">
        <v>561</v>
      </c>
      <c r="B170" s="211" t="s">
        <v>307</v>
      </c>
      <c r="C170" s="209">
        <v>2</v>
      </c>
      <c r="D170" s="222">
        <v>3458.2363399999999</v>
      </c>
      <c r="E170" s="222">
        <v>3454.2097259034886</v>
      </c>
      <c r="F170" s="222">
        <v>3600.2853367171015</v>
      </c>
      <c r="G170" s="222">
        <v>1803.706746193418</v>
      </c>
      <c r="H170" s="222">
        <v>1740.1467803006856</v>
      </c>
      <c r="I170" s="222">
        <v>387.94514000000004</v>
      </c>
      <c r="J170" s="222">
        <v>362.92500699999994</v>
      </c>
      <c r="K170" s="222">
        <v>393.27583600000003</v>
      </c>
      <c r="L170" s="222">
        <v>303.54785399999997</v>
      </c>
      <c r="M170" s="222">
        <v>307.36606599999999</v>
      </c>
      <c r="N170" s="222">
        <v>327.06822999999997</v>
      </c>
      <c r="O170" s="222">
        <v>318.14979903599999</v>
      </c>
      <c r="P170" s="222">
        <v>318.14979903599999</v>
      </c>
      <c r="Q170" s="222">
        <v>318.14979903599999</v>
      </c>
      <c r="R170" s="222">
        <v>318.14979903599999</v>
      </c>
      <c r="S170" s="222"/>
      <c r="T170" s="222"/>
      <c r="U170" s="222"/>
      <c r="V170" s="221"/>
      <c r="W170" s="221"/>
      <c r="X170" s="221"/>
      <c r="Y170" s="221"/>
    </row>
    <row r="171" spans="1:25" x14ac:dyDescent="0.2">
      <c r="A171" s="210">
        <v>562</v>
      </c>
      <c r="B171" s="250" t="s">
        <v>308</v>
      </c>
      <c r="C171" s="209">
        <v>6</v>
      </c>
      <c r="D171" s="222">
        <v>28773.740329999997</v>
      </c>
      <c r="E171" s="222">
        <v>28877.33784562815</v>
      </c>
      <c r="F171" s="222">
        <v>30010.960877392808</v>
      </c>
      <c r="G171" s="222">
        <v>16636.827095321452</v>
      </c>
      <c r="H171" s="222">
        <v>16357.655258163708</v>
      </c>
      <c r="I171" s="222">
        <v>1971.6158400000002</v>
      </c>
      <c r="J171" s="222">
        <v>1933.3091939999997</v>
      </c>
      <c r="K171" s="222">
        <v>2095.9645099999998</v>
      </c>
      <c r="L171" s="222">
        <v>1617.7590149999999</v>
      </c>
      <c r="M171" s="222">
        <v>1638.108185</v>
      </c>
      <c r="N171" s="222">
        <v>3022.2186799999999</v>
      </c>
      <c r="O171" s="222">
        <v>2977.2407222520001</v>
      </c>
      <c r="P171" s="222">
        <v>2977.2407222520001</v>
      </c>
      <c r="Q171" s="222">
        <v>2977.2407222520001</v>
      </c>
      <c r="R171" s="222">
        <v>2977.2407222520001</v>
      </c>
      <c r="S171" s="222"/>
      <c r="T171" s="222"/>
      <c r="U171" s="222"/>
      <c r="V171" s="221"/>
      <c r="W171" s="221"/>
      <c r="X171" s="221"/>
      <c r="Y171" s="221"/>
    </row>
    <row r="172" spans="1:25" x14ac:dyDescent="0.2">
      <c r="A172" s="210">
        <v>563</v>
      </c>
      <c r="B172" s="211" t="s">
        <v>309</v>
      </c>
      <c r="C172" s="209">
        <v>17</v>
      </c>
      <c r="D172" s="222">
        <v>21435.77922</v>
      </c>
      <c r="E172" s="222">
        <v>21754.686664569119</v>
      </c>
      <c r="F172" s="222">
        <v>22477.345959979575</v>
      </c>
      <c r="G172" s="222">
        <v>12098.005838279831</v>
      </c>
      <c r="H172" s="222">
        <v>11890.480652142856</v>
      </c>
      <c r="I172" s="222">
        <v>1278.5369499999999</v>
      </c>
      <c r="J172" s="222">
        <v>1147.8893290000001</v>
      </c>
      <c r="K172" s="222">
        <v>1241.6732400000001</v>
      </c>
      <c r="L172" s="222">
        <v>958.37886000000015</v>
      </c>
      <c r="M172" s="222">
        <v>970.43394000000001</v>
      </c>
      <c r="N172" s="222">
        <v>1901.73713</v>
      </c>
      <c r="O172" s="222">
        <v>2022.2148890879998</v>
      </c>
      <c r="P172" s="222">
        <v>2022.2148890879998</v>
      </c>
      <c r="Q172" s="222">
        <v>2022.2148890879998</v>
      </c>
      <c r="R172" s="222">
        <v>2022.2148890879998</v>
      </c>
      <c r="S172" s="222"/>
      <c r="T172" s="222"/>
      <c r="U172" s="222"/>
      <c r="V172" s="221"/>
      <c r="W172" s="221"/>
      <c r="X172" s="221"/>
      <c r="Y172" s="221"/>
    </row>
    <row r="173" spans="1:25" x14ac:dyDescent="0.2">
      <c r="A173" s="210">
        <v>564</v>
      </c>
      <c r="B173" s="211" t="s">
        <v>310</v>
      </c>
      <c r="C173" s="209">
        <v>17</v>
      </c>
      <c r="D173" s="222">
        <v>665846.24416</v>
      </c>
      <c r="E173" s="222">
        <v>677908.6261596072</v>
      </c>
      <c r="F173" s="222">
        <v>715764.28300303512</v>
      </c>
      <c r="G173" s="222">
        <v>359938.70320594247</v>
      </c>
      <c r="H173" s="222">
        <v>346817.59325276833</v>
      </c>
      <c r="I173" s="222">
        <v>42612.019639999999</v>
      </c>
      <c r="J173" s="222">
        <v>45800.972078000006</v>
      </c>
      <c r="K173" s="222">
        <v>49636.464260000008</v>
      </c>
      <c r="L173" s="222">
        <v>38311.639889999991</v>
      </c>
      <c r="M173" s="222">
        <v>38793.547310000002</v>
      </c>
      <c r="N173" s="222">
        <v>56087.361619999996</v>
      </c>
      <c r="O173" s="222">
        <v>57023.261212411184</v>
      </c>
      <c r="P173" s="222">
        <v>57023.261212411184</v>
      </c>
      <c r="Q173" s="222">
        <v>57023.261212411184</v>
      </c>
      <c r="R173" s="222">
        <v>57023.261212411184</v>
      </c>
      <c r="S173" s="222"/>
      <c r="T173" s="222"/>
      <c r="U173" s="222"/>
      <c r="V173" s="221"/>
      <c r="W173" s="221"/>
      <c r="X173" s="221"/>
      <c r="Y173" s="221"/>
    </row>
    <row r="174" spans="1:25" x14ac:dyDescent="0.2">
      <c r="A174" s="210">
        <v>309</v>
      </c>
      <c r="B174" s="249" t="s">
        <v>311</v>
      </c>
      <c r="C174" s="209">
        <v>12</v>
      </c>
      <c r="D174" s="222">
        <v>19165.561280000002</v>
      </c>
      <c r="E174" s="222">
        <v>18879.055522049828</v>
      </c>
      <c r="F174" s="222">
        <v>19624.631157188396</v>
      </c>
      <c r="G174" s="222">
        <v>10555.863484150525</v>
      </c>
      <c r="H174" s="222">
        <v>10465.478184532532</v>
      </c>
      <c r="I174" s="222">
        <v>1435.6551000000002</v>
      </c>
      <c r="J174" s="222">
        <v>1269.557746</v>
      </c>
      <c r="K174" s="222">
        <v>1372.5839739999999</v>
      </c>
      <c r="L174" s="222">
        <v>1059.421611</v>
      </c>
      <c r="M174" s="222">
        <v>1072.7476689999999</v>
      </c>
      <c r="N174" s="222">
        <v>1763.5146100000002</v>
      </c>
      <c r="O174" s="222">
        <v>1742.4986993160001</v>
      </c>
      <c r="P174" s="222">
        <v>1742.4986993160001</v>
      </c>
      <c r="Q174" s="222">
        <v>1742.4986993160001</v>
      </c>
      <c r="R174" s="222">
        <v>1742.4986993160001</v>
      </c>
      <c r="S174" s="222"/>
      <c r="T174" s="222"/>
      <c r="U174" s="222"/>
      <c r="V174" s="221"/>
      <c r="W174" s="221"/>
      <c r="X174" s="221"/>
      <c r="Y174" s="221"/>
    </row>
    <row r="175" spans="1:25" x14ac:dyDescent="0.2">
      <c r="A175" s="210">
        <v>576</v>
      </c>
      <c r="B175" s="211" t="s">
        <v>312</v>
      </c>
      <c r="C175" s="209">
        <v>7</v>
      </c>
      <c r="D175" s="222">
        <v>7978.5055999999995</v>
      </c>
      <c r="E175" s="222">
        <v>8239.2567491431309</v>
      </c>
      <c r="F175" s="222">
        <v>8384.8958595201329</v>
      </c>
      <c r="G175" s="222">
        <v>4421.122839112395</v>
      </c>
      <c r="H175" s="222">
        <v>4342.491507035963</v>
      </c>
      <c r="I175" s="222">
        <v>1271.4629600000001</v>
      </c>
      <c r="J175" s="222">
        <v>1193.7654090000001</v>
      </c>
      <c r="K175" s="222">
        <v>1293.8604559999999</v>
      </c>
      <c r="L175" s="222">
        <v>998.65928400000007</v>
      </c>
      <c r="M175" s="222">
        <v>1011.2210360000001</v>
      </c>
      <c r="N175" s="222">
        <v>1464.82079</v>
      </c>
      <c r="O175" s="222">
        <v>1463.9436712656</v>
      </c>
      <c r="P175" s="222">
        <v>1463.9436712656</v>
      </c>
      <c r="Q175" s="222">
        <v>1463.9436712656</v>
      </c>
      <c r="R175" s="222">
        <v>1463.9436712656</v>
      </c>
      <c r="S175" s="222"/>
      <c r="T175" s="222"/>
      <c r="U175" s="222"/>
      <c r="V175" s="221"/>
      <c r="W175" s="221"/>
      <c r="X175" s="221"/>
      <c r="Y175" s="221"/>
    </row>
    <row r="176" spans="1:25" x14ac:dyDescent="0.2">
      <c r="A176" s="210">
        <v>577</v>
      </c>
      <c r="B176" s="211" t="s">
        <v>313</v>
      </c>
      <c r="C176" s="209">
        <v>2</v>
      </c>
      <c r="D176" s="222">
        <v>38295.588450000003</v>
      </c>
      <c r="E176" s="222">
        <v>38746.858059572871</v>
      </c>
      <c r="F176" s="222">
        <v>40626.706787960531</v>
      </c>
      <c r="G176" s="222">
        <v>21106.842683129475</v>
      </c>
      <c r="H176" s="222">
        <v>20488.551526573894</v>
      </c>
      <c r="I176" s="222">
        <v>1494.15814</v>
      </c>
      <c r="J176" s="222">
        <v>1317.104032</v>
      </c>
      <c r="K176" s="222">
        <v>1423.8792099999998</v>
      </c>
      <c r="L176" s="222">
        <v>1099.013565</v>
      </c>
      <c r="M176" s="222">
        <v>1112.8376350000001</v>
      </c>
      <c r="N176" s="222">
        <v>2301.5924500000001</v>
      </c>
      <c r="O176" s="222">
        <v>2437.8348627360001</v>
      </c>
      <c r="P176" s="222">
        <v>2437.8348627360001</v>
      </c>
      <c r="Q176" s="222">
        <v>2437.8348627360001</v>
      </c>
      <c r="R176" s="222">
        <v>2437.8348627360001</v>
      </c>
      <c r="S176" s="222"/>
      <c r="T176" s="222"/>
      <c r="U176" s="222"/>
      <c r="V176" s="221"/>
      <c r="W176" s="221"/>
      <c r="X176" s="221"/>
      <c r="Y176" s="221"/>
    </row>
    <row r="177" spans="1:25" x14ac:dyDescent="0.2">
      <c r="A177" s="210">
        <v>578</v>
      </c>
      <c r="B177" s="250" t="s">
        <v>314</v>
      </c>
      <c r="C177" s="209">
        <v>18</v>
      </c>
      <c r="D177" s="222">
        <v>9355.8975399999999</v>
      </c>
      <c r="E177" s="222">
        <v>9289.3526991262734</v>
      </c>
      <c r="F177" s="222">
        <v>9606.6923319057623</v>
      </c>
      <c r="G177" s="222">
        <v>5267.4299741400355</v>
      </c>
      <c r="H177" s="222">
        <v>5205.6246781752716</v>
      </c>
      <c r="I177" s="222">
        <v>672.88525000000004</v>
      </c>
      <c r="J177" s="222">
        <v>607.36387900000011</v>
      </c>
      <c r="K177" s="222">
        <v>657.45476800000017</v>
      </c>
      <c r="L177" s="222">
        <v>507.45295199999998</v>
      </c>
      <c r="M177" s="222">
        <v>513.83600799999999</v>
      </c>
      <c r="N177" s="222">
        <v>1287.84989</v>
      </c>
      <c r="O177" s="222">
        <v>1264.528154592</v>
      </c>
      <c r="P177" s="222">
        <v>1264.528154592</v>
      </c>
      <c r="Q177" s="222">
        <v>1264.528154592</v>
      </c>
      <c r="R177" s="222">
        <v>1264.528154592</v>
      </c>
      <c r="S177" s="222"/>
      <c r="T177" s="222"/>
      <c r="U177" s="222"/>
      <c r="V177" s="221"/>
      <c r="W177" s="221"/>
      <c r="X177" s="221"/>
      <c r="Y177" s="221"/>
    </row>
    <row r="178" spans="1:25" x14ac:dyDescent="0.2">
      <c r="A178" s="210">
        <v>445</v>
      </c>
      <c r="B178" s="211" t="s">
        <v>129</v>
      </c>
      <c r="C178" s="209">
        <v>2</v>
      </c>
      <c r="D178" s="222">
        <v>54789.26513</v>
      </c>
      <c r="E178" s="222">
        <v>55690.686352577839</v>
      </c>
      <c r="F178" s="222">
        <v>57621.500350546361</v>
      </c>
      <c r="G178" s="222">
        <v>28220.104462055548</v>
      </c>
      <c r="H178" s="222">
        <v>27236.269270938279</v>
      </c>
      <c r="I178" s="222">
        <v>2254.31277</v>
      </c>
      <c r="J178" s="222">
        <v>2361.82339</v>
      </c>
      <c r="K178" s="222">
        <v>2548.51458</v>
      </c>
      <c r="L178" s="222">
        <v>1967.05737</v>
      </c>
      <c r="M178" s="222">
        <v>1991.8002299999998</v>
      </c>
      <c r="N178" s="222">
        <v>9189.9608499999995</v>
      </c>
      <c r="O178" s="222">
        <v>9185.1182282928003</v>
      </c>
      <c r="P178" s="222">
        <v>9185.1182282928003</v>
      </c>
      <c r="Q178" s="222">
        <v>9185.1182282928003</v>
      </c>
      <c r="R178" s="222">
        <v>9185.1182282928003</v>
      </c>
      <c r="S178" s="222"/>
      <c r="T178" s="222"/>
      <c r="U178" s="222"/>
      <c r="V178" s="221"/>
      <c r="W178" s="221"/>
      <c r="X178" s="221"/>
      <c r="Y178" s="221"/>
    </row>
    <row r="179" spans="1:25" x14ac:dyDescent="0.2">
      <c r="A179" s="210">
        <v>580</v>
      </c>
      <c r="B179" s="211" t="s">
        <v>315</v>
      </c>
      <c r="C179" s="209">
        <v>9</v>
      </c>
      <c r="D179" s="222">
        <v>12734.162900000001</v>
      </c>
      <c r="E179" s="222">
        <v>12496.985021109243</v>
      </c>
      <c r="F179" s="222">
        <v>12997.755848272991</v>
      </c>
      <c r="G179" s="222">
        <v>6181.5891475872313</v>
      </c>
      <c r="H179" s="222">
        <v>6017.4937280153699</v>
      </c>
      <c r="I179" s="222">
        <v>1747.5066399999998</v>
      </c>
      <c r="J179" s="222">
        <v>1442.566963</v>
      </c>
      <c r="K179" s="222">
        <v>1564.6441600000001</v>
      </c>
      <c r="L179" s="222">
        <v>1207.6622400000001</v>
      </c>
      <c r="M179" s="222">
        <v>1222.8529599999999</v>
      </c>
      <c r="N179" s="222">
        <v>1332.454</v>
      </c>
      <c r="O179" s="222">
        <v>1360.2372609599997</v>
      </c>
      <c r="P179" s="222">
        <v>1360.2372609599997</v>
      </c>
      <c r="Q179" s="222">
        <v>1360.2372609599997</v>
      </c>
      <c r="R179" s="222">
        <v>1360.2372609599997</v>
      </c>
      <c r="S179" s="222"/>
      <c r="T179" s="222"/>
      <c r="U179" s="222"/>
      <c r="V179" s="221"/>
      <c r="W179" s="221"/>
      <c r="X179" s="221"/>
      <c r="Y179" s="221"/>
    </row>
    <row r="180" spans="1:25" x14ac:dyDescent="0.2">
      <c r="A180" s="210">
        <v>581</v>
      </c>
      <c r="B180" s="211" t="s">
        <v>316</v>
      </c>
      <c r="C180" s="209">
        <v>6</v>
      </c>
      <c r="D180" s="222">
        <v>18015.019420000001</v>
      </c>
      <c r="E180" s="222">
        <v>18905.040671234157</v>
      </c>
      <c r="F180" s="222">
        <v>20091.755422163096</v>
      </c>
      <c r="G180" s="222">
        <v>10883.000854404769</v>
      </c>
      <c r="H180" s="222">
        <v>10779.973107803535</v>
      </c>
      <c r="I180" s="222">
        <v>2180.8150900000001</v>
      </c>
      <c r="J180" s="222">
        <v>2081.1693610000002</v>
      </c>
      <c r="K180" s="222">
        <v>2253.4787020000003</v>
      </c>
      <c r="L180" s="222">
        <v>1739.335503</v>
      </c>
      <c r="M180" s="222">
        <v>1761.2139370000002</v>
      </c>
      <c r="N180" s="222">
        <v>1868.0352800000001</v>
      </c>
      <c r="O180" s="222">
        <v>1906.9952579256001</v>
      </c>
      <c r="P180" s="222">
        <v>1906.9952579256001</v>
      </c>
      <c r="Q180" s="222">
        <v>1906.9952579256001</v>
      </c>
      <c r="R180" s="222">
        <v>1906.9952579256001</v>
      </c>
      <c r="S180" s="222"/>
      <c r="T180" s="222"/>
      <c r="U180" s="222"/>
      <c r="V180" s="221"/>
      <c r="W180" s="221"/>
      <c r="X180" s="221"/>
      <c r="Y180" s="221"/>
    </row>
    <row r="181" spans="1:25" x14ac:dyDescent="0.2">
      <c r="A181" s="210">
        <v>599</v>
      </c>
      <c r="B181" s="211" t="s">
        <v>130</v>
      </c>
      <c r="C181" s="209">
        <v>15</v>
      </c>
      <c r="D181" s="222">
        <v>30169.19296</v>
      </c>
      <c r="E181" s="222">
        <v>30814.15385699493</v>
      </c>
      <c r="F181" s="222">
        <v>32441.212996172959</v>
      </c>
      <c r="G181" s="222">
        <v>17270.608867099123</v>
      </c>
      <c r="H181" s="222">
        <v>16635.377777485675</v>
      </c>
      <c r="I181" s="222">
        <v>3209.7008900000001</v>
      </c>
      <c r="J181" s="222">
        <v>2724.5949439999999</v>
      </c>
      <c r="K181" s="222">
        <v>2954.3912299999997</v>
      </c>
      <c r="L181" s="222">
        <v>2280.331095</v>
      </c>
      <c r="M181" s="222">
        <v>2309.0145049999996</v>
      </c>
      <c r="N181" s="222">
        <v>2183.7284500000001</v>
      </c>
      <c r="O181" s="222">
        <v>2192.1265373592</v>
      </c>
      <c r="P181" s="222">
        <v>2192.1265373592</v>
      </c>
      <c r="Q181" s="222">
        <v>2192.1265373592</v>
      </c>
      <c r="R181" s="222">
        <v>2192.1265373592</v>
      </c>
      <c r="S181" s="222"/>
      <c r="T181" s="222"/>
      <c r="U181" s="222"/>
      <c r="V181" s="221"/>
      <c r="W181" s="221"/>
      <c r="X181" s="221"/>
      <c r="Y181" s="221"/>
    </row>
    <row r="182" spans="1:25" x14ac:dyDescent="0.2">
      <c r="A182" s="210">
        <v>583</v>
      </c>
      <c r="B182" s="211" t="s">
        <v>317</v>
      </c>
      <c r="C182" s="209">
        <v>19</v>
      </c>
      <c r="D182" s="222">
        <v>2883.4213</v>
      </c>
      <c r="E182" s="222">
        <v>2911.1268730333986</v>
      </c>
      <c r="F182" s="222">
        <v>3009.9654300697671</v>
      </c>
      <c r="G182" s="222">
        <v>1694.0808697902933</v>
      </c>
      <c r="H182" s="222">
        <v>1679.2287798448319</v>
      </c>
      <c r="I182" s="222">
        <v>342.74261999999999</v>
      </c>
      <c r="J182" s="222">
        <v>357.29513499999996</v>
      </c>
      <c r="K182" s="222">
        <v>387.02455999999995</v>
      </c>
      <c r="L182" s="222">
        <v>298.72284000000002</v>
      </c>
      <c r="M182" s="222">
        <v>302.48036000000002</v>
      </c>
      <c r="N182" s="222">
        <v>1750.7433100000001</v>
      </c>
      <c r="O182" s="222">
        <v>1973.3264534999998</v>
      </c>
      <c r="P182" s="222">
        <v>1973.3264534999998</v>
      </c>
      <c r="Q182" s="222">
        <v>1973.3264534999998</v>
      </c>
      <c r="R182" s="222">
        <v>1973.3264534999998</v>
      </c>
      <c r="S182" s="222"/>
      <c r="T182" s="222"/>
      <c r="U182" s="222"/>
      <c r="V182" s="221"/>
      <c r="W182" s="221"/>
      <c r="X182" s="221"/>
      <c r="Y182" s="221"/>
    </row>
    <row r="183" spans="1:25" x14ac:dyDescent="0.2">
      <c r="A183" s="210">
        <v>854</v>
      </c>
      <c r="B183" s="211" t="s">
        <v>318</v>
      </c>
      <c r="C183" s="209">
        <v>19</v>
      </c>
      <c r="D183" s="222">
        <v>9553.7059200000003</v>
      </c>
      <c r="E183" s="222">
        <v>10298.272122670742</v>
      </c>
      <c r="F183" s="222">
        <v>10561.885051818241</v>
      </c>
      <c r="G183" s="222">
        <v>5544.5122287331596</v>
      </c>
      <c r="H183" s="222">
        <v>5449.0912039081722</v>
      </c>
      <c r="I183" s="222">
        <v>790.90445999999997</v>
      </c>
      <c r="J183" s="222">
        <v>788.29800799999998</v>
      </c>
      <c r="K183" s="222">
        <v>852.34374600000001</v>
      </c>
      <c r="L183" s="222">
        <v>657.87696899999992</v>
      </c>
      <c r="M183" s="222">
        <v>666.15215100000012</v>
      </c>
      <c r="N183" s="222">
        <v>745.52422999999999</v>
      </c>
      <c r="O183" s="222">
        <v>734.90157125520011</v>
      </c>
      <c r="P183" s="222">
        <v>734.90157125520011</v>
      </c>
      <c r="Q183" s="222">
        <v>734.90157125520011</v>
      </c>
      <c r="R183" s="222">
        <v>734.90157125520011</v>
      </c>
      <c r="S183" s="222"/>
      <c r="T183" s="222"/>
      <c r="U183" s="222"/>
      <c r="V183" s="221"/>
      <c r="W183" s="221"/>
      <c r="X183" s="221"/>
      <c r="Y183" s="221"/>
    </row>
    <row r="184" spans="1:25" x14ac:dyDescent="0.2">
      <c r="A184" s="210">
        <v>584</v>
      </c>
      <c r="B184" s="211" t="s">
        <v>319</v>
      </c>
      <c r="C184" s="209">
        <v>16</v>
      </c>
      <c r="D184" s="222">
        <v>6568.9061799999999</v>
      </c>
      <c r="E184" s="222">
        <v>6584.2089389153334</v>
      </c>
      <c r="F184" s="222">
        <v>6856.5190346641248</v>
      </c>
      <c r="G184" s="222">
        <v>3704.9464031054245</v>
      </c>
      <c r="H184" s="222">
        <v>3651.791758000853</v>
      </c>
      <c r="I184" s="222">
        <v>650.13243</v>
      </c>
      <c r="J184" s="222">
        <v>630.84413400000005</v>
      </c>
      <c r="K184" s="222">
        <v>683.25668000000007</v>
      </c>
      <c r="L184" s="222">
        <v>527.36802</v>
      </c>
      <c r="M184" s="222">
        <v>534.00157999999999</v>
      </c>
      <c r="N184" s="222">
        <v>582.60734000000002</v>
      </c>
      <c r="O184" s="222">
        <v>733.02396395520009</v>
      </c>
      <c r="P184" s="222">
        <v>733.02396395520009</v>
      </c>
      <c r="Q184" s="222">
        <v>733.02396395520009</v>
      </c>
      <c r="R184" s="222">
        <v>733.02396395520009</v>
      </c>
      <c r="S184" s="222"/>
      <c r="T184" s="222"/>
      <c r="U184" s="222"/>
      <c r="V184" s="221"/>
      <c r="W184" s="221"/>
      <c r="X184" s="221"/>
      <c r="Y184" s="221"/>
    </row>
    <row r="185" spans="1:25" x14ac:dyDescent="0.2">
      <c r="A185" s="210">
        <v>588</v>
      </c>
      <c r="B185" s="211" t="s">
        <v>320</v>
      </c>
      <c r="C185" s="209">
        <v>10</v>
      </c>
      <c r="D185" s="222">
        <v>4125.61348</v>
      </c>
      <c r="E185" s="222">
        <v>4000.2127496802291</v>
      </c>
      <c r="F185" s="222">
        <v>4329.0229375730887</v>
      </c>
      <c r="G185" s="222">
        <v>2321.5082304546718</v>
      </c>
      <c r="H185" s="222">
        <v>2288.0439251015914</v>
      </c>
      <c r="I185" s="222">
        <v>841.29856999999993</v>
      </c>
      <c r="J185" s="222">
        <v>813.64333499999998</v>
      </c>
      <c r="K185" s="222">
        <v>882.48958000000005</v>
      </c>
      <c r="L185" s="222">
        <v>681.14486999999997</v>
      </c>
      <c r="M185" s="222">
        <v>689.71272999999997</v>
      </c>
      <c r="N185" s="222">
        <v>812.99468000000002</v>
      </c>
      <c r="O185" s="222">
        <v>813.77501591999999</v>
      </c>
      <c r="P185" s="222">
        <v>813.77501591999999</v>
      </c>
      <c r="Q185" s="222">
        <v>813.77501591999999</v>
      </c>
      <c r="R185" s="222">
        <v>813.77501591999999</v>
      </c>
      <c r="S185" s="222"/>
      <c r="T185" s="222"/>
      <c r="U185" s="222"/>
      <c r="V185" s="221"/>
      <c r="W185" s="221"/>
      <c r="X185" s="221"/>
      <c r="Y185" s="221"/>
    </row>
    <row r="186" spans="1:25" x14ac:dyDescent="0.2">
      <c r="A186" s="210">
        <v>592</v>
      </c>
      <c r="B186" s="211" t="s">
        <v>321</v>
      </c>
      <c r="C186" s="209">
        <v>13</v>
      </c>
      <c r="D186" s="222">
        <v>11046.083929999999</v>
      </c>
      <c r="E186" s="222">
        <v>11374.205784483829</v>
      </c>
      <c r="F186" s="222">
        <v>11816.744464649068</v>
      </c>
      <c r="G186" s="222">
        <v>6411.830906840828</v>
      </c>
      <c r="H186" s="222">
        <v>6327.8014131374166</v>
      </c>
      <c r="I186" s="222">
        <v>1081.2243600000002</v>
      </c>
      <c r="J186" s="222">
        <v>1193.1470310000002</v>
      </c>
      <c r="K186" s="222">
        <v>1295.7418540000001</v>
      </c>
      <c r="L186" s="222">
        <v>1000.1114309999999</v>
      </c>
      <c r="M186" s="222">
        <v>1012.691449</v>
      </c>
      <c r="N186" s="222">
        <v>881.90606000000002</v>
      </c>
      <c r="O186" s="222">
        <v>933.4847575560002</v>
      </c>
      <c r="P186" s="222">
        <v>933.4847575560002</v>
      </c>
      <c r="Q186" s="222">
        <v>933.4847575560002</v>
      </c>
      <c r="R186" s="222">
        <v>933.4847575560002</v>
      </c>
      <c r="S186" s="222"/>
      <c r="T186" s="222"/>
      <c r="U186" s="222"/>
      <c r="V186" s="221"/>
      <c r="W186" s="221"/>
      <c r="X186" s="221"/>
      <c r="Y186" s="221"/>
    </row>
    <row r="187" spans="1:25" x14ac:dyDescent="0.2">
      <c r="A187" s="210">
        <v>593</v>
      </c>
      <c r="B187" s="211" t="s">
        <v>322</v>
      </c>
      <c r="C187" s="209">
        <v>10</v>
      </c>
      <c r="D187" s="222">
        <v>58000.089070000002</v>
      </c>
      <c r="E187" s="222">
        <v>58827.039503181484</v>
      </c>
      <c r="F187" s="222">
        <v>60339.0024309562</v>
      </c>
      <c r="G187" s="222">
        <v>32912.274907777748</v>
      </c>
      <c r="H187" s="222">
        <v>32525.799972330107</v>
      </c>
      <c r="I187" s="222">
        <v>4818.1155899999994</v>
      </c>
      <c r="J187" s="222">
        <v>4588.191765999999</v>
      </c>
      <c r="K187" s="222">
        <v>4969.053719999999</v>
      </c>
      <c r="L187" s="222">
        <v>3835.3375799999999</v>
      </c>
      <c r="M187" s="222">
        <v>3883.5808199999997</v>
      </c>
      <c r="N187" s="222">
        <v>4151.7706600000001</v>
      </c>
      <c r="O187" s="222">
        <v>4229.9622667440008</v>
      </c>
      <c r="P187" s="222">
        <v>4229.9622667440008</v>
      </c>
      <c r="Q187" s="222">
        <v>4229.9622667440008</v>
      </c>
      <c r="R187" s="222">
        <v>4229.9622667440008</v>
      </c>
      <c r="S187" s="222"/>
      <c r="T187" s="222"/>
      <c r="U187" s="222"/>
      <c r="V187" s="221"/>
      <c r="W187" s="221"/>
      <c r="X187" s="221"/>
      <c r="Y187" s="221"/>
    </row>
    <row r="188" spans="1:25" x14ac:dyDescent="0.2">
      <c r="A188" s="210">
        <v>595</v>
      </c>
      <c r="B188" s="211" t="s">
        <v>323</v>
      </c>
      <c r="C188" s="209">
        <v>11</v>
      </c>
      <c r="D188" s="222">
        <v>10347.824460000002</v>
      </c>
      <c r="E188" s="222">
        <v>10925.634530044385</v>
      </c>
      <c r="F188" s="222">
        <v>11437.423744322063</v>
      </c>
      <c r="G188" s="222">
        <v>6264.9045805374162</v>
      </c>
      <c r="H188" s="222">
        <v>6188.2074645961247</v>
      </c>
      <c r="I188" s="222">
        <v>1534.2822800000001</v>
      </c>
      <c r="J188" s="222">
        <v>1469.865464</v>
      </c>
      <c r="K188" s="222">
        <v>1592.2458939999997</v>
      </c>
      <c r="L188" s="222">
        <v>1228.9664909999999</v>
      </c>
      <c r="M188" s="222">
        <v>1244.425189</v>
      </c>
      <c r="N188" s="222">
        <v>1178.2240400000001</v>
      </c>
      <c r="O188" s="222">
        <v>1168.5977441639998</v>
      </c>
      <c r="P188" s="222">
        <v>1168.5977441639998</v>
      </c>
      <c r="Q188" s="222">
        <v>1168.5977441639998</v>
      </c>
      <c r="R188" s="222">
        <v>1168.5977441639998</v>
      </c>
      <c r="S188" s="222"/>
      <c r="T188" s="222"/>
      <c r="U188" s="222"/>
      <c r="V188" s="221"/>
      <c r="W188" s="221"/>
      <c r="X188" s="221"/>
      <c r="Y188" s="221"/>
    </row>
    <row r="189" spans="1:25" x14ac:dyDescent="0.2">
      <c r="A189" s="210">
        <v>598</v>
      </c>
      <c r="B189" s="211" t="s">
        <v>324</v>
      </c>
      <c r="C189" s="209">
        <v>15</v>
      </c>
      <c r="D189" s="222">
        <v>66694.296650000004</v>
      </c>
      <c r="E189" s="222">
        <v>68689.789935565554</v>
      </c>
      <c r="F189" s="222">
        <v>70827.521335912068</v>
      </c>
      <c r="G189" s="222">
        <v>37676.699036686048</v>
      </c>
      <c r="H189" s="222">
        <v>36874.004861883543</v>
      </c>
      <c r="I189" s="222">
        <v>5922.0047000000004</v>
      </c>
      <c r="J189" s="222">
        <v>6428.9670779999997</v>
      </c>
      <c r="K189" s="222">
        <v>6976.2800220000008</v>
      </c>
      <c r="L189" s="222">
        <v>5384.6044829999992</v>
      </c>
      <c r="M189" s="222">
        <v>5452.3353570000008</v>
      </c>
      <c r="N189" s="222">
        <v>5118.64318</v>
      </c>
      <c r="O189" s="222">
        <v>5816.3620168559992</v>
      </c>
      <c r="P189" s="222">
        <v>5816.3620168559992</v>
      </c>
      <c r="Q189" s="222">
        <v>5816.3620168559992</v>
      </c>
      <c r="R189" s="222">
        <v>5816.3620168559992</v>
      </c>
      <c r="S189" s="222"/>
      <c r="T189" s="222"/>
      <c r="U189" s="222"/>
      <c r="V189" s="221"/>
      <c r="W189" s="221"/>
      <c r="X189" s="221"/>
      <c r="Y189" s="221"/>
    </row>
    <row r="190" spans="1:25" x14ac:dyDescent="0.2">
      <c r="A190" s="210">
        <v>601</v>
      </c>
      <c r="B190" s="211" t="s">
        <v>325</v>
      </c>
      <c r="C190" s="209">
        <v>13</v>
      </c>
      <c r="D190" s="222">
        <v>9872.0114900000008</v>
      </c>
      <c r="E190" s="222">
        <v>9709.1612398106899</v>
      </c>
      <c r="F190" s="222">
        <v>10155.764913225377</v>
      </c>
      <c r="G190" s="222">
        <v>5322.1528537663571</v>
      </c>
      <c r="H190" s="222">
        <v>5248.9454181232395</v>
      </c>
      <c r="I190" s="222">
        <v>1628.50253</v>
      </c>
      <c r="J190" s="222">
        <v>1601.416962</v>
      </c>
      <c r="K190" s="222">
        <v>1735.5930539999999</v>
      </c>
      <c r="L190" s="222">
        <v>1339.6082309999999</v>
      </c>
      <c r="M190" s="222">
        <v>1356.4586489999999</v>
      </c>
      <c r="N190" s="222">
        <v>934.65691000000004</v>
      </c>
      <c r="O190" s="222">
        <v>933.53293823039996</v>
      </c>
      <c r="P190" s="222">
        <v>933.53293823039996</v>
      </c>
      <c r="Q190" s="222">
        <v>933.53293823039996</v>
      </c>
      <c r="R190" s="222">
        <v>933.53293823039996</v>
      </c>
      <c r="S190" s="222"/>
      <c r="T190" s="222"/>
      <c r="U190" s="222"/>
      <c r="V190" s="221"/>
      <c r="W190" s="221"/>
      <c r="X190" s="221"/>
      <c r="Y190" s="221"/>
    </row>
    <row r="191" spans="1:25" x14ac:dyDescent="0.2">
      <c r="A191" s="210">
        <v>604</v>
      </c>
      <c r="B191" s="211" t="s">
        <v>326</v>
      </c>
      <c r="C191" s="209">
        <v>6</v>
      </c>
      <c r="D191" s="222">
        <v>76540.905360000004</v>
      </c>
      <c r="E191" s="222">
        <v>78185.654229367341</v>
      </c>
      <c r="F191" s="222">
        <v>83449.418281127699</v>
      </c>
      <c r="G191" s="222">
        <v>42146.702264304928</v>
      </c>
      <c r="H191" s="222">
        <v>40139.286959667807</v>
      </c>
      <c r="I191" s="222">
        <v>3742.9185699999998</v>
      </c>
      <c r="J191" s="222">
        <v>3918.965976</v>
      </c>
      <c r="K191" s="222">
        <v>4254.4471359999998</v>
      </c>
      <c r="L191" s="222">
        <v>3283.7723039999996</v>
      </c>
      <c r="M191" s="222">
        <v>3325.0776159999996</v>
      </c>
      <c r="N191" s="222">
        <v>5163.9970899999998</v>
      </c>
      <c r="O191" s="222">
        <v>5249.3544658319988</v>
      </c>
      <c r="P191" s="222">
        <v>5249.3544658319988</v>
      </c>
      <c r="Q191" s="222">
        <v>5249.3544658319988</v>
      </c>
      <c r="R191" s="222">
        <v>5249.3544658319988</v>
      </c>
      <c r="S191" s="222"/>
      <c r="T191" s="222"/>
      <c r="U191" s="222"/>
      <c r="V191" s="221"/>
      <c r="W191" s="221"/>
      <c r="X191" s="221"/>
      <c r="Y191" s="221"/>
    </row>
    <row r="192" spans="1:25" x14ac:dyDescent="0.2">
      <c r="A192" s="210">
        <v>607</v>
      </c>
      <c r="B192" s="211" t="s">
        <v>327</v>
      </c>
      <c r="C192" s="209">
        <v>12</v>
      </c>
      <c r="D192" s="222">
        <v>9965.655279999999</v>
      </c>
      <c r="E192" s="222">
        <v>9878.4817339437432</v>
      </c>
      <c r="F192" s="222">
        <v>10389.073614104796</v>
      </c>
      <c r="G192" s="222">
        <v>5276.3982231400169</v>
      </c>
      <c r="H192" s="222">
        <v>5164.0364921288337</v>
      </c>
      <c r="I192" s="222">
        <v>1240.76352</v>
      </c>
      <c r="J192" s="222">
        <v>1332.9338729999999</v>
      </c>
      <c r="K192" s="222">
        <v>1446.7967100000001</v>
      </c>
      <c r="L192" s="222">
        <v>1116.7023149999998</v>
      </c>
      <c r="M192" s="222">
        <v>1130.7488849999997</v>
      </c>
      <c r="N192" s="222">
        <v>908.63711999999998</v>
      </c>
      <c r="O192" s="222">
        <v>897.86310246000005</v>
      </c>
      <c r="P192" s="222">
        <v>897.86310246000005</v>
      </c>
      <c r="Q192" s="222">
        <v>897.86310246000005</v>
      </c>
      <c r="R192" s="222">
        <v>897.86310246000005</v>
      </c>
      <c r="S192" s="222"/>
      <c r="T192" s="222"/>
      <c r="U192" s="222"/>
      <c r="V192" s="221"/>
      <c r="W192" s="221"/>
      <c r="X192" s="221"/>
      <c r="Y192" s="221"/>
    </row>
    <row r="193" spans="1:25" x14ac:dyDescent="0.2">
      <c r="A193" s="210">
        <v>608</v>
      </c>
      <c r="B193" s="211" t="s">
        <v>328</v>
      </c>
      <c r="C193" s="209">
        <v>4</v>
      </c>
      <c r="D193" s="222">
        <v>5495.0166900000004</v>
      </c>
      <c r="E193" s="222">
        <v>5441.6483891556954</v>
      </c>
      <c r="F193" s="222">
        <v>5674.7046870312433</v>
      </c>
      <c r="G193" s="222">
        <v>2850.9591140312368</v>
      </c>
      <c r="H193" s="222">
        <v>2809.8230709802633</v>
      </c>
      <c r="I193" s="222">
        <v>528.17542000000003</v>
      </c>
      <c r="J193" s="222">
        <v>549.87950699999999</v>
      </c>
      <c r="K193" s="222">
        <v>596.67611599999998</v>
      </c>
      <c r="L193" s="222">
        <v>460.54127399999999</v>
      </c>
      <c r="M193" s="222">
        <v>466.33424600000001</v>
      </c>
      <c r="N193" s="222">
        <v>535.41238999999996</v>
      </c>
      <c r="O193" s="222">
        <v>528.40139096399992</v>
      </c>
      <c r="P193" s="222">
        <v>528.40139096399992</v>
      </c>
      <c r="Q193" s="222">
        <v>528.40139096399992</v>
      </c>
      <c r="R193" s="222">
        <v>528.40139096399992</v>
      </c>
      <c r="S193" s="222"/>
      <c r="T193" s="222"/>
      <c r="U193" s="222"/>
      <c r="V193" s="221"/>
      <c r="W193" s="221"/>
      <c r="X193" s="221"/>
      <c r="Y193" s="221"/>
    </row>
    <row r="194" spans="1:25" x14ac:dyDescent="0.2">
      <c r="A194" s="210">
        <v>609</v>
      </c>
      <c r="B194" s="211" t="s">
        <v>329</v>
      </c>
      <c r="C194" s="209">
        <v>4</v>
      </c>
      <c r="D194" s="222">
        <v>263373.27753999998</v>
      </c>
      <c r="E194" s="222">
        <v>271569.63160436106</v>
      </c>
      <c r="F194" s="222">
        <v>280864.03280798515</v>
      </c>
      <c r="G194" s="222">
        <v>136373.88198846777</v>
      </c>
      <c r="H194" s="222">
        <v>132771.87647937392</v>
      </c>
      <c r="I194" s="222">
        <v>16961.20033</v>
      </c>
      <c r="J194" s="222">
        <v>16821.441284</v>
      </c>
      <c r="K194" s="222">
        <v>18220.935045999999</v>
      </c>
      <c r="L194" s="222">
        <v>14063.731419000003</v>
      </c>
      <c r="M194" s="222">
        <v>14240.633701000001</v>
      </c>
      <c r="N194" s="222">
        <v>23139.41776</v>
      </c>
      <c r="O194" s="222">
        <v>24180.7002834696</v>
      </c>
      <c r="P194" s="222">
        <v>24180.7002834696</v>
      </c>
      <c r="Q194" s="222">
        <v>24180.7002834696</v>
      </c>
      <c r="R194" s="222">
        <v>24180.7002834696</v>
      </c>
      <c r="S194" s="222"/>
      <c r="T194" s="222"/>
      <c r="U194" s="222"/>
      <c r="V194" s="221"/>
      <c r="W194" s="221"/>
      <c r="X194" s="221"/>
      <c r="Y194" s="221"/>
    </row>
    <row r="195" spans="1:25" x14ac:dyDescent="0.2">
      <c r="A195" s="210">
        <v>611</v>
      </c>
      <c r="B195" s="211" t="s">
        <v>330</v>
      </c>
      <c r="C195" s="209">
        <v>1</v>
      </c>
      <c r="D195" s="222">
        <v>18040.7618</v>
      </c>
      <c r="E195" s="222">
        <v>18265.866706598164</v>
      </c>
      <c r="F195" s="222">
        <v>19105.776604459588</v>
      </c>
      <c r="G195" s="222">
        <v>10071.893829248662</v>
      </c>
      <c r="H195" s="222">
        <v>9616.1963171379412</v>
      </c>
      <c r="I195" s="222">
        <v>626.86631000000011</v>
      </c>
      <c r="J195" s="222">
        <v>740.79965099999993</v>
      </c>
      <c r="K195" s="222">
        <v>805.13204799999983</v>
      </c>
      <c r="L195" s="222">
        <v>621.43687199999988</v>
      </c>
      <c r="M195" s="222">
        <v>629.25368800000001</v>
      </c>
      <c r="N195" s="222">
        <v>1129.0144399999999</v>
      </c>
      <c r="O195" s="222">
        <v>1137.4688712000002</v>
      </c>
      <c r="P195" s="222">
        <v>1137.4688712000002</v>
      </c>
      <c r="Q195" s="222">
        <v>1137.4688712000002</v>
      </c>
      <c r="R195" s="222">
        <v>1137.4688712000002</v>
      </c>
      <c r="S195" s="222"/>
      <c r="T195" s="222"/>
      <c r="U195" s="222"/>
      <c r="V195" s="221"/>
      <c r="W195" s="221"/>
      <c r="X195" s="221"/>
      <c r="Y195" s="221"/>
    </row>
    <row r="196" spans="1:25" x14ac:dyDescent="0.2">
      <c r="A196" s="210">
        <v>638</v>
      </c>
      <c r="B196" s="211" t="s">
        <v>331</v>
      </c>
      <c r="C196" s="209">
        <v>1</v>
      </c>
      <c r="D196" s="222">
        <v>190592.35681</v>
      </c>
      <c r="E196" s="222">
        <v>195454.89817620601</v>
      </c>
      <c r="F196" s="222">
        <v>204332.56374672826</v>
      </c>
      <c r="G196" s="222">
        <v>99840.996407007682</v>
      </c>
      <c r="H196" s="222">
        <v>95976.383231588581</v>
      </c>
      <c r="I196" s="222">
        <v>13930.63565</v>
      </c>
      <c r="J196" s="222">
        <v>22344.548995999998</v>
      </c>
      <c r="K196" s="222">
        <v>24244.690225999995</v>
      </c>
      <c r="L196" s="222">
        <v>18713.134688999999</v>
      </c>
      <c r="M196" s="222">
        <v>18948.520031</v>
      </c>
      <c r="N196" s="222">
        <v>16658.30445</v>
      </c>
      <c r="O196" s="222">
        <v>16660.473167280004</v>
      </c>
      <c r="P196" s="222">
        <v>16660.473167280004</v>
      </c>
      <c r="Q196" s="222">
        <v>16660.473167280004</v>
      </c>
      <c r="R196" s="222">
        <v>16660.473167280004</v>
      </c>
      <c r="S196" s="222"/>
      <c r="T196" s="222"/>
      <c r="U196" s="222"/>
      <c r="V196" s="221"/>
      <c r="W196" s="221"/>
      <c r="X196" s="221"/>
      <c r="Y196" s="221"/>
    </row>
    <row r="197" spans="1:25" x14ac:dyDescent="0.2">
      <c r="A197" s="210">
        <v>614</v>
      </c>
      <c r="B197" s="211" t="s">
        <v>332</v>
      </c>
      <c r="C197" s="209">
        <v>19</v>
      </c>
      <c r="D197" s="222">
        <v>8589.6072100000001</v>
      </c>
      <c r="E197" s="222">
        <v>8278.6548273555709</v>
      </c>
      <c r="F197" s="222">
        <v>8774.020425775725</v>
      </c>
      <c r="G197" s="222">
        <v>4774.5533011279258</v>
      </c>
      <c r="H197" s="222">
        <v>4708.6777292911993</v>
      </c>
      <c r="I197" s="222">
        <v>822.96044999999992</v>
      </c>
      <c r="J197" s="222">
        <v>675.027289</v>
      </c>
      <c r="K197" s="222">
        <v>730.39730800000007</v>
      </c>
      <c r="L197" s="222">
        <v>563.75326200000006</v>
      </c>
      <c r="M197" s="222">
        <v>570.84449800000004</v>
      </c>
      <c r="N197" s="222">
        <v>1239.7960800000001</v>
      </c>
      <c r="O197" s="222">
        <v>1248.6142679759998</v>
      </c>
      <c r="P197" s="222">
        <v>1248.6142679759998</v>
      </c>
      <c r="Q197" s="222">
        <v>1248.6142679759998</v>
      </c>
      <c r="R197" s="222">
        <v>1248.6142679759998</v>
      </c>
      <c r="S197" s="222"/>
      <c r="T197" s="222"/>
      <c r="U197" s="222"/>
      <c r="V197" s="221"/>
      <c r="W197" s="221"/>
      <c r="X197" s="221"/>
      <c r="Y197" s="221"/>
    </row>
    <row r="198" spans="1:25" x14ac:dyDescent="0.2">
      <c r="A198" s="210">
        <v>615</v>
      </c>
      <c r="B198" s="211" t="s">
        <v>333</v>
      </c>
      <c r="C198" s="209">
        <v>17</v>
      </c>
      <c r="D198" s="222">
        <v>18464.642640000002</v>
      </c>
      <c r="E198" s="222">
        <v>18345.291666954297</v>
      </c>
      <c r="F198" s="222">
        <v>19064.54020853612</v>
      </c>
      <c r="G198" s="222">
        <v>9823.1544422956431</v>
      </c>
      <c r="H198" s="222">
        <v>9662.2808003467071</v>
      </c>
      <c r="I198" s="222">
        <v>2832.2834400000002</v>
      </c>
      <c r="J198" s="222">
        <v>2665.125802</v>
      </c>
      <c r="K198" s="222">
        <v>2886.3846560000002</v>
      </c>
      <c r="L198" s="222">
        <v>2227.8405840000005</v>
      </c>
      <c r="M198" s="222">
        <v>2255.8637360000002</v>
      </c>
      <c r="N198" s="222">
        <v>1970.8262099999999</v>
      </c>
      <c r="O198" s="222">
        <v>2084.0255901383998</v>
      </c>
      <c r="P198" s="222">
        <v>2084.0255901383998</v>
      </c>
      <c r="Q198" s="222">
        <v>2084.0255901383998</v>
      </c>
      <c r="R198" s="222">
        <v>2084.0255901383998</v>
      </c>
      <c r="S198" s="222"/>
      <c r="T198" s="222"/>
      <c r="U198" s="222"/>
      <c r="V198" s="221"/>
      <c r="W198" s="221"/>
      <c r="X198" s="221"/>
      <c r="Y198" s="221"/>
    </row>
    <row r="199" spans="1:25" x14ac:dyDescent="0.2">
      <c r="A199" s="210">
        <v>616</v>
      </c>
      <c r="B199" s="211" t="s">
        <v>334</v>
      </c>
      <c r="C199" s="209">
        <v>1</v>
      </c>
      <c r="D199" s="222">
        <v>6555.9412499999999</v>
      </c>
      <c r="E199" s="222">
        <v>6085.7026371902866</v>
      </c>
      <c r="F199" s="222">
        <v>6615.9226559316239</v>
      </c>
      <c r="G199" s="222">
        <v>3582.0330669643931</v>
      </c>
      <c r="H199" s="222">
        <v>3493.1450255655141</v>
      </c>
      <c r="I199" s="222">
        <v>455.35275999999999</v>
      </c>
      <c r="J199" s="222">
        <v>273.99703399999999</v>
      </c>
      <c r="K199" s="222">
        <v>295.254032</v>
      </c>
      <c r="L199" s="222">
        <v>227.89024800000001</v>
      </c>
      <c r="M199" s="222">
        <v>230.75679199999999</v>
      </c>
      <c r="N199" s="222">
        <v>444.81344000000001</v>
      </c>
      <c r="O199" s="222">
        <v>440.29116555600001</v>
      </c>
      <c r="P199" s="222">
        <v>440.29116555600001</v>
      </c>
      <c r="Q199" s="222">
        <v>440.29116555600001</v>
      </c>
      <c r="R199" s="222">
        <v>440.29116555600001</v>
      </c>
      <c r="S199" s="222"/>
      <c r="T199" s="222"/>
      <c r="U199" s="222"/>
      <c r="V199" s="221"/>
      <c r="W199" s="221"/>
      <c r="X199" s="221"/>
      <c r="Y199" s="221"/>
    </row>
    <row r="200" spans="1:25" x14ac:dyDescent="0.2">
      <c r="A200" s="210">
        <v>619</v>
      </c>
      <c r="B200" s="211" t="s">
        <v>335</v>
      </c>
      <c r="C200" s="209">
        <v>6</v>
      </c>
      <c r="D200" s="222">
        <v>7772.2277100000001</v>
      </c>
      <c r="E200" s="222">
        <v>7767.8823012556613</v>
      </c>
      <c r="F200" s="222">
        <v>8208.8830577637327</v>
      </c>
      <c r="G200" s="222">
        <v>4478.8272899895028</v>
      </c>
      <c r="H200" s="222">
        <v>4433.276788014633</v>
      </c>
      <c r="I200" s="222">
        <v>603.31623999999999</v>
      </c>
      <c r="J200" s="222">
        <v>477.32998499999991</v>
      </c>
      <c r="K200" s="222">
        <v>516.76954000000001</v>
      </c>
      <c r="L200" s="222">
        <v>398.86581000000001</v>
      </c>
      <c r="M200" s="222">
        <v>403.88298999999995</v>
      </c>
      <c r="N200" s="222">
        <v>605.54544999999996</v>
      </c>
      <c r="O200" s="222">
        <v>656.13132791999999</v>
      </c>
      <c r="P200" s="222">
        <v>656.13132791999999</v>
      </c>
      <c r="Q200" s="222">
        <v>656.13132791999999</v>
      </c>
      <c r="R200" s="222">
        <v>656.13132791999999</v>
      </c>
      <c r="S200" s="222"/>
      <c r="T200" s="222"/>
      <c r="U200" s="222"/>
      <c r="V200" s="221"/>
      <c r="W200" s="221"/>
      <c r="X200" s="221"/>
      <c r="Y200" s="221"/>
    </row>
    <row r="201" spans="1:25" x14ac:dyDescent="0.2">
      <c r="A201" s="210">
        <v>620</v>
      </c>
      <c r="B201" s="211" t="s">
        <v>336</v>
      </c>
      <c r="C201" s="209">
        <v>18</v>
      </c>
      <c r="D201" s="222">
        <v>6696.5715099999998</v>
      </c>
      <c r="E201" s="222">
        <v>6608.1603320238019</v>
      </c>
      <c r="F201" s="222">
        <v>6912.5083294055548</v>
      </c>
      <c r="G201" s="222">
        <v>3736.5131308907426</v>
      </c>
      <c r="H201" s="222">
        <v>3677.4370542878896</v>
      </c>
      <c r="I201" s="222">
        <v>1367.42381</v>
      </c>
      <c r="J201" s="222">
        <v>1253.562874</v>
      </c>
      <c r="K201" s="222">
        <v>1357.8160399999999</v>
      </c>
      <c r="L201" s="222">
        <v>1048.0230600000002</v>
      </c>
      <c r="M201" s="222">
        <v>1061.2057400000001</v>
      </c>
      <c r="N201" s="222">
        <v>797.79032999999993</v>
      </c>
      <c r="O201" s="222">
        <v>790.41646682639998</v>
      </c>
      <c r="P201" s="222">
        <v>790.41646682639998</v>
      </c>
      <c r="Q201" s="222">
        <v>790.41646682639998</v>
      </c>
      <c r="R201" s="222">
        <v>790.41646682639998</v>
      </c>
      <c r="S201" s="222"/>
      <c r="T201" s="222"/>
      <c r="U201" s="222"/>
      <c r="V201" s="221"/>
      <c r="W201" s="221"/>
      <c r="X201" s="221"/>
      <c r="Y201" s="221"/>
    </row>
    <row r="202" spans="1:25" x14ac:dyDescent="0.2">
      <c r="A202" s="210">
        <v>623</v>
      </c>
      <c r="B202" s="211" t="s">
        <v>337</v>
      </c>
      <c r="C202" s="209">
        <v>10</v>
      </c>
      <c r="D202" s="222">
        <v>5724.1062300000003</v>
      </c>
      <c r="E202" s="222">
        <v>5881.8836385859577</v>
      </c>
      <c r="F202" s="222">
        <v>5971.472192757039</v>
      </c>
      <c r="G202" s="222">
        <v>3001.2042829133047</v>
      </c>
      <c r="H202" s="222">
        <v>2907.8256735190021</v>
      </c>
      <c r="I202" s="222">
        <v>1470.34771</v>
      </c>
      <c r="J202" s="222">
        <v>1465.8988119999997</v>
      </c>
      <c r="K202" s="222">
        <v>1589.2914419999997</v>
      </c>
      <c r="L202" s="222">
        <v>1226.686113</v>
      </c>
      <c r="M202" s="222">
        <v>1242.1161269999998</v>
      </c>
      <c r="N202" s="222">
        <v>1725.9956399999999</v>
      </c>
      <c r="O202" s="222">
        <v>1711.9093723464002</v>
      </c>
      <c r="P202" s="222">
        <v>1711.9093723464002</v>
      </c>
      <c r="Q202" s="222">
        <v>1711.9093723464002</v>
      </c>
      <c r="R202" s="222">
        <v>1711.9093723464002</v>
      </c>
      <c r="S202" s="222"/>
      <c r="T202" s="222"/>
      <c r="U202" s="222"/>
      <c r="V202" s="221"/>
      <c r="W202" s="221"/>
      <c r="X202" s="221"/>
      <c r="Y202" s="221"/>
    </row>
    <row r="203" spans="1:25" x14ac:dyDescent="0.2">
      <c r="A203" s="210">
        <v>624</v>
      </c>
      <c r="B203" s="211" t="s">
        <v>131</v>
      </c>
      <c r="C203" s="209">
        <v>8</v>
      </c>
      <c r="D203" s="222">
        <v>17914.3285</v>
      </c>
      <c r="E203" s="222">
        <v>18069.975850526393</v>
      </c>
      <c r="F203" s="222">
        <v>18814.502184651585</v>
      </c>
      <c r="G203" s="222">
        <v>9380.6427336067336</v>
      </c>
      <c r="H203" s="222">
        <v>9121.1389693137662</v>
      </c>
      <c r="I203" s="222">
        <v>783.82276999999999</v>
      </c>
      <c r="J203" s="222">
        <v>803.86869000000002</v>
      </c>
      <c r="K203" s="222">
        <v>872.38692800000013</v>
      </c>
      <c r="L203" s="222">
        <v>673.34719200000006</v>
      </c>
      <c r="M203" s="222">
        <v>681.81696799999997</v>
      </c>
      <c r="N203" s="222">
        <v>2005.4096599999998</v>
      </c>
      <c r="O203" s="222">
        <v>2061.4298920632</v>
      </c>
      <c r="P203" s="222">
        <v>2061.4298920632</v>
      </c>
      <c r="Q203" s="222">
        <v>2061.4298920632</v>
      </c>
      <c r="R203" s="222">
        <v>2061.4298920632</v>
      </c>
      <c r="S203" s="222"/>
      <c r="T203" s="222"/>
      <c r="U203" s="222"/>
      <c r="V203" s="221"/>
      <c r="W203" s="221"/>
      <c r="X203" s="221"/>
      <c r="Y203" s="221"/>
    </row>
    <row r="204" spans="1:25" x14ac:dyDescent="0.2">
      <c r="A204" s="210">
        <v>625</v>
      </c>
      <c r="B204" s="211" t="s">
        <v>338</v>
      </c>
      <c r="C204" s="209">
        <v>17</v>
      </c>
      <c r="D204" s="222">
        <v>9093.8583800000015</v>
      </c>
      <c r="E204" s="222">
        <v>9015.9916924755853</v>
      </c>
      <c r="F204" s="222">
        <v>9311.3258058380688</v>
      </c>
      <c r="G204" s="222">
        <v>4636.0506697777219</v>
      </c>
      <c r="H204" s="222">
        <v>4545.7256135704629</v>
      </c>
      <c r="I204" s="222">
        <v>651.27568999999994</v>
      </c>
      <c r="J204" s="222">
        <v>592.91112599999997</v>
      </c>
      <c r="K204" s="222">
        <v>643.39897600000006</v>
      </c>
      <c r="L204" s="222">
        <v>496.60406399999999</v>
      </c>
      <c r="M204" s="222">
        <v>502.85065600000007</v>
      </c>
      <c r="N204" s="222">
        <v>907.31691000000001</v>
      </c>
      <c r="O204" s="222">
        <v>1487.8994308199999</v>
      </c>
      <c r="P204" s="222">
        <v>1487.8994308199999</v>
      </c>
      <c r="Q204" s="222">
        <v>1487.8994308199999</v>
      </c>
      <c r="R204" s="222">
        <v>1487.8994308199999</v>
      </c>
      <c r="S204" s="222"/>
      <c r="T204" s="222"/>
      <c r="U204" s="222"/>
      <c r="V204" s="221"/>
      <c r="W204" s="221"/>
      <c r="X204" s="221"/>
      <c r="Y204" s="221"/>
    </row>
    <row r="205" spans="1:25" x14ac:dyDescent="0.2">
      <c r="A205" s="210">
        <v>626</v>
      </c>
      <c r="B205" s="211" t="s">
        <v>132</v>
      </c>
      <c r="C205" s="209">
        <v>17</v>
      </c>
      <c r="D205" s="222">
        <v>14172.15141</v>
      </c>
      <c r="E205" s="222">
        <v>14801.274446985575</v>
      </c>
      <c r="F205" s="222">
        <v>15196.092578503107</v>
      </c>
      <c r="G205" s="222">
        <v>7744.1001741314931</v>
      </c>
      <c r="H205" s="222">
        <v>7615.4929067386574</v>
      </c>
      <c r="I205" s="222">
        <v>6238.6904999999997</v>
      </c>
      <c r="J205" s="222">
        <v>4883.128882</v>
      </c>
      <c r="K205" s="222">
        <v>5298.6572219999998</v>
      </c>
      <c r="L205" s="222">
        <v>4089.7402830000001</v>
      </c>
      <c r="M205" s="222">
        <v>4141.1835569999994</v>
      </c>
      <c r="N205" s="222">
        <v>1193.61817</v>
      </c>
      <c r="O205" s="222">
        <v>1233.199306752</v>
      </c>
      <c r="P205" s="222">
        <v>1233.199306752</v>
      </c>
      <c r="Q205" s="222">
        <v>1233.199306752</v>
      </c>
      <c r="R205" s="222">
        <v>1233.199306752</v>
      </c>
      <c r="S205" s="222"/>
      <c r="T205" s="222"/>
      <c r="U205" s="222"/>
      <c r="V205" s="221"/>
      <c r="W205" s="221"/>
      <c r="X205" s="221"/>
      <c r="Y205" s="221"/>
    </row>
    <row r="206" spans="1:25" x14ac:dyDescent="0.2">
      <c r="A206" s="210">
        <v>630</v>
      </c>
      <c r="B206" s="211" t="s">
        <v>339</v>
      </c>
      <c r="C206" s="209">
        <v>17</v>
      </c>
      <c r="D206" s="222">
        <v>3768.7666200000003</v>
      </c>
      <c r="E206" s="222">
        <v>3788.5498511425981</v>
      </c>
      <c r="F206" s="222">
        <v>3902.9458376984912</v>
      </c>
      <c r="G206" s="222">
        <v>1930.5298743676362</v>
      </c>
      <c r="H206" s="222">
        <v>1882.0475142552496</v>
      </c>
      <c r="I206" s="222">
        <v>591.07051999999999</v>
      </c>
      <c r="J206" s="222">
        <v>639.56180700000004</v>
      </c>
      <c r="K206" s="222">
        <v>694.27211800000009</v>
      </c>
      <c r="L206" s="222">
        <v>535.870227</v>
      </c>
      <c r="M206" s="222">
        <v>542.6107330000001</v>
      </c>
      <c r="N206" s="222">
        <v>433.01668999999998</v>
      </c>
      <c r="O206" s="222">
        <v>470.18419405199995</v>
      </c>
      <c r="P206" s="222">
        <v>470.18419405199995</v>
      </c>
      <c r="Q206" s="222">
        <v>470.18419405199995</v>
      </c>
      <c r="R206" s="222">
        <v>470.18419405199995</v>
      </c>
      <c r="S206" s="222"/>
      <c r="T206" s="222"/>
      <c r="U206" s="222"/>
      <c r="V206" s="221"/>
      <c r="W206" s="221"/>
      <c r="X206" s="221"/>
      <c r="Y206" s="221"/>
    </row>
    <row r="207" spans="1:25" x14ac:dyDescent="0.2">
      <c r="A207" s="210">
        <v>631</v>
      </c>
      <c r="B207" s="211" t="s">
        <v>340</v>
      </c>
      <c r="C207" s="209">
        <v>2</v>
      </c>
      <c r="D207" s="222">
        <v>6960.4035199999998</v>
      </c>
      <c r="E207" s="222">
        <v>7446.9835797353535</v>
      </c>
      <c r="F207" s="222">
        <v>7501.9323353627888</v>
      </c>
      <c r="G207" s="222">
        <v>4020.2237614011915</v>
      </c>
      <c r="H207" s="222">
        <v>3971.1412997972825</v>
      </c>
      <c r="I207" s="222">
        <v>311.67018000000002</v>
      </c>
      <c r="J207" s="222">
        <v>315.40706299999999</v>
      </c>
      <c r="K207" s="222">
        <v>341.29111799999993</v>
      </c>
      <c r="L207" s="222">
        <v>263.42372699999999</v>
      </c>
      <c r="M207" s="222">
        <v>266.737233</v>
      </c>
      <c r="N207" s="222">
        <v>852.66008999999997</v>
      </c>
      <c r="O207" s="222">
        <v>856.49418134400003</v>
      </c>
      <c r="P207" s="222">
        <v>856.49418134400003</v>
      </c>
      <c r="Q207" s="222">
        <v>856.49418134400003</v>
      </c>
      <c r="R207" s="222">
        <v>856.49418134400003</v>
      </c>
      <c r="S207" s="222"/>
      <c r="T207" s="222"/>
      <c r="U207" s="222"/>
      <c r="V207" s="221"/>
      <c r="W207" s="221"/>
      <c r="X207" s="221"/>
      <c r="Y207" s="221"/>
    </row>
    <row r="208" spans="1:25" x14ac:dyDescent="0.2">
      <c r="A208" s="210">
        <v>635</v>
      </c>
      <c r="B208" s="211" t="s">
        <v>341</v>
      </c>
      <c r="C208" s="209">
        <v>6</v>
      </c>
      <c r="D208" s="222">
        <v>19571.022870000001</v>
      </c>
      <c r="E208" s="222">
        <v>19576.921735135402</v>
      </c>
      <c r="F208" s="222">
        <v>20244.327145376483</v>
      </c>
      <c r="G208" s="222">
        <v>10741.424005652905</v>
      </c>
      <c r="H208" s="222">
        <v>10494.770772626291</v>
      </c>
      <c r="I208" s="222">
        <v>1341.2381699999999</v>
      </c>
      <c r="J208" s="222">
        <v>1224.4993149999998</v>
      </c>
      <c r="K208" s="222">
        <v>1327.0068859999999</v>
      </c>
      <c r="L208" s="222">
        <v>1024.2431789999998</v>
      </c>
      <c r="M208" s="222">
        <v>1037.1267409999998</v>
      </c>
      <c r="N208" s="222">
        <v>2168.1769599999998</v>
      </c>
      <c r="O208" s="222">
        <v>2159.6654107559998</v>
      </c>
      <c r="P208" s="222">
        <v>2159.6654107559998</v>
      </c>
      <c r="Q208" s="222">
        <v>2159.6654107559998</v>
      </c>
      <c r="R208" s="222">
        <v>2159.6654107559998</v>
      </c>
      <c r="S208" s="222"/>
      <c r="T208" s="222"/>
      <c r="U208" s="222"/>
      <c r="V208" s="221"/>
      <c r="W208" s="221"/>
      <c r="X208" s="221"/>
      <c r="Y208" s="221"/>
    </row>
    <row r="209" spans="1:25" x14ac:dyDescent="0.2">
      <c r="A209" s="210">
        <v>636</v>
      </c>
      <c r="B209" s="211" t="s">
        <v>342</v>
      </c>
      <c r="C209" s="209">
        <v>2</v>
      </c>
      <c r="D209" s="222">
        <v>24228.143399999997</v>
      </c>
      <c r="E209" s="222">
        <v>24540.081901045083</v>
      </c>
      <c r="F209" s="222">
        <v>25608.613302356505</v>
      </c>
      <c r="G209" s="222">
        <v>13903.08329551335</v>
      </c>
      <c r="H209" s="222">
        <v>13563.820577929007</v>
      </c>
      <c r="I209" s="222">
        <v>1763.9358400000001</v>
      </c>
      <c r="J209" s="222">
        <v>1674.0546099999999</v>
      </c>
      <c r="K209" s="222">
        <v>1814.309362</v>
      </c>
      <c r="L209" s="222">
        <v>1400.3649929999999</v>
      </c>
      <c r="M209" s="222">
        <v>1417.9796470000001</v>
      </c>
      <c r="N209" s="222">
        <v>1708.60564</v>
      </c>
      <c r="O209" s="222">
        <v>1893.9545943360001</v>
      </c>
      <c r="P209" s="222">
        <v>1893.9545943360001</v>
      </c>
      <c r="Q209" s="222">
        <v>1893.9545943360001</v>
      </c>
      <c r="R209" s="222">
        <v>1893.9545943360001</v>
      </c>
      <c r="S209" s="222"/>
      <c r="T209" s="222"/>
      <c r="U209" s="222"/>
      <c r="V209" s="221"/>
      <c r="W209" s="221"/>
      <c r="X209" s="221"/>
      <c r="Y209" s="221"/>
    </row>
    <row r="210" spans="1:25" x14ac:dyDescent="0.2">
      <c r="A210" s="210">
        <v>678</v>
      </c>
      <c r="B210" s="211" t="s">
        <v>343</v>
      </c>
      <c r="C210" s="209">
        <v>17</v>
      </c>
      <c r="D210" s="222">
        <v>81213.389680000008</v>
      </c>
      <c r="E210" s="222">
        <v>83758.759198703963</v>
      </c>
      <c r="F210" s="222">
        <v>86040.737451397639</v>
      </c>
      <c r="G210" s="222">
        <v>44393.694662315887</v>
      </c>
      <c r="H210" s="222">
        <v>43524.253330039479</v>
      </c>
      <c r="I210" s="222">
        <v>3472.8353700000002</v>
      </c>
      <c r="J210" s="222">
        <v>3438.5462510000002</v>
      </c>
      <c r="K210" s="222">
        <v>3666.0890939999995</v>
      </c>
      <c r="L210" s="222">
        <v>2829.6512909999997</v>
      </c>
      <c r="M210" s="222">
        <v>2865.2443889999995</v>
      </c>
      <c r="N210" s="222">
        <v>6209.87655</v>
      </c>
      <c r="O210" s="222">
        <v>6967.1090745840002</v>
      </c>
      <c r="P210" s="222">
        <v>6967.1090745840002</v>
      </c>
      <c r="Q210" s="222">
        <v>6967.1090745840002</v>
      </c>
      <c r="R210" s="222">
        <v>6967.1090745840002</v>
      </c>
      <c r="S210" s="222"/>
      <c r="T210" s="222"/>
      <c r="U210" s="222"/>
      <c r="V210" s="221"/>
      <c r="W210" s="221"/>
      <c r="X210" s="221"/>
      <c r="Y210" s="221"/>
    </row>
    <row r="211" spans="1:25" x14ac:dyDescent="0.2">
      <c r="A211" s="210">
        <v>710</v>
      </c>
      <c r="B211" s="211" t="s">
        <v>133</v>
      </c>
      <c r="C211" s="209">
        <v>1</v>
      </c>
      <c r="D211" s="222">
        <v>100338.49681</v>
      </c>
      <c r="E211" s="222">
        <v>99855.407733311542</v>
      </c>
      <c r="F211" s="222">
        <v>104350.67595013561</v>
      </c>
      <c r="G211" s="222">
        <v>57555.940886966739</v>
      </c>
      <c r="H211" s="222">
        <v>56386.1113885636</v>
      </c>
      <c r="I211" s="222">
        <v>4321.4711200000002</v>
      </c>
      <c r="J211" s="222">
        <v>4586.8757509999996</v>
      </c>
      <c r="K211" s="222">
        <v>4970.0421079999996</v>
      </c>
      <c r="L211" s="222">
        <v>3836.1004619999999</v>
      </c>
      <c r="M211" s="222">
        <v>3884.3532980000004</v>
      </c>
      <c r="N211" s="222">
        <v>11145.19332</v>
      </c>
      <c r="O211" s="222">
        <v>11374.0408261296</v>
      </c>
      <c r="P211" s="222">
        <v>11374.0408261296</v>
      </c>
      <c r="Q211" s="222">
        <v>11374.0408261296</v>
      </c>
      <c r="R211" s="222">
        <v>11374.0408261296</v>
      </c>
      <c r="S211" s="222"/>
      <c r="T211" s="222"/>
      <c r="U211" s="222"/>
      <c r="V211" s="221"/>
      <c r="W211" s="221"/>
      <c r="X211" s="221"/>
      <c r="Y211" s="221"/>
    </row>
    <row r="212" spans="1:25" x14ac:dyDescent="0.2">
      <c r="A212" s="210">
        <v>680</v>
      </c>
      <c r="B212" s="211" t="s">
        <v>344</v>
      </c>
      <c r="C212" s="209">
        <v>2</v>
      </c>
      <c r="D212" s="222">
        <v>85961.512799999997</v>
      </c>
      <c r="E212" s="222">
        <v>88284.366324321614</v>
      </c>
      <c r="F212" s="222">
        <v>91198.926180810187</v>
      </c>
      <c r="G212" s="222">
        <v>44472.366307677214</v>
      </c>
      <c r="H212" s="222">
        <v>42900.938645360802</v>
      </c>
      <c r="I212" s="222">
        <v>5902.3387599999996</v>
      </c>
      <c r="J212" s="222">
        <v>5790.1117240000003</v>
      </c>
      <c r="K212" s="222">
        <v>6265.835462</v>
      </c>
      <c r="L212" s="222">
        <v>4836.2516430000005</v>
      </c>
      <c r="M212" s="222">
        <v>4897.0849970000008</v>
      </c>
      <c r="N212" s="222">
        <v>7710.1919900000003</v>
      </c>
      <c r="O212" s="222">
        <v>7631.5914607392006</v>
      </c>
      <c r="P212" s="222">
        <v>7631.5914607392006</v>
      </c>
      <c r="Q212" s="222">
        <v>7631.5914607392006</v>
      </c>
      <c r="R212" s="222">
        <v>7631.5914607392006</v>
      </c>
      <c r="S212" s="222"/>
      <c r="T212" s="222"/>
      <c r="U212" s="222"/>
      <c r="V212" s="221"/>
      <c r="W212" s="221"/>
      <c r="X212" s="221"/>
      <c r="Y212" s="221"/>
    </row>
    <row r="213" spans="1:25" x14ac:dyDescent="0.2">
      <c r="A213" s="210">
        <v>681</v>
      </c>
      <c r="B213" s="211" t="s">
        <v>345</v>
      </c>
      <c r="C213" s="209">
        <v>10</v>
      </c>
      <c r="D213" s="222">
        <v>9065.9078399999999</v>
      </c>
      <c r="E213" s="222">
        <v>8960.1498579351392</v>
      </c>
      <c r="F213" s="222">
        <v>9411.2271178913779</v>
      </c>
      <c r="G213" s="222">
        <v>4918.1289363907863</v>
      </c>
      <c r="H213" s="222">
        <v>4842.4580782735839</v>
      </c>
      <c r="I213" s="222">
        <v>1119.02017</v>
      </c>
      <c r="J213" s="222">
        <v>1074.594233</v>
      </c>
      <c r="K213" s="222">
        <v>1164.871496</v>
      </c>
      <c r="L213" s="222">
        <v>899.09984400000008</v>
      </c>
      <c r="M213" s="222">
        <v>910.40927599999986</v>
      </c>
      <c r="N213" s="222">
        <v>1055.0756399999998</v>
      </c>
      <c r="O213" s="222">
        <v>1071.6955447824</v>
      </c>
      <c r="P213" s="222">
        <v>1071.6955447824</v>
      </c>
      <c r="Q213" s="222">
        <v>1071.6955447824</v>
      </c>
      <c r="R213" s="222">
        <v>1071.6955447824</v>
      </c>
      <c r="S213" s="222"/>
      <c r="T213" s="222"/>
      <c r="U213" s="222"/>
      <c r="V213" s="221"/>
      <c r="W213" s="221"/>
      <c r="X213" s="221"/>
      <c r="Y213" s="221"/>
    </row>
    <row r="214" spans="1:25" x14ac:dyDescent="0.2">
      <c r="A214" s="210">
        <v>683</v>
      </c>
      <c r="B214" s="211" t="s">
        <v>346</v>
      </c>
      <c r="C214" s="209">
        <v>19</v>
      </c>
      <c r="D214" s="222">
        <v>8659.6341999999986</v>
      </c>
      <c r="E214" s="222">
        <v>8570.8952151626327</v>
      </c>
      <c r="F214" s="222">
        <v>8867.680898112103</v>
      </c>
      <c r="G214" s="222">
        <v>4432.0726066104917</v>
      </c>
      <c r="H214" s="222">
        <v>4318.4147939490249</v>
      </c>
      <c r="I214" s="222">
        <v>623.29192</v>
      </c>
      <c r="J214" s="222">
        <v>607.679439</v>
      </c>
      <c r="K214" s="222">
        <v>657.94319400000006</v>
      </c>
      <c r="L214" s="222">
        <v>507.82994099999996</v>
      </c>
      <c r="M214" s="222">
        <v>514.21773900000005</v>
      </c>
      <c r="N214" s="222">
        <v>790.32335</v>
      </c>
      <c r="O214" s="222">
        <v>871.03009404000011</v>
      </c>
      <c r="P214" s="222">
        <v>871.03009404000011</v>
      </c>
      <c r="Q214" s="222">
        <v>871.03009404000011</v>
      </c>
      <c r="R214" s="222">
        <v>871.03009404000011</v>
      </c>
      <c r="S214" s="222"/>
      <c r="T214" s="222"/>
      <c r="U214" s="222"/>
      <c r="V214" s="221"/>
      <c r="W214" s="221"/>
      <c r="X214" s="221"/>
      <c r="Y214" s="221"/>
    </row>
    <row r="215" spans="1:25" x14ac:dyDescent="0.2">
      <c r="A215" s="210">
        <v>684</v>
      </c>
      <c r="B215" s="211" t="s">
        <v>347</v>
      </c>
      <c r="C215" s="209">
        <v>4</v>
      </c>
      <c r="D215" s="222">
        <v>150651.65117</v>
      </c>
      <c r="E215" s="222">
        <v>150975.62743610668</v>
      </c>
      <c r="F215" s="222">
        <v>156509.15409301614</v>
      </c>
      <c r="G215" s="222">
        <v>77001.939656638802</v>
      </c>
      <c r="H215" s="222">
        <v>74889.027942440531</v>
      </c>
      <c r="I215" s="222">
        <v>23054.378359999999</v>
      </c>
      <c r="J215" s="222">
        <v>16865.163504999997</v>
      </c>
      <c r="K215" s="222">
        <v>18269.958308000001</v>
      </c>
      <c r="L215" s="222">
        <v>14101.569762000001</v>
      </c>
      <c r="M215" s="222">
        <v>14278.947998000001</v>
      </c>
      <c r="N215" s="222">
        <v>8057.2984699999997</v>
      </c>
      <c r="O215" s="222">
        <v>8124.3063753119995</v>
      </c>
      <c r="P215" s="222">
        <v>8124.3063753119995</v>
      </c>
      <c r="Q215" s="222">
        <v>8124.3063753119995</v>
      </c>
      <c r="R215" s="222">
        <v>8124.3063753119995</v>
      </c>
      <c r="S215" s="222"/>
      <c r="T215" s="222"/>
      <c r="U215" s="222"/>
      <c r="V215" s="221"/>
      <c r="W215" s="221"/>
      <c r="X215" s="221"/>
      <c r="Y215" s="221"/>
    </row>
    <row r="216" spans="1:25" x14ac:dyDescent="0.2">
      <c r="A216" s="210">
        <v>686</v>
      </c>
      <c r="B216" s="211" t="s">
        <v>348</v>
      </c>
      <c r="C216" s="209">
        <v>11</v>
      </c>
      <c r="D216" s="222">
        <v>8806.3044700000009</v>
      </c>
      <c r="E216" s="222">
        <v>8727.5501313435961</v>
      </c>
      <c r="F216" s="222">
        <v>8898.4134457219516</v>
      </c>
      <c r="G216" s="222">
        <v>4972.0386387195922</v>
      </c>
      <c r="H216" s="222">
        <v>4893.0239365731686</v>
      </c>
      <c r="I216" s="222">
        <v>773.19825000000003</v>
      </c>
      <c r="J216" s="222">
        <v>740.086861</v>
      </c>
      <c r="K216" s="222">
        <v>801.59461600000009</v>
      </c>
      <c r="L216" s="222">
        <v>618.70652399999994</v>
      </c>
      <c r="M216" s="222">
        <v>626.48899600000004</v>
      </c>
      <c r="N216" s="222">
        <v>1104.6530299999999</v>
      </c>
      <c r="O216" s="222">
        <v>1129.160676792</v>
      </c>
      <c r="P216" s="222">
        <v>1129.160676792</v>
      </c>
      <c r="Q216" s="222">
        <v>1129.160676792</v>
      </c>
      <c r="R216" s="222">
        <v>1129.160676792</v>
      </c>
      <c r="S216" s="222"/>
      <c r="T216" s="222"/>
      <c r="U216" s="222"/>
      <c r="V216" s="221"/>
      <c r="W216" s="221"/>
      <c r="X216" s="221"/>
      <c r="Y216" s="221"/>
    </row>
    <row r="217" spans="1:25" x14ac:dyDescent="0.2">
      <c r="A217" s="210">
        <v>687</v>
      </c>
      <c r="B217" s="211" t="s">
        <v>349</v>
      </c>
      <c r="C217" s="209">
        <v>11</v>
      </c>
      <c r="D217" s="222">
        <v>3699.7442599999999</v>
      </c>
      <c r="E217" s="222">
        <v>3911.6251315217869</v>
      </c>
      <c r="F217" s="222">
        <v>4056.9640101979185</v>
      </c>
      <c r="G217" s="222">
        <v>2222.8775553836972</v>
      </c>
      <c r="H217" s="222">
        <v>2210.5103286474509</v>
      </c>
      <c r="I217" s="222">
        <v>1401.08539</v>
      </c>
      <c r="J217" s="222">
        <v>1393.8192719999997</v>
      </c>
      <c r="K217" s="222">
        <v>1511.1715039999997</v>
      </c>
      <c r="L217" s="222">
        <v>1166.3896560000001</v>
      </c>
      <c r="M217" s="222">
        <v>1181.0612239999998</v>
      </c>
      <c r="N217" s="222">
        <v>362.26303000000001</v>
      </c>
      <c r="O217" s="222">
        <v>434.26732065360005</v>
      </c>
      <c r="P217" s="222">
        <v>434.26732065360005</v>
      </c>
      <c r="Q217" s="222">
        <v>434.26732065360005</v>
      </c>
      <c r="R217" s="222">
        <v>434.26732065360005</v>
      </c>
      <c r="S217" s="222"/>
      <c r="T217" s="222"/>
      <c r="U217" s="222"/>
      <c r="V217" s="221"/>
      <c r="W217" s="221"/>
      <c r="X217" s="221"/>
      <c r="Y217" s="221"/>
    </row>
    <row r="218" spans="1:25" x14ac:dyDescent="0.2">
      <c r="A218" s="210">
        <v>689</v>
      </c>
      <c r="B218" s="211" t="s">
        <v>350</v>
      </c>
      <c r="C218" s="209">
        <v>9</v>
      </c>
      <c r="D218" s="222">
        <v>10558.554539999999</v>
      </c>
      <c r="E218" s="222">
        <v>10183.797302834171</v>
      </c>
      <c r="F218" s="222">
        <v>10504.587751160119</v>
      </c>
      <c r="G218" s="222">
        <v>5174.4945023543314</v>
      </c>
      <c r="H218" s="222">
        <v>5062.8670709823136</v>
      </c>
      <c r="I218" s="222">
        <v>1455.80729</v>
      </c>
      <c r="J218" s="222">
        <v>1407.4034809999998</v>
      </c>
      <c r="K218" s="222">
        <v>1529.3363779999997</v>
      </c>
      <c r="L218" s="222">
        <v>1180.4101169999999</v>
      </c>
      <c r="M218" s="222">
        <v>1195.2580429999998</v>
      </c>
      <c r="N218" s="222">
        <v>760.59167000000002</v>
      </c>
      <c r="O218" s="222">
        <v>748.87300615200013</v>
      </c>
      <c r="P218" s="222">
        <v>748.87300615200013</v>
      </c>
      <c r="Q218" s="222">
        <v>748.87300615200013</v>
      </c>
      <c r="R218" s="222">
        <v>748.87300615200013</v>
      </c>
      <c r="S218" s="222"/>
      <c r="T218" s="222"/>
      <c r="U218" s="222"/>
      <c r="V218" s="221"/>
      <c r="W218" s="221"/>
      <c r="X218" s="221"/>
      <c r="Y218" s="221"/>
    </row>
    <row r="219" spans="1:25" x14ac:dyDescent="0.2">
      <c r="A219" s="210">
        <v>691</v>
      </c>
      <c r="B219" s="211" t="s">
        <v>351</v>
      </c>
      <c r="C219" s="209">
        <v>17</v>
      </c>
      <c r="D219" s="222">
        <v>7136.2820099999999</v>
      </c>
      <c r="E219" s="222">
        <v>7319.351726299913</v>
      </c>
      <c r="F219" s="222">
        <v>7714.1367155062489</v>
      </c>
      <c r="G219" s="222">
        <v>4361.2743085824986</v>
      </c>
      <c r="H219" s="222">
        <v>4305.855803961831</v>
      </c>
      <c r="I219" s="222">
        <v>415.07327000000004</v>
      </c>
      <c r="J219" s="222">
        <v>376.65697599999999</v>
      </c>
      <c r="K219" s="222">
        <v>407.99206400000003</v>
      </c>
      <c r="L219" s="222">
        <v>314.906496</v>
      </c>
      <c r="M219" s="222">
        <v>318.86758400000002</v>
      </c>
      <c r="N219" s="222">
        <v>690.75118999999995</v>
      </c>
      <c r="O219" s="222">
        <v>693.23900554800002</v>
      </c>
      <c r="P219" s="222">
        <v>693.23900554800002</v>
      </c>
      <c r="Q219" s="222">
        <v>693.23900554800002</v>
      </c>
      <c r="R219" s="222">
        <v>693.23900554800002</v>
      </c>
      <c r="S219" s="222"/>
      <c r="T219" s="222"/>
      <c r="U219" s="222"/>
      <c r="V219" s="221"/>
      <c r="W219" s="221"/>
      <c r="X219" s="221"/>
      <c r="Y219" s="221"/>
    </row>
    <row r="220" spans="1:25" x14ac:dyDescent="0.2">
      <c r="A220" s="210">
        <v>694</v>
      </c>
      <c r="B220" s="211" t="s">
        <v>352</v>
      </c>
      <c r="C220" s="209">
        <v>5</v>
      </c>
      <c r="D220" s="222">
        <v>103383.62432999999</v>
      </c>
      <c r="E220" s="222">
        <v>104273.50535297666</v>
      </c>
      <c r="F220" s="222">
        <v>109776.37480736818</v>
      </c>
      <c r="G220" s="222">
        <v>55736.467487415401</v>
      </c>
      <c r="H220" s="222">
        <v>54142.771647538124</v>
      </c>
      <c r="I220" s="222">
        <v>8703.2314700000006</v>
      </c>
      <c r="J220" s="222">
        <v>8284.8983069999995</v>
      </c>
      <c r="K220" s="222">
        <v>8983.8303620000024</v>
      </c>
      <c r="L220" s="222">
        <v>6934.1214930000006</v>
      </c>
      <c r="M220" s="222">
        <v>7021.3431470000005</v>
      </c>
      <c r="N220" s="222">
        <v>9621.5063699999992</v>
      </c>
      <c r="O220" s="222">
        <v>9694.0331917368003</v>
      </c>
      <c r="P220" s="222">
        <v>9694.0331917368003</v>
      </c>
      <c r="Q220" s="222">
        <v>9694.0331917368003</v>
      </c>
      <c r="R220" s="222">
        <v>9694.0331917368003</v>
      </c>
      <c r="S220" s="222"/>
      <c r="T220" s="222"/>
      <c r="U220" s="222"/>
      <c r="V220" s="221"/>
      <c r="W220" s="221"/>
      <c r="X220" s="221"/>
      <c r="Y220" s="221"/>
    </row>
    <row r="221" spans="1:25" x14ac:dyDescent="0.2">
      <c r="A221" s="210">
        <v>697</v>
      </c>
      <c r="B221" s="211" t="s">
        <v>353</v>
      </c>
      <c r="C221" s="209">
        <v>18</v>
      </c>
      <c r="D221" s="222">
        <v>3762.76109</v>
      </c>
      <c r="E221" s="222">
        <v>3662.4641155837871</v>
      </c>
      <c r="F221" s="222">
        <v>3805.2116287782992</v>
      </c>
      <c r="G221" s="222">
        <v>2022.5818365906646</v>
      </c>
      <c r="H221" s="222">
        <v>2008.211519098257</v>
      </c>
      <c r="I221" s="222">
        <v>493.97197999999997</v>
      </c>
      <c r="J221" s="222">
        <v>456.94152099999997</v>
      </c>
      <c r="K221" s="222">
        <v>494.93683599999997</v>
      </c>
      <c r="L221" s="222">
        <v>382.01435399999997</v>
      </c>
      <c r="M221" s="222">
        <v>386.81956600000001</v>
      </c>
      <c r="N221" s="222">
        <v>825.65368999999998</v>
      </c>
      <c r="O221" s="222">
        <v>809.05516053600002</v>
      </c>
      <c r="P221" s="222">
        <v>809.05516053600002</v>
      </c>
      <c r="Q221" s="222">
        <v>809.05516053600002</v>
      </c>
      <c r="R221" s="222">
        <v>809.05516053600002</v>
      </c>
      <c r="S221" s="222"/>
      <c r="T221" s="222"/>
      <c r="U221" s="222"/>
      <c r="V221" s="221"/>
      <c r="W221" s="221"/>
      <c r="X221" s="221"/>
      <c r="Y221" s="221"/>
    </row>
    <row r="222" spans="1:25" x14ac:dyDescent="0.2">
      <c r="A222" s="210">
        <v>698</v>
      </c>
      <c r="B222" s="210" t="s">
        <v>354</v>
      </c>
      <c r="C222" s="209">
        <v>19</v>
      </c>
      <c r="D222" s="222">
        <v>207250.91654000001</v>
      </c>
      <c r="E222" s="222">
        <v>211682.62095236868</v>
      </c>
      <c r="F222" s="222">
        <v>220693.64258168527</v>
      </c>
      <c r="G222" s="222">
        <v>116898.88355259784</v>
      </c>
      <c r="H222" s="222">
        <v>113884.38805833762</v>
      </c>
      <c r="I222" s="222">
        <v>11869.921470000001</v>
      </c>
      <c r="J222" s="222">
        <v>10382.330597000002</v>
      </c>
      <c r="K222" s="222">
        <v>11251.804666000002</v>
      </c>
      <c r="L222" s="222">
        <v>8684.6453490000022</v>
      </c>
      <c r="M222" s="222">
        <v>8793.8861710000019</v>
      </c>
      <c r="N222" s="222">
        <v>30474.136549999999</v>
      </c>
      <c r="O222" s="222">
        <v>30525.717783803997</v>
      </c>
      <c r="P222" s="222">
        <v>30525.717783803997</v>
      </c>
      <c r="Q222" s="222">
        <v>30525.717783803997</v>
      </c>
      <c r="R222" s="222">
        <v>30525.717783803997</v>
      </c>
      <c r="S222" s="222"/>
      <c r="T222" s="222"/>
      <c r="U222" s="222"/>
      <c r="V222" s="221"/>
      <c r="W222" s="221"/>
      <c r="X222" s="221"/>
      <c r="Y222" s="221"/>
    </row>
    <row r="223" spans="1:25" x14ac:dyDescent="0.2">
      <c r="A223" s="210">
        <v>700</v>
      </c>
      <c r="B223" s="210" t="s">
        <v>355</v>
      </c>
      <c r="C223" s="209">
        <v>9</v>
      </c>
      <c r="D223" s="222">
        <v>17009.445039999999</v>
      </c>
      <c r="E223" s="222">
        <v>17213.160316057401</v>
      </c>
      <c r="F223" s="222">
        <v>17561.322261161564</v>
      </c>
      <c r="G223" s="222">
        <v>8775.3514784834697</v>
      </c>
      <c r="H223" s="222">
        <v>8614.2624989617179</v>
      </c>
      <c r="I223" s="222">
        <v>2056.4561800000001</v>
      </c>
      <c r="J223" s="222">
        <v>2037.5546509999999</v>
      </c>
      <c r="K223" s="222">
        <v>2210.5260539999999</v>
      </c>
      <c r="L223" s="222">
        <v>1706.1827310000003</v>
      </c>
      <c r="M223" s="222">
        <v>1727.644149</v>
      </c>
      <c r="N223" s="222">
        <v>1793.1323200000002</v>
      </c>
      <c r="O223" s="222">
        <v>1787.5845813432002</v>
      </c>
      <c r="P223" s="222">
        <v>1787.5845813432002</v>
      </c>
      <c r="Q223" s="222">
        <v>1787.5845813432002</v>
      </c>
      <c r="R223" s="222">
        <v>1787.5845813432002</v>
      </c>
      <c r="S223" s="222"/>
      <c r="T223" s="222"/>
      <c r="U223" s="222"/>
      <c r="V223" s="221"/>
      <c r="W223" s="221"/>
      <c r="X223" s="221"/>
      <c r="Y223" s="221"/>
    </row>
    <row r="224" spans="1:25" x14ac:dyDescent="0.2">
      <c r="A224" s="210">
        <v>702</v>
      </c>
      <c r="B224" s="246" t="s">
        <v>356</v>
      </c>
      <c r="C224" s="209">
        <v>6</v>
      </c>
      <c r="D224" s="222">
        <v>13311.66977</v>
      </c>
      <c r="E224" s="222">
        <v>12956.904147374515</v>
      </c>
      <c r="F224" s="222">
        <v>13488.540051337541</v>
      </c>
      <c r="G224" s="222">
        <v>7290.8949126503239</v>
      </c>
      <c r="H224" s="222">
        <v>7236.4043012182001</v>
      </c>
      <c r="I224" s="222">
        <v>1657.5929099999998</v>
      </c>
      <c r="J224" s="222">
        <v>1579.573605</v>
      </c>
      <c r="K224" s="222">
        <v>1712.7647519999998</v>
      </c>
      <c r="L224" s="222">
        <v>1321.9883279999999</v>
      </c>
      <c r="M224" s="222">
        <v>1338.6171119999999</v>
      </c>
      <c r="N224" s="222">
        <v>1604.40184</v>
      </c>
      <c r="O224" s="222">
        <v>1597.5904603439999</v>
      </c>
      <c r="P224" s="222">
        <v>1597.5904603439999</v>
      </c>
      <c r="Q224" s="222">
        <v>1597.5904603439999</v>
      </c>
      <c r="R224" s="222">
        <v>1597.5904603439999</v>
      </c>
      <c r="S224" s="222"/>
      <c r="T224" s="222"/>
      <c r="U224" s="222"/>
      <c r="V224" s="221"/>
      <c r="W224" s="221"/>
      <c r="X224" s="221"/>
      <c r="Y224" s="221"/>
    </row>
    <row r="225" spans="1:25" x14ac:dyDescent="0.2">
      <c r="A225" s="210">
        <v>704</v>
      </c>
      <c r="B225" s="211" t="s">
        <v>357</v>
      </c>
      <c r="C225" s="209">
        <v>2</v>
      </c>
      <c r="D225" s="222">
        <v>21838.491870000002</v>
      </c>
      <c r="E225" s="222">
        <v>22963.001452961416</v>
      </c>
      <c r="F225" s="222">
        <v>23757.054085893891</v>
      </c>
      <c r="G225" s="222">
        <v>11867.92746941658</v>
      </c>
      <c r="H225" s="222">
        <v>11328.282558130732</v>
      </c>
      <c r="I225" s="222">
        <v>1298.6710800000001</v>
      </c>
      <c r="J225" s="222">
        <v>1280.1227439999998</v>
      </c>
      <c r="K225" s="222">
        <v>1387.6543160000001</v>
      </c>
      <c r="L225" s="222">
        <v>1071.053574</v>
      </c>
      <c r="M225" s="222">
        <v>1084.525946</v>
      </c>
      <c r="N225" s="222">
        <v>1171.7744399999999</v>
      </c>
      <c r="O225" s="222">
        <v>1174.3050284927999</v>
      </c>
      <c r="P225" s="222">
        <v>1174.3050284927999</v>
      </c>
      <c r="Q225" s="222">
        <v>1174.3050284927999</v>
      </c>
      <c r="R225" s="222">
        <v>1174.3050284927999</v>
      </c>
      <c r="S225" s="222"/>
      <c r="T225" s="222"/>
      <c r="U225" s="222"/>
      <c r="V225" s="221"/>
      <c r="W225" s="221"/>
      <c r="X225" s="221"/>
      <c r="Y225" s="221"/>
    </row>
    <row r="226" spans="1:25" x14ac:dyDescent="0.2">
      <c r="A226" s="210">
        <v>707</v>
      </c>
      <c r="B226" s="211" t="s">
        <v>358</v>
      </c>
      <c r="C226" s="209">
        <v>12</v>
      </c>
      <c r="D226" s="222">
        <v>4877.2664299999997</v>
      </c>
      <c r="E226" s="222">
        <v>4930.894235062774</v>
      </c>
      <c r="F226" s="222">
        <v>5057.9350812689054</v>
      </c>
      <c r="G226" s="222">
        <v>2819.1413677215</v>
      </c>
      <c r="H226" s="222">
        <v>2768.2700310473288</v>
      </c>
      <c r="I226" s="222">
        <v>542.11968000000002</v>
      </c>
      <c r="J226" s="222">
        <v>490.80254300000001</v>
      </c>
      <c r="K226" s="222">
        <v>532.00220999999999</v>
      </c>
      <c r="L226" s="222">
        <v>410.623065</v>
      </c>
      <c r="M226" s="222">
        <v>415.78813500000007</v>
      </c>
      <c r="N226" s="222">
        <v>643.31668999999999</v>
      </c>
      <c r="O226" s="222">
        <v>639.40117689600004</v>
      </c>
      <c r="P226" s="222">
        <v>639.40117689600004</v>
      </c>
      <c r="Q226" s="222">
        <v>639.40117689600004</v>
      </c>
      <c r="R226" s="222">
        <v>639.40117689600004</v>
      </c>
      <c r="S226" s="222"/>
      <c r="T226" s="222"/>
      <c r="U226" s="222"/>
      <c r="V226" s="221"/>
      <c r="W226" s="221"/>
      <c r="X226" s="221"/>
      <c r="Y226" s="221"/>
    </row>
    <row r="227" spans="1:25" x14ac:dyDescent="0.2">
      <c r="A227" s="210">
        <v>729</v>
      </c>
      <c r="B227" s="211" t="s">
        <v>359</v>
      </c>
      <c r="C227" s="209">
        <v>13</v>
      </c>
      <c r="D227" s="222">
        <v>25932.810750000001</v>
      </c>
      <c r="E227" s="222">
        <v>25679.606894531942</v>
      </c>
      <c r="F227" s="222">
        <v>26797.300055792093</v>
      </c>
      <c r="G227" s="222">
        <v>14272.458948314781</v>
      </c>
      <c r="H227" s="222">
        <v>14143.208899660631</v>
      </c>
      <c r="I227" s="222">
        <v>2207.99584</v>
      </c>
      <c r="J227" s="222">
        <v>2239.1607760000002</v>
      </c>
      <c r="K227" s="222">
        <v>2424.2372519999999</v>
      </c>
      <c r="L227" s="222">
        <v>1871.1345779999999</v>
      </c>
      <c r="M227" s="222">
        <v>1894.6708620000002</v>
      </c>
      <c r="N227" s="222">
        <v>2328.5072</v>
      </c>
      <c r="O227" s="222">
        <v>2317.254132516</v>
      </c>
      <c r="P227" s="222">
        <v>2317.254132516</v>
      </c>
      <c r="Q227" s="222">
        <v>2317.254132516</v>
      </c>
      <c r="R227" s="222">
        <v>2317.254132516</v>
      </c>
      <c r="S227" s="222"/>
      <c r="T227" s="222"/>
      <c r="U227" s="222"/>
      <c r="V227" s="221"/>
      <c r="W227" s="221"/>
      <c r="X227" s="221"/>
      <c r="Y227" s="221"/>
    </row>
    <row r="228" spans="1:25" x14ac:dyDescent="0.2">
      <c r="A228" s="210">
        <v>732</v>
      </c>
      <c r="B228" s="211" t="s">
        <v>360</v>
      </c>
      <c r="C228" s="209">
        <v>19</v>
      </c>
      <c r="D228" s="222">
        <v>9002.5066600000009</v>
      </c>
      <c r="E228" s="222">
        <v>8920.0400238559414</v>
      </c>
      <c r="F228" s="222">
        <v>9260.9660715518639</v>
      </c>
      <c r="G228" s="222">
        <v>4712.60022273698</v>
      </c>
      <c r="H228" s="222">
        <v>4637.4927625295777</v>
      </c>
      <c r="I228" s="222">
        <v>1301.0211200000001</v>
      </c>
      <c r="J228" s="222">
        <v>1097.3736900000001</v>
      </c>
      <c r="K228" s="222">
        <v>1188.391752</v>
      </c>
      <c r="L228" s="222">
        <v>917.253828</v>
      </c>
      <c r="M228" s="222">
        <v>928.79161199999987</v>
      </c>
      <c r="N228" s="222">
        <v>1288.9800700000001</v>
      </c>
      <c r="O228" s="222">
        <v>1318.274790552</v>
      </c>
      <c r="P228" s="222">
        <v>1318.274790552</v>
      </c>
      <c r="Q228" s="222">
        <v>1318.274790552</v>
      </c>
      <c r="R228" s="222">
        <v>1318.274790552</v>
      </c>
      <c r="S228" s="222"/>
      <c r="T228" s="222"/>
      <c r="U228" s="222"/>
      <c r="V228" s="221"/>
      <c r="W228" s="221"/>
      <c r="X228" s="221"/>
      <c r="Y228" s="221"/>
    </row>
    <row r="229" spans="1:25" x14ac:dyDescent="0.2">
      <c r="A229" s="210">
        <v>734</v>
      </c>
      <c r="B229" s="211" t="s">
        <v>361</v>
      </c>
      <c r="C229" s="209">
        <v>2</v>
      </c>
      <c r="D229" s="222">
        <v>169253.0355</v>
      </c>
      <c r="E229" s="222">
        <v>162562.28420369665</v>
      </c>
      <c r="F229" s="222">
        <v>173513.42690660467</v>
      </c>
      <c r="G229" s="222">
        <v>89098.635432207157</v>
      </c>
      <c r="H229" s="222">
        <v>87237.590304506128</v>
      </c>
      <c r="I229" s="222">
        <v>12320.988869999999</v>
      </c>
      <c r="J229" s="222">
        <v>11917.404777000002</v>
      </c>
      <c r="K229" s="222">
        <v>12756.418159999999</v>
      </c>
      <c r="L229" s="222">
        <v>9845.9732399999994</v>
      </c>
      <c r="M229" s="222">
        <v>9969.8219599999993</v>
      </c>
      <c r="N229" s="222">
        <v>14550.00713</v>
      </c>
      <c r="O229" s="222">
        <v>14394.906750501603</v>
      </c>
      <c r="P229" s="222">
        <v>14394.906750501603</v>
      </c>
      <c r="Q229" s="222">
        <v>14394.906750501603</v>
      </c>
      <c r="R229" s="222">
        <v>14394.906750501603</v>
      </c>
      <c r="S229" s="222"/>
      <c r="T229" s="222"/>
      <c r="U229" s="222"/>
      <c r="V229" s="221"/>
      <c r="W229" s="221"/>
      <c r="X229" s="221"/>
      <c r="Y229" s="221"/>
    </row>
    <row r="230" spans="1:25" x14ac:dyDescent="0.2">
      <c r="A230" s="210">
        <v>790</v>
      </c>
      <c r="B230" s="211" t="s">
        <v>134</v>
      </c>
      <c r="C230" s="209">
        <v>6</v>
      </c>
      <c r="D230" s="222">
        <v>72032.604909999995</v>
      </c>
      <c r="E230" s="222">
        <v>72800.787556400857</v>
      </c>
      <c r="F230" s="222">
        <v>75487.593358924598</v>
      </c>
      <c r="G230" s="222">
        <v>39240.908497759898</v>
      </c>
      <c r="H230" s="222">
        <v>38356.632644803074</v>
      </c>
      <c r="I230" s="222">
        <v>4787.9138700000003</v>
      </c>
      <c r="J230" s="222">
        <v>4757.1606340000008</v>
      </c>
      <c r="K230" s="222">
        <v>5156.8369339999999</v>
      </c>
      <c r="L230" s="222">
        <v>3980.277051</v>
      </c>
      <c r="M230" s="222">
        <v>4030.3434289999996</v>
      </c>
      <c r="N230" s="222">
        <v>5718.3005599999997</v>
      </c>
      <c r="O230" s="222">
        <v>5708.2558837584011</v>
      </c>
      <c r="P230" s="222">
        <v>5708.2558837584011</v>
      </c>
      <c r="Q230" s="222">
        <v>5708.2558837584011</v>
      </c>
      <c r="R230" s="222">
        <v>5708.2558837584011</v>
      </c>
      <c r="S230" s="222"/>
      <c r="T230" s="222"/>
      <c r="U230" s="222"/>
      <c r="V230" s="221"/>
      <c r="W230" s="221"/>
      <c r="X230" s="221"/>
      <c r="Y230" s="221"/>
    </row>
    <row r="231" spans="1:25" x14ac:dyDescent="0.2">
      <c r="A231" s="210">
        <v>738</v>
      </c>
      <c r="B231" s="250" t="s">
        <v>362</v>
      </c>
      <c r="C231" s="209">
        <v>2</v>
      </c>
      <c r="D231" s="222">
        <v>10059.559650000001</v>
      </c>
      <c r="E231" s="222">
        <v>10175.978711253492</v>
      </c>
      <c r="F231" s="222">
        <v>10659.310884349119</v>
      </c>
      <c r="G231" s="222">
        <v>5799.7988999357713</v>
      </c>
      <c r="H231" s="222">
        <v>5639.8748526357067</v>
      </c>
      <c r="I231" s="222">
        <v>450.73788000000002</v>
      </c>
      <c r="J231" s="222">
        <v>481.15449000000001</v>
      </c>
      <c r="K231" s="222">
        <v>522.2868380000001</v>
      </c>
      <c r="L231" s="222">
        <v>403.12430699999999</v>
      </c>
      <c r="M231" s="222">
        <v>408.19505299999997</v>
      </c>
      <c r="N231" s="222">
        <v>1089.0798500000001</v>
      </c>
      <c r="O231" s="222">
        <v>1147.3256287200002</v>
      </c>
      <c r="P231" s="222">
        <v>1147.3256287200002</v>
      </c>
      <c r="Q231" s="222">
        <v>1147.3256287200002</v>
      </c>
      <c r="R231" s="222">
        <v>1147.3256287200002</v>
      </c>
      <c r="S231" s="222"/>
      <c r="T231" s="222"/>
      <c r="U231" s="222"/>
      <c r="V231" s="221"/>
      <c r="W231" s="221"/>
      <c r="X231" s="221"/>
      <c r="Y231" s="221"/>
    </row>
    <row r="232" spans="1:25" x14ac:dyDescent="0.2">
      <c r="A232" s="210">
        <v>739</v>
      </c>
      <c r="B232" s="211" t="s">
        <v>363</v>
      </c>
      <c r="C232" s="209">
        <v>9</v>
      </c>
      <c r="D232" s="222">
        <v>9601.5501400000012</v>
      </c>
      <c r="E232" s="222">
        <v>9821.029783762262</v>
      </c>
      <c r="F232" s="222">
        <v>10214.173750965378</v>
      </c>
      <c r="G232" s="222">
        <v>5447.5950151734523</v>
      </c>
      <c r="H232" s="222">
        <v>5361.7304432649798</v>
      </c>
      <c r="I232" s="222">
        <v>1364.37384</v>
      </c>
      <c r="J232" s="222">
        <v>1187.8678360000001</v>
      </c>
      <c r="K232" s="222">
        <v>1287.916532</v>
      </c>
      <c r="L232" s="222">
        <v>994.07149799999991</v>
      </c>
      <c r="M232" s="222">
        <v>1006.575542</v>
      </c>
      <c r="N232" s="222">
        <v>1348.4762900000001</v>
      </c>
      <c r="O232" s="222">
        <v>1332.754603932</v>
      </c>
      <c r="P232" s="222">
        <v>1332.754603932</v>
      </c>
      <c r="Q232" s="222">
        <v>1332.754603932</v>
      </c>
      <c r="R232" s="222">
        <v>1332.754603932</v>
      </c>
      <c r="S232" s="222"/>
      <c r="T232" s="222"/>
      <c r="U232" s="222"/>
      <c r="V232" s="221"/>
      <c r="W232" s="221"/>
      <c r="X232" s="221"/>
      <c r="Y232" s="221"/>
    </row>
    <row r="233" spans="1:25" x14ac:dyDescent="0.2">
      <c r="A233" s="210">
        <v>740</v>
      </c>
      <c r="B233" s="211" t="s">
        <v>364</v>
      </c>
      <c r="C233" s="209">
        <v>10</v>
      </c>
      <c r="D233" s="222">
        <v>114321.04042</v>
      </c>
      <c r="E233" s="222">
        <v>111430.18935379386</v>
      </c>
      <c r="F233" s="222">
        <v>115435.62083645511</v>
      </c>
      <c r="G233" s="222">
        <v>62891.547390182714</v>
      </c>
      <c r="H233" s="222">
        <v>62131.753842319857</v>
      </c>
      <c r="I233" s="222">
        <v>9054.1539499999999</v>
      </c>
      <c r="J233" s="222">
        <v>9842.5432020000026</v>
      </c>
      <c r="K233" s="222">
        <v>10686.127842000002</v>
      </c>
      <c r="L233" s="222">
        <v>8248.0307130000019</v>
      </c>
      <c r="M233" s="222">
        <v>8351.7795270000006</v>
      </c>
      <c r="N233" s="222">
        <v>13847.98036</v>
      </c>
      <c r="O233" s="222">
        <v>13317.4457667936</v>
      </c>
      <c r="P233" s="222">
        <v>13317.4457667936</v>
      </c>
      <c r="Q233" s="222">
        <v>13317.4457667936</v>
      </c>
      <c r="R233" s="222">
        <v>13317.4457667936</v>
      </c>
      <c r="S233" s="222"/>
      <c r="T233" s="222"/>
      <c r="U233" s="222"/>
      <c r="V233" s="221"/>
      <c r="W233" s="221"/>
      <c r="X233" s="221"/>
      <c r="Y233" s="221"/>
    </row>
    <row r="234" spans="1:25" x14ac:dyDescent="0.2">
      <c r="A234" s="210">
        <v>742</v>
      </c>
      <c r="B234" s="211" t="s">
        <v>365</v>
      </c>
      <c r="C234" s="209">
        <v>19</v>
      </c>
      <c r="D234" s="222">
        <v>2836.0662599999996</v>
      </c>
      <c r="E234" s="222">
        <v>2695.792125838113</v>
      </c>
      <c r="F234" s="222">
        <v>2878.5900360658566</v>
      </c>
      <c r="G234" s="222">
        <v>1556.8663855498885</v>
      </c>
      <c r="H234" s="222">
        <v>1534.3944228660675</v>
      </c>
      <c r="I234" s="222">
        <v>978.01235999999994</v>
      </c>
      <c r="J234" s="222">
        <v>982.2270759999999</v>
      </c>
      <c r="K234" s="222">
        <v>1063.8869999999999</v>
      </c>
      <c r="L234" s="222">
        <v>821.15550000000007</v>
      </c>
      <c r="M234" s="222">
        <v>831.48450000000003</v>
      </c>
      <c r="N234" s="222">
        <v>398.08509000000004</v>
      </c>
      <c r="O234" s="222">
        <v>395.71392523200001</v>
      </c>
      <c r="P234" s="222">
        <v>395.71392523200001</v>
      </c>
      <c r="Q234" s="222">
        <v>395.71392523200001</v>
      </c>
      <c r="R234" s="222">
        <v>395.71392523200001</v>
      </c>
      <c r="S234" s="222"/>
      <c r="T234" s="222"/>
      <c r="U234" s="222"/>
      <c r="V234" s="221"/>
      <c r="W234" s="221"/>
      <c r="X234" s="221"/>
      <c r="Y234" s="221"/>
    </row>
    <row r="235" spans="1:25" x14ac:dyDescent="0.2">
      <c r="A235" s="210">
        <v>743</v>
      </c>
      <c r="B235" s="211" t="s">
        <v>366</v>
      </c>
      <c r="C235" s="209">
        <v>14</v>
      </c>
      <c r="D235" s="222">
        <v>207969.54717999999</v>
      </c>
      <c r="E235" s="222">
        <v>214513.13469382381</v>
      </c>
      <c r="F235" s="222">
        <v>225443.28981659375</v>
      </c>
      <c r="G235" s="222">
        <v>120273.05869962642</v>
      </c>
      <c r="H235" s="222">
        <v>116705.31226396064</v>
      </c>
      <c r="I235" s="222">
        <v>15560.31149</v>
      </c>
      <c r="J235" s="222">
        <v>14586.101062999998</v>
      </c>
      <c r="K235" s="222">
        <v>15783.516059999998</v>
      </c>
      <c r="L235" s="222">
        <v>12182.42259</v>
      </c>
      <c r="M235" s="222">
        <v>12335.660609999999</v>
      </c>
      <c r="N235" s="222">
        <v>23969.696510000002</v>
      </c>
      <c r="O235" s="222">
        <v>24644.837202792001</v>
      </c>
      <c r="P235" s="222">
        <v>24644.837202792001</v>
      </c>
      <c r="Q235" s="222">
        <v>24644.837202792001</v>
      </c>
      <c r="R235" s="222">
        <v>24644.837202792001</v>
      </c>
      <c r="S235" s="222"/>
      <c r="T235" s="222"/>
      <c r="U235" s="222"/>
      <c r="V235" s="221"/>
      <c r="W235" s="221"/>
      <c r="X235" s="221"/>
      <c r="Y235" s="221"/>
    </row>
    <row r="236" spans="1:25" x14ac:dyDescent="0.2">
      <c r="A236" s="210">
        <v>746</v>
      </c>
      <c r="B236" s="211" t="s">
        <v>367</v>
      </c>
      <c r="C236" s="209">
        <v>17</v>
      </c>
      <c r="D236" s="222">
        <v>12026.45865</v>
      </c>
      <c r="E236" s="222">
        <v>12683.253430179642</v>
      </c>
      <c r="F236" s="222">
        <v>13042.132153706018</v>
      </c>
      <c r="G236" s="222">
        <v>7146.9479682889996</v>
      </c>
      <c r="H236" s="222">
        <v>7036.3294075515632</v>
      </c>
      <c r="I236" s="222">
        <v>2232.4627700000001</v>
      </c>
      <c r="J236" s="222">
        <v>1939.5080130000001</v>
      </c>
      <c r="K236" s="222">
        <v>2101.3190679999998</v>
      </c>
      <c r="L236" s="222">
        <v>1621.8919020000003</v>
      </c>
      <c r="M236" s="222">
        <v>1642.2930580000002</v>
      </c>
      <c r="N236" s="222">
        <v>1048.76187</v>
      </c>
      <c r="O236" s="222">
        <v>1034.4957247055997</v>
      </c>
      <c r="P236" s="222">
        <v>1034.4957247055997</v>
      </c>
      <c r="Q236" s="222">
        <v>1034.4957247055997</v>
      </c>
      <c r="R236" s="222">
        <v>1034.4957247055997</v>
      </c>
      <c r="S236" s="222"/>
      <c r="T236" s="222"/>
      <c r="U236" s="222"/>
      <c r="V236" s="221"/>
      <c r="W236" s="221"/>
      <c r="X236" s="221"/>
      <c r="Y236" s="221"/>
    </row>
    <row r="237" spans="1:25" x14ac:dyDescent="0.2">
      <c r="A237" s="210">
        <v>747</v>
      </c>
      <c r="B237" s="211" t="s">
        <v>368</v>
      </c>
      <c r="C237" s="209">
        <v>4</v>
      </c>
      <c r="D237" s="222">
        <v>3383.7048500000001</v>
      </c>
      <c r="E237" s="222">
        <v>3389.4472956436239</v>
      </c>
      <c r="F237" s="222">
        <v>3560.505084551939</v>
      </c>
      <c r="G237" s="222">
        <v>1970.5593000748006</v>
      </c>
      <c r="H237" s="222">
        <v>1959.3076791619342</v>
      </c>
      <c r="I237" s="222">
        <v>610.15344999999991</v>
      </c>
      <c r="J237" s="222">
        <v>583.79946600000005</v>
      </c>
      <c r="K237" s="222">
        <v>632.05723399999999</v>
      </c>
      <c r="L237" s="222">
        <v>487.85000099999996</v>
      </c>
      <c r="M237" s="222">
        <v>493.98647899999997</v>
      </c>
      <c r="N237" s="222">
        <v>545.66431999999998</v>
      </c>
      <c r="O237" s="222">
        <v>753.79306224000004</v>
      </c>
      <c r="P237" s="222">
        <v>753.79306224000004</v>
      </c>
      <c r="Q237" s="222">
        <v>753.79306224000004</v>
      </c>
      <c r="R237" s="222">
        <v>753.79306224000004</v>
      </c>
      <c r="S237" s="222"/>
      <c r="T237" s="222"/>
      <c r="U237" s="222"/>
      <c r="V237" s="221"/>
      <c r="W237" s="221"/>
      <c r="X237" s="221"/>
      <c r="Y237" s="221"/>
    </row>
    <row r="238" spans="1:25" x14ac:dyDescent="0.2">
      <c r="A238" s="210">
        <v>748</v>
      </c>
      <c r="B238" s="211" t="s">
        <v>369</v>
      </c>
      <c r="C238" s="209">
        <v>17</v>
      </c>
      <c r="D238" s="222">
        <v>14895.08473</v>
      </c>
      <c r="E238" s="222">
        <v>15124.355211636412</v>
      </c>
      <c r="F238" s="222">
        <v>15633.663505895307</v>
      </c>
      <c r="G238" s="222">
        <v>8581.9522753114652</v>
      </c>
      <c r="H238" s="222">
        <v>8434.154066913432</v>
      </c>
      <c r="I238" s="222">
        <v>869.32848999999999</v>
      </c>
      <c r="J238" s="222">
        <v>839.85138099999995</v>
      </c>
      <c r="K238" s="222">
        <v>908.92123400000003</v>
      </c>
      <c r="L238" s="222">
        <v>701.54600100000005</v>
      </c>
      <c r="M238" s="222">
        <v>710.37047900000005</v>
      </c>
      <c r="N238" s="222">
        <v>1141.44075</v>
      </c>
      <c r="O238" s="222">
        <v>1378.3350199560002</v>
      </c>
      <c r="P238" s="222">
        <v>1378.3350199560002</v>
      </c>
      <c r="Q238" s="222">
        <v>1378.3350199560002</v>
      </c>
      <c r="R238" s="222">
        <v>1378.3350199560002</v>
      </c>
      <c r="S238" s="222"/>
      <c r="T238" s="222"/>
      <c r="U238" s="222"/>
      <c r="V238" s="221"/>
      <c r="W238" s="221"/>
      <c r="X238" s="221"/>
      <c r="Y238" s="221"/>
    </row>
    <row r="239" spans="1:25" x14ac:dyDescent="0.2">
      <c r="A239" s="210">
        <v>791</v>
      </c>
      <c r="B239" s="211" t="s">
        <v>135</v>
      </c>
      <c r="C239" s="209">
        <v>17</v>
      </c>
      <c r="D239" s="222">
        <v>14171.765160000001</v>
      </c>
      <c r="E239" s="222">
        <v>13842.387131193329</v>
      </c>
      <c r="F239" s="222">
        <v>14479.588840476368</v>
      </c>
      <c r="G239" s="222">
        <v>7998.5915812924286</v>
      </c>
      <c r="H239" s="222">
        <v>7911.5488417174702</v>
      </c>
      <c r="I239" s="222">
        <v>1266.8015700000001</v>
      </c>
      <c r="J239" s="222">
        <v>1187.4025839999999</v>
      </c>
      <c r="K239" s="222">
        <v>1284.7935719999998</v>
      </c>
      <c r="L239" s="222">
        <v>991.66105799999991</v>
      </c>
      <c r="M239" s="222">
        <v>1004.1347820000001</v>
      </c>
      <c r="N239" s="222">
        <v>1336.99053</v>
      </c>
      <c r="O239" s="222">
        <v>1325.1095900999999</v>
      </c>
      <c r="P239" s="222">
        <v>1325.1095900999999</v>
      </c>
      <c r="Q239" s="222">
        <v>1325.1095900999999</v>
      </c>
      <c r="R239" s="222">
        <v>1325.1095900999999</v>
      </c>
      <c r="S239" s="222"/>
      <c r="T239" s="222"/>
      <c r="U239" s="222"/>
      <c r="V239" s="221"/>
      <c r="W239" s="221"/>
      <c r="X239" s="221"/>
      <c r="Y239" s="221"/>
    </row>
    <row r="240" spans="1:25" x14ac:dyDescent="0.2">
      <c r="A240" s="210">
        <v>749</v>
      </c>
      <c r="B240" s="211" t="s">
        <v>370</v>
      </c>
      <c r="C240" s="209">
        <v>11</v>
      </c>
      <c r="D240" s="222">
        <v>75885.438720000006</v>
      </c>
      <c r="E240" s="222">
        <v>77742.808533768359</v>
      </c>
      <c r="F240" s="222">
        <v>81459.54517958872</v>
      </c>
      <c r="G240" s="222">
        <v>43296.155180696995</v>
      </c>
      <c r="H240" s="222">
        <v>42118.849219381103</v>
      </c>
      <c r="I240" s="222">
        <v>4671.1762399999998</v>
      </c>
      <c r="J240" s="222">
        <v>4015.991794</v>
      </c>
      <c r="K240" s="222">
        <v>4343.5058799999997</v>
      </c>
      <c r="L240" s="222">
        <v>3352.5118199999997</v>
      </c>
      <c r="M240" s="222">
        <v>3394.6817799999994</v>
      </c>
      <c r="N240" s="222">
        <v>5334.0374800000009</v>
      </c>
      <c r="O240" s="222">
        <v>5332.7301968880001</v>
      </c>
      <c r="P240" s="222">
        <v>5332.7301968880001</v>
      </c>
      <c r="Q240" s="222">
        <v>5332.7301968880001</v>
      </c>
      <c r="R240" s="222">
        <v>5332.7301968880001</v>
      </c>
      <c r="S240" s="222"/>
      <c r="T240" s="222"/>
      <c r="U240" s="222"/>
      <c r="V240" s="221"/>
      <c r="W240" s="221"/>
      <c r="X240" s="221"/>
      <c r="Y240" s="221"/>
    </row>
    <row r="241" spans="1:25" x14ac:dyDescent="0.2">
      <c r="A241" s="210">
        <v>751</v>
      </c>
      <c r="B241" s="211" t="s">
        <v>371</v>
      </c>
      <c r="C241" s="209">
        <v>19</v>
      </c>
      <c r="D241" s="222">
        <v>10482.61706</v>
      </c>
      <c r="E241" s="222">
        <v>10399.135741544045</v>
      </c>
      <c r="F241" s="222">
        <v>10981.56252088656</v>
      </c>
      <c r="G241" s="222">
        <v>5897.9626074292537</v>
      </c>
      <c r="H241" s="222">
        <v>5824.7895854297867</v>
      </c>
      <c r="I241" s="222">
        <v>357.58052000000004</v>
      </c>
      <c r="J241" s="222">
        <v>353.91013299999997</v>
      </c>
      <c r="K241" s="222">
        <v>383.61155199999996</v>
      </c>
      <c r="L241" s="222">
        <v>296.088528</v>
      </c>
      <c r="M241" s="222">
        <v>299.81291199999998</v>
      </c>
      <c r="N241" s="222">
        <v>1117.9540400000001</v>
      </c>
      <c r="O241" s="222">
        <v>1633.1243091840001</v>
      </c>
      <c r="P241" s="222">
        <v>1633.1243091840001</v>
      </c>
      <c r="Q241" s="222">
        <v>1633.1243091840001</v>
      </c>
      <c r="R241" s="222">
        <v>1633.1243091840001</v>
      </c>
      <c r="S241" s="222"/>
      <c r="T241" s="222"/>
      <c r="U241" s="222"/>
      <c r="V241" s="221"/>
      <c r="W241" s="221"/>
      <c r="X241" s="221"/>
      <c r="Y241" s="221"/>
    </row>
    <row r="242" spans="1:25" x14ac:dyDescent="0.2">
      <c r="A242" s="210">
        <v>753</v>
      </c>
      <c r="B242" s="211" t="s">
        <v>372</v>
      </c>
      <c r="C242" s="209">
        <v>1</v>
      </c>
      <c r="D242" s="222">
        <v>83263.855769999995</v>
      </c>
      <c r="E242" s="222">
        <v>86301.11323050542</v>
      </c>
      <c r="F242" s="222">
        <v>89529.145011668603</v>
      </c>
      <c r="G242" s="222">
        <v>42810.614437684519</v>
      </c>
      <c r="H242" s="222">
        <v>40675.697468402912</v>
      </c>
      <c r="I242" s="222">
        <v>4677.6891100000003</v>
      </c>
      <c r="J242" s="222">
        <v>4643.0496700000003</v>
      </c>
      <c r="K242" s="222">
        <v>5021.9372160000003</v>
      </c>
      <c r="L242" s="222">
        <v>3876.1554240000005</v>
      </c>
      <c r="M242" s="222">
        <v>3924.912096</v>
      </c>
      <c r="N242" s="222">
        <v>8957.0595599999997</v>
      </c>
      <c r="O242" s="222">
        <v>9392.9365562879975</v>
      </c>
      <c r="P242" s="222">
        <v>9392.9365562879975</v>
      </c>
      <c r="Q242" s="222">
        <v>9392.9365562879975</v>
      </c>
      <c r="R242" s="222">
        <v>9392.9365562879975</v>
      </c>
      <c r="S242" s="222"/>
      <c r="T242" s="222"/>
      <c r="U242" s="222"/>
      <c r="V242" s="221"/>
      <c r="W242" s="221"/>
      <c r="X242" s="221"/>
      <c r="Y242" s="221"/>
    </row>
    <row r="243" spans="1:25" x14ac:dyDescent="0.2">
      <c r="A243" s="210">
        <v>755</v>
      </c>
      <c r="B243" s="246" t="s">
        <v>373</v>
      </c>
      <c r="C243" s="209">
        <v>1</v>
      </c>
      <c r="D243" s="222">
        <v>26425.527620000001</v>
      </c>
      <c r="E243" s="222">
        <v>26601.719175636634</v>
      </c>
      <c r="F243" s="222">
        <v>28310.166232930016</v>
      </c>
      <c r="G243" s="222">
        <v>15203.95072226346</v>
      </c>
      <c r="H243" s="222">
        <v>14722.552443791941</v>
      </c>
      <c r="I243" s="222">
        <v>556.22059999999999</v>
      </c>
      <c r="J243" s="222">
        <v>602.05713100000003</v>
      </c>
      <c r="K243" s="222">
        <v>652.38346000000001</v>
      </c>
      <c r="L243" s="222">
        <v>503.53868999999997</v>
      </c>
      <c r="M243" s="222">
        <v>509.87251000000003</v>
      </c>
      <c r="N243" s="222">
        <v>2152.9936000000002</v>
      </c>
      <c r="O243" s="222">
        <v>2207.1909876479999</v>
      </c>
      <c r="P243" s="222">
        <v>2207.1909876479999</v>
      </c>
      <c r="Q243" s="222">
        <v>2207.1909876479999</v>
      </c>
      <c r="R243" s="222">
        <v>2207.1909876479999</v>
      </c>
      <c r="S243" s="222"/>
      <c r="T243" s="222"/>
      <c r="U243" s="222"/>
      <c r="V243" s="221"/>
      <c r="W243" s="221"/>
      <c r="X243" s="221"/>
      <c r="Y243" s="221"/>
    </row>
    <row r="244" spans="1:25" x14ac:dyDescent="0.2">
      <c r="A244" s="210">
        <v>758</v>
      </c>
      <c r="B244" s="211" t="s">
        <v>374</v>
      </c>
      <c r="C244" s="209">
        <v>19</v>
      </c>
      <c r="D244" s="222">
        <v>26241.88033</v>
      </c>
      <c r="E244" s="222">
        <v>26741.214525391864</v>
      </c>
      <c r="F244" s="222">
        <v>27985.341576526127</v>
      </c>
      <c r="G244" s="222">
        <v>13942.866206142915</v>
      </c>
      <c r="H244" s="222">
        <v>13544.490149544461</v>
      </c>
      <c r="I244" s="222">
        <v>2907.3817400000003</v>
      </c>
      <c r="J244" s="222">
        <v>3267.8401439999998</v>
      </c>
      <c r="K244" s="222">
        <v>3547.0598220000002</v>
      </c>
      <c r="L244" s="222">
        <v>2737.7791830000006</v>
      </c>
      <c r="M244" s="222">
        <v>2772.2166569999999</v>
      </c>
      <c r="N244" s="222">
        <v>7394.4465499999997</v>
      </c>
      <c r="O244" s="222">
        <v>7874.5294684320015</v>
      </c>
      <c r="P244" s="222">
        <v>7874.5294684320015</v>
      </c>
      <c r="Q244" s="222">
        <v>7874.5294684320015</v>
      </c>
      <c r="R244" s="222">
        <v>7874.5294684320015</v>
      </c>
      <c r="S244" s="222"/>
      <c r="T244" s="222"/>
      <c r="U244" s="222"/>
      <c r="V244" s="221"/>
      <c r="W244" s="221"/>
      <c r="X244" s="221"/>
      <c r="Y244" s="221"/>
    </row>
    <row r="245" spans="1:25" x14ac:dyDescent="0.2">
      <c r="A245" s="210">
        <v>759</v>
      </c>
      <c r="B245" s="211" t="s">
        <v>375</v>
      </c>
      <c r="C245" s="209">
        <v>14</v>
      </c>
      <c r="D245" s="222">
        <v>5025.83889</v>
      </c>
      <c r="E245" s="222">
        <v>4826.5943812732003</v>
      </c>
      <c r="F245" s="222">
        <v>5060.4949531600132</v>
      </c>
      <c r="G245" s="222">
        <v>2751.502223679523</v>
      </c>
      <c r="H245" s="222">
        <v>2728.3631015808351</v>
      </c>
      <c r="I245" s="222">
        <v>633.89198999999996</v>
      </c>
      <c r="J245" s="222">
        <v>597.46375199999989</v>
      </c>
      <c r="K245" s="222">
        <v>646.89108799999997</v>
      </c>
      <c r="L245" s="222">
        <v>499.29943200000002</v>
      </c>
      <c r="M245" s="222">
        <v>505.579928</v>
      </c>
      <c r="N245" s="222">
        <v>528.17737999999997</v>
      </c>
      <c r="O245" s="222">
        <v>488.94597061439998</v>
      </c>
      <c r="P245" s="222">
        <v>488.94597061439998</v>
      </c>
      <c r="Q245" s="222">
        <v>488.94597061439998</v>
      </c>
      <c r="R245" s="222">
        <v>488.94597061439998</v>
      </c>
      <c r="S245" s="222"/>
      <c r="T245" s="222"/>
      <c r="U245" s="222"/>
      <c r="V245" s="221"/>
      <c r="W245" s="221"/>
      <c r="X245" s="221"/>
      <c r="Y245" s="221"/>
    </row>
    <row r="246" spans="1:25" x14ac:dyDescent="0.2">
      <c r="A246" s="210">
        <v>761</v>
      </c>
      <c r="B246" s="211" t="s">
        <v>376</v>
      </c>
      <c r="C246" s="223">
        <v>2</v>
      </c>
      <c r="D246" s="222">
        <v>24047.74423</v>
      </c>
      <c r="E246" s="222">
        <v>24463.701331278342</v>
      </c>
      <c r="F246" s="222">
        <v>25629.008507788472</v>
      </c>
      <c r="G246" s="222">
        <v>12865.920632558353</v>
      </c>
      <c r="H246" s="222">
        <v>12470.758744222425</v>
      </c>
      <c r="I246" s="222">
        <v>1361.7470700000001</v>
      </c>
      <c r="J246" s="222">
        <v>1281.5188370000001</v>
      </c>
      <c r="K246" s="222">
        <v>1388.847262</v>
      </c>
      <c r="L246" s="222">
        <v>1071.9743430000001</v>
      </c>
      <c r="M246" s="222">
        <v>1085.4582969999999</v>
      </c>
      <c r="N246" s="222">
        <v>1788.1483899999998</v>
      </c>
      <c r="O246" s="222">
        <v>1779.5538215040001</v>
      </c>
      <c r="P246" s="222">
        <v>1779.5538215040001</v>
      </c>
      <c r="Q246" s="222">
        <v>1779.5538215040001</v>
      </c>
      <c r="R246" s="222">
        <v>1779.5538215040001</v>
      </c>
      <c r="S246" s="222"/>
      <c r="T246" s="222"/>
      <c r="U246" s="222"/>
      <c r="V246" s="221"/>
      <c r="W246" s="221"/>
      <c r="X246" s="221"/>
      <c r="Y246" s="221"/>
    </row>
    <row r="247" spans="1:25" x14ac:dyDescent="0.2">
      <c r="A247" s="210">
        <v>762</v>
      </c>
      <c r="B247" s="211" t="s">
        <v>377</v>
      </c>
      <c r="C247" s="209">
        <v>11</v>
      </c>
      <c r="D247" s="222">
        <v>9957.3184000000001</v>
      </c>
      <c r="E247" s="222">
        <v>9638.4025028032574</v>
      </c>
      <c r="F247" s="222">
        <v>10139.7601516095</v>
      </c>
      <c r="G247" s="222">
        <v>5162.9734747497332</v>
      </c>
      <c r="H247" s="222">
        <v>5073.7639798840692</v>
      </c>
      <c r="I247" s="222">
        <v>2119.7669799999999</v>
      </c>
      <c r="J247" s="222">
        <v>1974.2485009999998</v>
      </c>
      <c r="K247" s="222">
        <v>2140.8935219999994</v>
      </c>
      <c r="L247" s="222">
        <v>1652.4372329999999</v>
      </c>
      <c r="M247" s="222">
        <v>1673.2226069999997</v>
      </c>
      <c r="N247" s="222">
        <v>863.26882999999998</v>
      </c>
      <c r="O247" s="222">
        <v>869.12139233999994</v>
      </c>
      <c r="P247" s="222">
        <v>869.12139233999994</v>
      </c>
      <c r="Q247" s="222">
        <v>869.12139233999994</v>
      </c>
      <c r="R247" s="222">
        <v>869.12139233999994</v>
      </c>
      <c r="S247" s="222"/>
      <c r="T247" s="222"/>
      <c r="U247" s="222"/>
      <c r="V247" s="221"/>
      <c r="W247" s="221"/>
      <c r="X247" s="221"/>
      <c r="Y247" s="221"/>
    </row>
    <row r="248" spans="1:25" x14ac:dyDescent="0.2">
      <c r="A248" s="210">
        <v>765</v>
      </c>
      <c r="B248" s="211" t="s">
        <v>378</v>
      </c>
      <c r="C248" s="209">
        <v>18</v>
      </c>
      <c r="D248" s="222">
        <v>33265.076979999998</v>
      </c>
      <c r="E248" s="222">
        <v>33300.353120578082</v>
      </c>
      <c r="F248" s="222">
        <v>34125.919072579411</v>
      </c>
      <c r="G248" s="222">
        <v>18158.347265999852</v>
      </c>
      <c r="H248" s="222">
        <v>17833.993702283744</v>
      </c>
      <c r="I248" s="222">
        <v>2506.9028699999999</v>
      </c>
      <c r="J248" s="222">
        <v>2545.9590790000002</v>
      </c>
      <c r="K248" s="222">
        <v>2754.7768180000003</v>
      </c>
      <c r="L248" s="222">
        <v>2126.2597770000002</v>
      </c>
      <c r="M248" s="222">
        <v>2153.0051830000002</v>
      </c>
      <c r="N248" s="222">
        <v>4184.8514599999999</v>
      </c>
      <c r="O248" s="222">
        <v>4178.7906515279992</v>
      </c>
      <c r="P248" s="222">
        <v>4178.7906515279992</v>
      </c>
      <c r="Q248" s="222">
        <v>4178.7906515279992</v>
      </c>
      <c r="R248" s="222">
        <v>4178.7906515279992</v>
      </c>
      <c r="S248" s="222"/>
      <c r="T248" s="222"/>
      <c r="U248" s="222"/>
      <c r="V248" s="221"/>
      <c r="W248" s="221"/>
      <c r="X248" s="221"/>
      <c r="Y248" s="221"/>
    </row>
    <row r="249" spans="1:25" x14ac:dyDescent="0.2">
      <c r="A249" s="210">
        <v>768</v>
      </c>
      <c r="B249" s="211" t="s">
        <v>379</v>
      </c>
      <c r="C249" s="209">
        <v>10</v>
      </c>
      <c r="D249" s="222">
        <v>6838.4818600000008</v>
      </c>
      <c r="E249" s="222">
        <v>6422.4756798392382</v>
      </c>
      <c r="F249" s="222">
        <v>6714.0653166246511</v>
      </c>
      <c r="G249" s="222">
        <v>3608.4296901491484</v>
      </c>
      <c r="H249" s="222">
        <v>3561.8275927303303</v>
      </c>
      <c r="I249" s="222">
        <v>1208.21822</v>
      </c>
      <c r="J249" s="222">
        <v>1160.138524</v>
      </c>
      <c r="K249" s="222">
        <v>1257.2256219999999</v>
      </c>
      <c r="L249" s="222">
        <v>970.38288300000011</v>
      </c>
      <c r="M249" s="222">
        <v>982.58895700000005</v>
      </c>
      <c r="N249" s="222">
        <v>951.29143999999997</v>
      </c>
      <c r="O249" s="222">
        <v>949.84004689200015</v>
      </c>
      <c r="P249" s="222">
        <v>949.84004689200015</v>
      </c>
      <c r="Q249" s="222">
        <v>949.84004689200015</v>
      </c>
      <c r="R249" s="222">
        <v>949.84004689200015</v>
      </c>
      <c r="S249" s="222"/>
      <c r="T249" s="222"/>
      <c r="U249" s="222"/>
      <c r="V249" s="221"/>
      <c r="W249" s="221"/>
      <c r="X249" s="221"/>
      <c r="Y249" s="221"/>
    </row>
    <row r="250" spans="1:25" x14ac:dyDescent="0.2">
      <c r="A250" s="210">
        <v>777</v>
      </c>
      <c r="B250" s="211" t="s">
        <v>380</v>
      </c>
      <c r="C250" s="209">
        <v>18</v>
      </c>
      <c r="D250" s="222">
        <v>20796.932760000003</v>
      </c>
      <c r="E250" s="222">
        <v>20856.844558106965</v>
      </c>
      <c r="F250" s="222">
        <v>21514.793155021569</v>
      </c>
      <c r="G250" s="222">
        <v>10896.333394431802</v>
      </c>
      <c r="H250" s="222">
        <v>10710.415115989143</v>
      </c>
      <c r="I250" s="222">
        <v>2837.0382799999998</v>
      </c>
      <c r="J250" s="222">
        <v>2657.5815239999997</v>
      </c>
      <c r="K250" s="222">
        <v>2876.5821459999997</v>
      </c>
      <c r="L250" s="222">
        <v>2220.2745690000002</v>
      </c>
      <c r="M250" s="222">
        <v>2248.2025510000003</v>
      </c>
      <c r="N250" s="222">
        <v>2669.9890599999999</v>
      </c>
      <c r="O250" s="222">
        <v>3078.5311740359998</v>
      </c>
      <c r="P250" s="222">
        <v>3078.5311740359998</v>
      </c>
      <c r="Q250" s="222">
        <v>3078.5311740359998</v>
      </c>
      <c r="R250" s="222">
        <v>3078.5311740359998</v>
      </c>
      <c r="S250" s="222"/>
      <c r="T250" s="222"/>
      <c r="U250" s="222"/>
      <c r="V250" s="221"/>
      <c r="W250" s="221"/>
      <c r="X250" s="221"/>
      <c r="Y250" s="221"/>
    </row>
    <row r="251" spans="1:25" x14ac:dyDescent="0.2">
      <c r="A251" s="210">
        <v>778</v>
      </c>
      <c r="B251" s="211" t="s">
        <v>381</v>
      </c>
      <c r="C251" s="209">
        <v>11</v>
      </c>
      <c r="D251" s="222">
        <v>20256.42094</v>
      </c>
      <c r="E251" s="222">
        <v>20582.026229043808</v>
      </c>
      <c r="F251" s="222">
        <v>21375.677056656274</v>
      </c>
      <c r="G251" s="222">
        <v>11697.811442714135</v>
      </c>
      <c r="H251" s="222">
        <v>11512.074304750528</v>
      </c>
      <c r="I251" s="222">
        <v>1825.8596299999999</v>
      </c>
      <c r="J251" s="222">
        <v>1709.4902770000001</v>
      </c>
      <c r="K251" s="222">
        <v>1851.708662</v>
      </c>
      <c r="L251" s="222">
        <v>1429.2314430000001</v>
      </c>
      <c r="M251" s="222">
        <v>1447.2091970000001</v>
      </c>
      <c r="N251" s="222">
        <v>1790.1940300000001</v>
      </c>
      <c r="O251" s="222">
        <v>1777.8912649440001</v>
      </c>
      <c r="P251" s="222">
        <v>1777.8912649440001</v>
      </c>
      <c r="Q251" s="222">
        <v>1777.8912649440001</v>
      </c>
      <c r="R251" s="222">
        <v>1777.8912649440001</v>
      </c>
      <c r="S251" s="222"/>
      <c r="T251" s="222"/>
      <c r="U251" s="222"/>
      <c r="V251" s="221"/>
      <c r="W251" s="221"/>
      <c r="X251" s="221"/>
      <c r="Y251" s="221"/>
    </row>
    <row r="252" spans="1:25" x14ac:dyDescent="0.2">
      <c r="A252" s="210">
        <v>781</v>
      </c>
      <c r="B252" s="211" t="s">
        <v>382</v>
      </c>
      <c r="C252" s="209">
        <v>7</v>
      </c>
      <c r="D252" s="222">
        <v>9059.0866600000008</v>
      </c>
      <c r="E252" s="222">
        <v>8788.867803283465</v>
      </c>
      <c r="F252" s="222">
        <v>9196.7993456437634</v>
      </c>
      <c r="G252" s="222">
        <v>4321.6121902881123</v>
      </c>
      <c r="H252" s="222">
        <v>4167.2933697043745</v>
      </c>
      <c r="I252" s="222">
        <v>1489.3763100000001</v>
      </c>
      <c r="J252" s="222">
        <v>1369.3576370000003</v>
      </c>
      <c r="K252" s="222">
        <v>1484.4168420000001</v>
      </c>
      <c r="L252" s="222">
        <v>1145.7392130000001</v>
      </c>
      <c r="M252" s="222">
        <v>1160.1510269999999</v>
      </c>
      <c r="N252" s="222">
        <v>1963.3636999999999</v>
      </c>
      <c r="O252" s="222">
        <v>1961.223657924</v>
      </c>
      <c r="P252" s="222">
        <v>1961.223657924</v>
      </c>
      <c r="Q252" s="222">
        <v>1961.223657924</v>
      </c>
      <c r="R252" s="222">
        <v>1961.223657924</v>
      </c>
      <c r="S252" s="222"/>
      <c r="T252" s="222"/>
      <c r="U252" s="222"/>
      <c r="V252" s="221"/>
      <c r="W252" s="221"/>
      <c r="X252" s="221"/>
      <c r="Y252" s="221"/>
    </row>
    <row r="253" spans="1:25" x14ac:dyDescent="0.2">
      <c r="A253" s="210">
        <v>783</v>
      </c>
      <c r="B253" s="211" t="s">
        <v>383</v>
      </c>
      <c r="C253" s="209">
        <v>4</v>
      </c>
      <c r="D253" s="222">
        <v>24590.12484</v>
      </c>
      <c r="E253" s="222">
        <v>24896.087199864505</v>
      </c>
      <c r="F253" s="222">
        <v>25684.472686400437</v>
      </c>
      <c r="G253" s="222">
        <v>13643.205747578219</v>
      </c>
      <c r="H253" s="222">
        <v>13385.702161273231</v>
      </c>
      <c r="I253" s="222">
        <v>1794.7311000000002</v>
      </c>
      <c r="J253" s="222">
        <v>1393.381652</v>
      </c>
      <c r="K253" s="222">
        <v>1503.7864040000002</v>
      </c>
      <c r="L253" s="222">
        <v>1160.6895059999999</v>
      </c>
      <c r="M253" s="222">
        <v>1175.2893740000002</v>
      </c>
      <c r="N253" s="222">
        <v>1949.52693</v>
      </c>
      <c r="O253" s="222">
        <v>2018.9085677112002</v>
      </c>
      <c r="P253" s="222">
        <v>2018.9085677112002</v>
      </c>
      <c r="Q253" s="222">
        <v>2018.9085677112002</v>
      </c>
      <c r="R253" s="222">
        <v>2018.9085677112002</v>
      </c>
      <c r="S253" s="222"/>
      <c r="T253" s="222"/>
      <c r="U253" s="222"/>
      <c r="V253" s="221"/>
      <c r="W253" s="221"/>
      <c r="X253" s="221"/>
      <c r="Y253" s="221"/>
    </row>
    <row r="254" spans="1:25" x14ac:dyDescent="0.2">
      <c r="A254" s="210">
        <v>831</v>
      </c>
      <c r="B254" s="211" t="s">
        <v>384</v>
      </c>
      <c r="C254" s="209">
        <v>9</v>
      </c>
      <c r="D254" s="222">
        <v>16690.461729999999</v>
      </c>
      <c r="E254" s="222">
        <v>16843.434458805987</v>
      </c>
      <c r="F254" s="222">
        <v>17745.06185040827</v>
      </c>
      <c r="G254" s="222">
        <v>8958.6015568168841</v>
      </c>
      <c r="H254" s="222">
        <v>8678.1556039038514</v>
      </c>
      <c r="I254" s="222">
        <v>845.70801000000006</v>
      </c>
      <c r="J254" s="222">
        <v>883.22499199999993</v>
      </c>
      <c r="K254" s="222">
        <v>958.42159200000003</v>
      </c>
      <c r="L254" s="222">
        <v>739.75258800000006</v>
      </c>
      <c r="M254" s="222">
        <v>749.05765199999996</v>
      </c>
      <c r="N254" s="222">
        <v>1698.04413</v>
      </c>
      <c r="O254" s="222">
        <v>1690.3882536360002</v>
      </c>
      <c r="P254" s="222">
        <v>1690.3882536360002</v>
      </c>
      <c r="Q254" s="222">
        <v>1690.3882536360002</v>
      </c>
      <c r="R254" s="222">
        <v>1690.3882536360002</v>
      </c>
      <c r="S254" s="222"/>
      <c r="T254" s="222"/>
      <c r="U254" s="222"/>
      <c r="V254" s="221"/>
      <c r="W254" s="221"/>
      <c r="X254" s="221"/>
      <c r="Y254" s="221"/>
    </row>
    <row r="255" spans="1:25" x14ac:dyDescent="0.2">
      <c r="A255" s="210">
        <v>832</v>
      </c>
      <c r="B255" s="211" t="s">
        <v>385</v>
      </c>
      <c r="C255" s="209">
        <v>17</v>
      </c>
      <c r="D255" s="222">
        <v>9772.4751099999994</v>
      </c>
      <c r="E255" s="222">
        <v>10099.012231722849</v>
      </c>
      <c r="F255" s="222">
        <v>10443.259038125389</v>
      </c>
      <c r="G255" s="222">
        <v>5352.2326053556581</v>
      </c>
      <c r="H255" s="222">
        <v>5253.0760161732487</v>
      </c>
      <c r="I255" s="222">
        <v>1299.58917</v>
      </c>
      <c r="J255" s="222">
        <v>1260.1361610000001</v>
      </c>
      <c r="K255" s="222">
        <v>1365.9186380000001</v>
      </c>
      <c r="L255" s="222">
        <v>1054.2770069999999</v>
      </c>
      <c r="M255" s="222">
        <v>1067.5383529999999</v>
      </c>
      <c r="N255" s="222">
        <v>854.61149</v>
      </c>
      <c r="O255" s="222">
        <v>901.17630731040003</v>
      </c>
      <c r="P255" s="222">
        <v>901.17630731040003</v>
      </c>
      <c r="Q255" s="222">
        <v>901.17630731040003</v>
      </c>
      <c r="R255" s="222">
        <v>901.17630731040003</v>
      </c>
      <c r="S255" s="222"/>
      <c r="T255" s="222"/>
      <c r="U255" s="222"/>
      <c r="V255" s="221"/>
      <c r="W255" s="221"/>
      <c r="X255" s="221"/>
      <c r="Y255" s="221"/>
    </row>
    <row r="256" spans="1:25" x14ac:dyDescent="0.2">
      <c r="A256" s="210">
        <v>833</v>
      </c>
      <c r="B256" s="211" t="s">
        <v>386</v>
      </c>
      <c r="C256" s="209">
        <v>2</v>
      </c>
      <c r="D256" s="222">
        <v>4992.3997599999993</v>
      </c>
      <c r="E256" s="222">
        <v>5392.4398356843631</v>
      </c>
      <c r="F256" s="222">
        <v>5257.8606684142214</v>
      </c>
      <c r="G256" s="222">
        <v>2790.0151004276267</v>
      </c>
      <c r="H256" s="222">
        <v>2725.1171744142607</v>
      </c>
      <c r="I256" s="222">
        <v>244.28388000000001</v>
      </c>
      <c r="J256" s="222">
        <v>230.46508699999998</v>
      </c>
      <c r="K256" s="222">
        <v>249.639658</v>
      </c>
      <c r="L256" s="222">
        <v>192.68303699999998</v>
      </c>
      <c r="M256" s="222">
        <v>195.10672299999999</v>
      </c>
      <c r="N256" s="222">
        <v>1222.3583000000001</v>
      </c>
      <c r="O256" s="222">
        <v>1236.8092057080003</v>
      </c>
      <c r="P256" s="222">
        <v>1236.8092057080003</v>
      </c>
      <c r="Q256" s="222">
        <v>1236.8092057080003</v>
      </c>
      <c r="R256" s="222">
        <v>1236.8092057080003</v>
      </c>
      <c r="S256" s="222"/>
      <c r="T256" s="222"/>
      <c r="U256" s="222"/>
      <c r="V256" s="221"/>
      <c r="W256" s="221"/>
      <c r="X256" s="221"/>
      <c r="Y256" s="221"/>
    </row>
    <row r="257" spans="1:25" x14ac:dyDescent="0.2">
      <c r="A257" s="210">
        <v>834</v>
      </c>
      <c r="B257" s="247" t="s">
        <v>387</v>
      </c>
      <c r="C257" s="209">
        <v>5</v>
      </c>
      <c r="D257" s="222">
        <v>19173.075789999999</v>
      </c>
      <c r="E257" s="222">
        <v>18998.508108951624</v>
      </c>
      <c r="F257" s="222">
        <v>19777.34033589916</v>
      </c>
      <c r="G257" s="222">
        <v>9966.5139491923601</v>
      </c>
      <c r="H257" s="222">
        <v>9674.8141905682878</v>
      </c>
      <c r="I257" s="222">
        <v>1335.1655900000001</v>
      </c>
      <c r="J257" s="222">
        <v>1275.878974</v>
      </c>
      <c r="K257" s="222">
        <v>1381.5313780000001</v>
      </c>
      <c r="L257" s="222">
        <v>1066.3276169999999</v>
      </c>
      <c r="M257" s="222">
        <v>1079.7405430000001</v>
      </c>
      <c r="N257" s="222">
        <v>1552.3728100000001</v>
      </c>
      <c r="O257" s="222">
        <v>1573.6378797000002</v>
      </c>
      <c r="P257" s="222">
        <v>1573.6378797000002</v>
      </c>
      <c r="Q257" s="222">
        <v>1573.6378797000002</v>
      </c>
      <c r="R257" s="222">
        <v>1573.6378797000002</v>
      </c>
      <c r="S257" s="222"/>
      <c r="T257" s="222"/>
      <c r="U257" s="222"/>
      <c r="V257" s="221"/>
      <c r="W257" s="221"/>
      <c r="X257" s="221"/>
      <c r="Y257" s="221"/>
    </row>
    <row r="258" spans="1:25" x14ac:dyDescent="0.2">
      <c r="A258" s="210">
        <v>837</v>
      </c>
      <c r="B258" s="211" t="s">
        <v>388</v>
      </c>
      <c r="C258" s="209">
        <v>6</v>
      </c>
      <c r="D258" s="222">
        <v>776753.13278999995</v>
      </c>
      <c r="E258" s="222">
        <v>786170.39791332965</v>
      </c>
      <c r="F258" s="222">
        <v>823861.22399408033</v>
      </c>
      <c r="G258" s="222">
        <v>408664.88836794719</v>
      </c>
      <c r="H258" s="222">
        <v>394385.15240534459</v>
      </c>
      <c r="I258" s="222">
        <v>66501.72739</v>
      </c>
      <c r="J258" s="222">
        <v>71734.454253000004</v>
      </c>
      <c r="K258" s="222">
        <v>77728.317168000009</v>
      </c>
      <c r="L258" s="222">
        <v>59994.186551999999</v>
      </c>
      <c r="M258" s="222">
        <v>60748.830408000002</v>
      </c>
      <c r="N258" s="222">
        <v>75586.003069999992</v>
      </c>
      <c r="O258" s="222">
        <v>75358.178752127991</v>
      </c>
      <c r="P258" s="222">
        <v>75358.178752127991</v>
      </c>
      <c r="Q258" s="222">
        <v>75358.178752127991</v>
      </c>
      <c r="R258" s="222">
        <v>75358.178752127991</v>
      </c>
      <c r="S258" s="222"/>
      <c r="T258" s="222"/>
      <c r="U258" s="222"/>
      <c r="V258" s="221"/>
      <c r="W258" s="221"/>
      <c r="X258" s="221"/>
      <c r="Y258" s="221"/>
    </row>
    <row r="259" spans="1:25" x14ac:dyDescent="0.2">
      <c r="A259" s="210">
        <v>844</v>
      </c>
      <c r="B259" s="211" t="s">
        <v>389</v>
      </c>
      <c r="C259" s="209">
        <v>11</v>
      </c>
      <c r="D259" s="222">
        <v>3677.73857</v>
      </c>
      <c r="E259" s="222">
        <v>3630.5709550587849</v>
      </c>
      <c r="F259" s="222">
        <v>3792.4647345545832</v>
      </c>
      <c r="G259" s="222">
        <v>2006.8049017647429</v>
      </c>
      <c r="H259" s="222">
        <v>1964.2940138690358</v>
      </c>
      <c r="I259" s="222">
        <v>430.00779</v>
      </c>
      <c r="J259" s="222">
        <v>445.07587300000006</v>
      </c>
      <c r="K259" s="222">
        <v>482.56715400000002</v>
      </c>
      <c r="L259" s="222">
        <v>372.466881</v>
      </c>
      <c r="M259" s="222">
        <v>377.15199900000005</v>
      </c>
      <c r="N259" s="222">
        <v>418.66928000000001</v>
      </c>
      <c r="O259" s="222">
        <v>413.76598972800008</v>
      </c>
      <c r="P259" s="222">
        <v>413.76598972800008</v>
      </c>
      <c r="Q259" s="222">
        <v>413.76598972800008</v>
      </c>
      <c r="R259" s="222">
        <v>413.76598972800008</v>
      </c>
      <c r="S259" s="222"/>
      <c r="T259" s="222"/>
      <c r="U259" s="222"/>
      <c r="V259" s="221"/>
      <c r="W259" s="221"/>
      <c r="X259" s="221"/>
      <c r="Y259" s="221"/>
    </row>
    <row r="260" spans="1:25" x14ac:dyDescent="0.2">
      <c r="A260" s="210">
        <v>845</v>
      </c>
      <c r="B260" s="211" t="s">
        <v>390</v>
      </c>
      <c r="C260" s="209">
        <v>19</v>
      </c>
      <c r="D260" s="222">
        <v>8074.8993099999998</v>
      </c>
      <c r="E260" s="222">
        <v>8233.245310906299</v>
      </c>
      <c r="F260" s="222">
        <v>8360.4302118406758</v>
      </c>
      <c r="G260" s="222">
        <v>4033.0828796853839</v>
      </c>
      <c r="H260" s="222">
        <v>3914.5210961438488</v>
      </c>
      <c r="I260" s="222">
        <v>596.25615000000005</v>
      </c>
      <c r="J260" s="222">
        <v>481.74804899999998</v>
      </c>
      <c r="K260" s="222">
        <v>521.211724</v>
      </c>
      <c r="L260" s="222">
        <v>402.29448600000001</v>
      </c>
      <c r="M260" s="222">
        <v>407.35479400000003</v>
      </c>
      <c r="N260" s="222">
        <v>2680.47363</v>
      </c>
      <c r="O260" s="222">
        <v>2777.3986449239997</v>
      </c>
      <c r="P260" s="222">
        <v>2777.3986449239997</v>
      </c>
      <c r="Q260" s="222">
        <v>2777.3986449239997</v>
      </c>
      <c r="R260" s="222">
        <v>2777.3986449239997</v>
      </c>
      <c r="S260" s="222"/>
      <c r="T260" s="222"/>
      <c r="U260" s="222"/>
      <c r="V260" s="221"/>
      <c r="W260" s="221"/>
      <c r="X260" s="221"/>
      <c r="Y260" s="221"/>
    </row>
    <row r="261" spans="1:25" x14ac:dyDescent="0.2">
      <c r="A261" s="210">
        <v>846</v>
      </c>
      <c r="B261" s="211" t="s">
        <v>391</v>
      </c>
      <c r="C261" s="209">
        <v>14</v>
      </c>
      <c r="D261" s="222">
        <v>14971.803890000001</v>
      </c>
      <c r="E261" s="222">
        <v>14839.829754778977</v>
      </c>
      <c r="F261" s="222">
        <v>15398.674694998586</v>
      </c>
      <c r="G261" s="222">
        <v>8588.1178344779855</v>
      </c>
      <c r="H261" s="222">
        <v>8522.4027408209658</v>
      </c>
      <c r="I261" s="222">
        <v>842.49923000000001</v>
      </c>
      <c r="J261" s="222">
        <v>888.34828399999992</v>
      </c>
      <c r="K261" s="222">
        <v>961.41497800000002</v>
      </c>
      <c r="L261" s="222">
        <v>742.06301699999995</v>
      </c>
      <c r="M261" s="222">
        <v>751.39714299999991</v>
      </c>
      <c r="N261" s="222">
        <v>1017.7465699999999</v>
      </c>
      <c r="O261" s="222">
        <v>1106.465595996</v>
      </c>
      <c r="P261" s="222">
        <v>1106.465595996</v>
      </c>
      <c r="Q261" s="222">
        <v>1106.465595996</v>
      </c>
      <c r="R261" s="222">
        <v>1106.465595996</v>
      </c>
      <c r="S261" s="222"/>
      <c r="T261" s="222"/>
      <c r="U261" s="222"/>
      <c r="V261" s="221"/>
      <c r="W261" s="221"/>
      <c r="X261" s="221"/>
      <c r="Y261" s="221"/>
    </row>
    <row r="262" spans="1:25" x14ac:dyDescent="0.2">
      <c r="A262" s="210">
        <v>848</v>
      </c>
      <c r="B262" s="211" t="s">
        <v>392</v>
      </c>
      <c r="C262" s="209">
        <v>12</v>
      </c>
      <c r="D262" s="222">
        <v>11849.10066</v>
      </c>
      <c r="E262" s="222">
        <v>11894.628815160126</v>
      </c>
      <c r="F262" s="222">
        <v>12325.339828813811</v>
      </c>
      <c r="G262" s="222">
        <v>6699.2116625621411</v>
      </c>
      <c r="H262" s="222">
        <v>6629.4801311653036</v>
      </c>
      <c r="I262" s="222">
        <v>1041.2781400000001</v>
      </c>
      <c r="J262" s="222">
        <v>941.89146300000004</v>
      </c>
      <c r="K262" s="222">
        <v>1020.9504200000001</v>
      </c>
      <c r="L262" s="222">
        <v>788.01513000000011</v>
      </c>
      <c r="M262" s="222">
        <v>797.92726999999991</v>
      </c>
      <c r="N262" s="222">
        <v>958.08603000000005</v>
      </c>
      <c r="O262" s="222">
        <v>952.50691616400002</v>
      </c>
      <c r="P262" s="222">
        <v>952.50691616400002</v>
      </c>
      <c r="Q262" s="222">
        <v>952.50691616400002</v>
      </c>
      <c r="R262" s="222">
        <v>952.50691616400002</v>
      </c>
      <c r="S262" s="222"/>
      <c r="T262" s="222"/>
      <c r="U262" s="222"/>
      <c r="V262" s="221"/>
      <c r="W262" s="221"/>
      <c r="X262" s="221"/>
      <c r="Y262" s="221"/>
    </row>
    <row r="263" spans="1:25" x14ac:dyDescent="0.2">
      <c r="A263" s="210">
        <v>849</v>
      </c>
      <c r="B263" s="250" t="s">
        <v>393</v>
      </c>
      <c r="C263" s="209">
        <v>16</v>
      </c>
      <c r="D263" s="222">
        <v>7924.5123300000005</v>
      </c>
      <c r="E263" s="222">
        <v>8368.5780992629079</v>
      </c>
      <c r="F263" s="222">
        <v>8694.2911526032476</v>
      </c>
      <c r="G263" s="222">
        <v>4789.9015586618025</v>
      </c>
      <c r="H263" s="222">
        <v>4698.8637205375871</v>
      </c>
      <c r="I263" s="222">
        <v>675.57144999999991</v>
      </c>
      <c r="J263" s="222">
        <v>600.02608600000008</v>
      </c>
      <c r="K263" s="222">
        <v>649.60369600000013</v>
      </c>
      <c r="L263" s="222">
        <v>501.39314400000001</v>
      </c>
      <c r="M263" s="222">
        <v>507.69997600000005</v>
      </c>
      <c r="N263" s="222">
        <v>825.20877000000007</v>
      </c>
      <c r="O263" s="222">
        <v>805.81685491200005</v>
      </c>
      <c r="P263" s="222">
        <v>805.81685491200005</v>
      </c>
      <c r="Q263" s="222">
        <v>805.81685491200005</v>
      </c>
      <c r="R263" s="222">
        <v>805.81685491200005</v>
      </c>
      <c r="S263" s="222"/>
      <c r="T263" s="222"/>
      <c r="U263" s="222"/>
      <c r="V263" s="221"/>
      <c r="W263" s="221"/>
      <c r="X263" s="221"/>
      <c r="Y263" s="221"/>
    </row>
    <row r="264" spans="1:25" x14ac:dyDescent="0.2">
      <c r="A264" s="210">
        <v>850</v>
      </c>
      <c r="B264" s="211" t="s">
        <v>394</v>
      </c>
      <c r="C264" s="223">
        <v>13</v>
      </c>
      <c r="D264" s="222">
        <v>6793.4960899999996</v>
      </c>
      <c r="E264" s="222">
        <v>6989.4759960297024</v>
      </c>
      <c r="F264" s="222">
        <v>7315.1487822302906</v>
      </c>
      <c r="G264" s="222">
        <v>3798.8666651176031</v>
      </c>
      <c r="H264" s="222">
        <v>3737.3893850946024</v>
      </c>
      <c r="I264" s="222">
        <v>545.79823999999996</v>
      </c>
      <c r="J264" s="222">
        <v>590.36270200000013</v>
      </c>
      <c r="K264" s="222">
        <v>640.56894800000009</v>
      </c>
      <c r="L264" s="222">
        <v>494.41972200000004</v>
      </c>
      <c r="M264" s="222">
        <v>500.63883800000002</v>
      </c>
      <c r="N264" s="222">
        <v>569.37180000000001</v>
      </c>
      <c r="O264" s="222">
        <v>636.31624144800003</v>
      </c>
      <c r="P264" s="222">
        <v>636.31624144800003</v>
      </c>
      <c r="Q264" s="222">
        <v>636.31624144800003</v>
      </c>
      <c r="R264" s="222">
        <v>636.31624144800003</v>
      </c>
      <c r="S264" s="222"/>
      <c r="T264" s="222"/>
      <c r="U264" s="222"/>
      <c r="V264" s="221"/>
      <c r="W264" s="221"/>
      <c r="X264" s="221"/>
      <c r="Y264" s="221"/>
    </row>
    <row r="265" spans="1:25" x14ac:dyDescent="0.2">
      <c r="A265" s="210">
        <v>851</v>
      </c>
      <c r="B265" s="211" t="s">
        <v>395</v>
      </c>
      <c r="C265" s="209">
        <v>19</v>
      </c>
      <c r="D265" s="222">
        <v>73202.000329999995</v>
      </c>
      <c r="E265" s="222">
        <v>75284.130321017263</v>
      </c>
      <c r="F265" s="222">
        <v>78312.766676108324</v>
      </c>
      <c r="G265" s="222">
        <v>40782.920480676898</v>
      </c>
      <c r="H265" s="222">
        <v>39858.522509460556</v>
      </c>
      <c r="I265" s="222">
        <v>3221.1845199999998</v>
      </c>
      <c r="J265" s="222">
        <v>3164.6114680000001</v>
      </c>
      <c r="K265" s="222">
        <v>3428.8735019999999</v>
      </c>
      <c r="L265" s="222">
        <v>2646.5577029999999</v>
      </c>
      <c r="M265" s="222">
        <v>2679.8477369999996</v>
      </c>
      <c r="N265" s="222">
        <v>6779.6868899999999</v>
      </c>
      <c r="O265" s="222">
        <v>5866.5811686816014</v>
      </c>
      <c r="P265" s="222">
        <v>5866.5811686816014</v>
      </c>
      <c r="Q265" s="222">
        <v>5866.5811686816014</v>
      </c>
      <c r="R265" s="222">
        <v>5866.5811686816014</v>
      </c>
      <c r="S265" s="222"/>
      <c r="T265" s="222"/>
      <c r="U265" s="222"/>
      <c r="V265" s="221"/>
      <c r="W265" s="221"/>
      <c r="X265" s="221"/>
      <c r="Y265" s="221"/>
    </row>
    <row r="266" spans="1:25" x14ac:dyDescent="0.2">
      <c r="A266" s="210">
        <v>853</v>
      </c>
      <c r="B266" s="211" t="s">
        <v>396</v>
      </c>
      <c r="C266" s="223">
        <v>2</v>
      </c>
      <c r="D266" s="222">
        <v>601024.09238000005</v>
      </c>
      <c r="E266" s="222">
        <v>619505.25913032109</v>
      </c>
      <c r="F266" s="222">
        <v>644403.59717294085</v>
      </c>
      <c r="G266" s="222">
        <v>315792.88640973199</v>
      </c>
      <c r="H266" s="222">
        <v>304809.26947309851</v>
      </c>
      <c r="I266" s="222">
        <v>94338.56856</v>
      </c>
      <c r="J266" s="222">
        <v>101466.31374800002</v>
      </c>
      <c r="K266" s="222">
        <v>110059.12003799999</v>
      </c>
      <c r="L266" s="222">
        <v>84948.544107000009</v>
      </c>
      <c r="M266" s="222">
        <v>86017.079253000004</v>
      </c>
      <c r="N266" s="222">
        <v>53653.996169999999</v>
      </c>
      <c r="O266" s="222">
        <v>56267.201425187988</v>
      </c>
      <c r="P266" s="222">
        <v>56267.201425187988</v>
      </c>
      <c r="Q266" s="222">
        <v>56267.201425187988</v>
      </c>
      <c r="R266" s="222">
        <v>56267.201425187988</v>
      </c>
      <c r="S266" s="222"/>
      <c r="T266" s="222"/>
      <c r="U266" s="222"/>
      <c r="V266" s="221"/>
      <c r="W266" s="221"/>
      <c r="X266" s="221"/>
      <c r="Y266" s="221"/>
    </row>
    <row r="267" spans="1:25" x14ac:dyDescent="0.2">
      <c r="A267" s="210">
        <v>857</v>
      </c>
      <c r="B267" s="211" t="s">
        <v>397</v>
      </c>
      <c r="C267" s="209">
        <v>11</v>
      </c>
      <c r="D267" s="222">
        <v>6658.7449400000005</v>
      </c>
      <c r="E267" s="222">
        <v>6574.7187020493757</v>
      </c>
      <c r="F267" s="222">
        <v>6892.4066761172708</v>
      </c>
      <c r="G267" s="222">
        <v>3819.7556894540508</v>
      </c>
      <c r="H267" s="222">
        <v>3766.2138649882818</v>
      </c>
      <c r="I267" s="222">
        <v>777.70311000000004</v>
      </c>
      <c r="J267" s="222">
        <v>717.24932600000011</v>
      </c>
      <c r="K267" s="222">
        <v>776.80004400000007</v>
      </c>
      <c r="L267" s="222">
        <v>599.56896600000005</v>
      </c>
      <c r="M267" s="222">
        <v>607.11071400000003</v>
      </c>
      <c r="N267" s="222">
        <v>955.76556000000005</v>
      </c>
      <c r="O267" s="222">
        <v>939.73095683999998</v>
      </c>
      <c r="P267" s="222">
        <v>939.73095683999998</v>
      </c>
      <c r="Q267" s="222">
        <v>939.73095683999998</v>
      </c>
      <c r="R267" s="222">
        <v>939.73095683999998</v>
      </c>
      <c r="S267" s="222"/>
      <c r="T267" s="222"/>
      <c r="U267" s="222"/>
      <c r="V267" s="221"/>
      <c r="W267" s="221"/>
      <c r="X267" s="221"/>
      <c r="Y267" s="221"/>
    </row>
    <row r="268" spans="1:25" x14ac:dyDescent="0.2">
      <c r="A268" s="210">
        <v>858</v>
      </c>
      <c r="B268" s="211" t="s">
        <v>398</v>
      </c>
      <c r="C268" s="209">
        <v>1</v>
      </c>
      <c r="D268" s="222">
        <v>159903.23216999997</v>
      </c>
      <c r="E268" s="222">
        <v>163421.68058286252</v>
      </c>
      <c r="F268" s="222">
        <v>173028.74948157431</v>
      </c>
      <c r="G268" s="222">
        <v>83359.764220476747</v>
      </c>
      <c r="H268" s="222">
        <v>79286.420460693989</v>
      </c>
      <c r="I268" s="222">
        <v>7651.5793200000007</v>
      </c>
      <c r="J268" s="222">
        <v>8010.3255049999998</v>
      </c>
      <c r="K268" s="222">
        <v>8676.9181719999997</v>
      </c>
      <c r="L268" s="222">
        <v>6697.2329579999996</v>
      </c>
      <c r="M268" s="222">
        <v>6781.4748820000004</v>
      </c>
      <c r="N268" s="222">
        <v>9985.0631099999991</v>
      </c>
      <c r="O268" s="222">
        <v>10199.932437343199</v>
      </c>
      <c r="P268" s="222">
        <v>10199.932437343199</v>
      </c>
      <c r="Q268" s="222">
        <v>10199.932437343199</v>
      </c>
      <c r="R268" s="222">
        <v>10199.932437343199</v>
      </c>
      <c r="S268" s="222"/>
      <c r="T268" s="222"/>
      <c r="U268" s="222"/>
      <c r="V268" s="221"/>
      <c r="W268" s="221"/>
      <c r="X268" s="221"/>
      <c r="Y268" s="221"/>
    </row>
    <row r="269" spans="1:25" x14ac:dyDescent="0.2">
      <c r="A269" s="210">
        <v>859</v>
      </c>
      <c r="B269" s="211" t="s">
        <v>399</v>
      </c>
      <c r="C269" s="209">
        <v>17</v>
      </c>
      <c r="D269" s="222">
        <v>16777.451639999999</v>
      </c>
      <c r="E269" s="222">
        <v>17644.584628896027</v>
      </c>
      <c r="F269" s="222">
        <v>18583.359281788078</v>
      </c>
      <c r="G269" s="222">
        <v>9781.847314736242</v>
      </c>
      <c r="H269" s="222">
        <v>9570.8257010362831</v>
      </c>
      <c r="I269" s="222">
        <v>505.47896000000003</v>
      </c>
      <c r="J269" s="222">
        <v>407.24735000000004</v>
      </c>
      <c r="K269" s="222">
        <v>440.77016600000002</v>
      </c>
      <c r="L269" s="222">
        <v>340.20609899999999</v>
      </c>
      <c r="M269" s="222">
        <v>344.48542100000009</v>
      </c>
      <c r="N269" s="222">
        <v>884.69511999999997</v>
      </c>
      <c r="O269" s="222">
        <v>908.67582375360007</v>
      </c>
      <c r="P269" s="222">
        <v>908.67582375360007</v>
      </c>
      <c r="Q269" s="222">
        <v>908.67582375360007</v>
      </c>
      <c r="R269" s="222">
        <v>908.67582375360007</v>
      </c>
      <c r="S269" s="222"/>
      <c r="T269" s="222"/>
      <c r="U269" s="222"/>
      <c r="V269" s="221"/>
      <c r="W269" s="221"/>
      <c r="X269" s="221"/>
      <c r="Y269" s="221"/>
    </row>
    <row r="270" spans="1:25" x14ac:dyDescent="0.2">
      <c r="A270" s="210">
        <v>886</v>
      </c>
      <c r="B270" s="211" t="s">
        <v>400</v>
      </c>
      <c r="C270" s="209">
        <v>4</v>
      </c>
      <c r="D270" s="222">
        <v>44112.471840000006</v>
      </c>
      <c r="E270" s="222">
        <v>45274.026979431415</v>
      </c>
      <c r="F270" s="222">
        <v>46660.595120533828</v>
      </c>
      <c r="G270" s="222">
        <v>24055.36499197135</v>
      </c>
      <c r="H270" s="222">
        <v>23614.713527087388</v>
      </c>
      <c r="I270" s="222">
        <v>1822.50792</v>
      </c>
      <c r="J270" s="222">
        <v>2376.8663540000002</v>
      </c>
      <c r="K270" s="222">
        <v>2580.3345759999997</v>
      </c>
      <c r="L270" s="222">
        <v>1991.6174639999999</v>
      </c>
      <c r="M270" s="222">
        <v>2016.6692559999997</v>
      </c>
      <c r="N270" s="222">
        <v>2595.5690399999999</v>
      </c>
      <c r="O270" s="222">
        <v>2546.4145720079996</v>
      </c>
      <c r="P270" s="222">
        <v>2546.4145720079996</v>
      </c>
      <c r="Q270" s="222">
        <v>2546.4145720079996</v>
      </c>
      <c r="R270" s="222">
        <v>2546.4145720079996</v>
      </c>
      <c r="S270" s="222"/>
      <c r="T270" s="222"/>
      <c r="U270" s="222"/>
      <c r="V270" s="221"/>
      <c r="W270" s="221"/>
      <c r="X270" s="221"/>
      <c r="Y270" s="221"/>
    </row>
    <row r="271" spans="1:25" x14ac:dyDescent="0.2">
      <c r="A271" s="210">
        <v>887</v>
      </c>
      <c r="B271" s="211" t="s">
        <v>401</v>
      </c>
      <c r="C271" s="209">
        <v>6</v>
      </c>
      <c r="D271" s="222">
        <v>13132.130220000001</v>
      </c>
      <c r="E271" s="222">
        <v>13779.072617186146</v>
      </c>
      <c r="F271" s="222">
        <v>13923.96222666527</v>
      </c>
      <c r="G271" s="222">
        <v>7593.2253494132055</v>
      </c>
      <c r="H271" s="222">
        <v>7509.0929079925381</v>
      </c>
      <c r="I271" s="222">
        <v>923.41379000000006</v>
      </c>
      <c r="J271" s="222">
        <v>830.93348600000002</v>
      </c>
      <c r="K271" s="222">
        <v>894.89201600000001</v>
      </c>
      <c r="L271" s="222">
        <v>690.717624</v>
      </c>
      <c r="M271" s="222">
        <v>699.40589599999998</v>
      </c>
      <c r="N271" s="222">
        <v>1475.3633799999998</v>
      </c>
      <c r="O271" s="222">
        <v>1690.1646514439999</v>
      </c>
      <c r="P271" s="222">
        <v>1690.1646514439999</v>
      </c>
      <c r="Q271" s="222">
        <v>1690.1646514439999</v>
      </c>
      <c r="R271" s="222">
        <v>1690.1646514439999</v>
      </c>
      <c r="S271" s="222"/>
      <c r="T271" s="222"/>
      <c r="U271" s="222"/>
      <c r="V271" s="221"/>
      <c r="W271" s="221"/>
      <c r="X271" s="221"/>
      <c r="Y271" s="221"/>
    </row>
    <row r="272" spans="1:25" x14ac:dyDescent="0.2">
      <c r="A272" s="210">
        <v>889</v>
      </c>
      <c r="B272" s="211" t="s">
        <v>402</v>
      </c>
      <c r="C272" s="209">
        <v>17</v>
      </c>
      <c r="D272" s="222">
        <v>6762.6278700000003</v>
      </c>
      <c r="E272" s="222">
        <v>6689.7839035839525</v>
      </c>
      <c r="F272" s="222">
        <v>6983.1042605499269</v>
      </c>
      <c r="G272" s="222">
        <v>3606.2341297081666</v>
      </c>
      <c r="H272" s="222">
        <v>3517.1217238928693</v>
      </c>
      <c r="I272" s="222">
        <v>1011.2342</v>
      </c>
      <c r="J272" s="222">
        <v>858.62134199999991</v>
      </c>
      <c r="K272" s="222">
        <v>928.85255799999982</v>
      </c>
      <c r="L272" s="222">
        <v>716.92988700000001</v>
      </c>
      <c r="M272" s="222">
        <v>725.94787300000007</v>
      </c>
      <c r="N272" s="222">
        <v>2625.43588</v>
      </c>
      <c r="O272" s="222">
        <v>2647.2884592</v>
      </c>
      <c r="P272" s="222">
        <v>2647.2884592</v>
      </c>
      <c r="Q272" s="222">
        <v>2647.2884592</v>
      </c>
      <c r="R272" s="222">
        <v>2647.2884592</v>
      </c>
      <c r="S272" s="222"/>
      <c r="T272" s="222"/>
      <c r="U272" s="222"/>
      <c r="V272" s="221"/>
      <c r="W272" s="221"/>
      <c r="X272" s="221"/>
      <c r="Y272" s="221"/>
    </row>
    <row r="273" spans="1:25" x14ac:dyDescent="0.2">
      <c r="A273" s="210">
        <v>890</v>
      </c>
      <c r="B273" s="211" t="s">
        <v>403</v>
      </c>
      <c r="C273" s="209">
        <v>19</v>
      </c>
      <c r="D273" s="222">
        <v>3842.7647900000002</v>
      </c>
      <c r="E273" s="222">
        <v>3992.6802202819285</v>
      </c>
      <c r="F273" s="222">
        <v>4101.8041450246537</v>
      </c>
      <c r="G273" s="222">
        <v>2198.9321444110142</v>
      </c>
      <c r="H273" s="222">
        <v>2151.0738489622613</v>
      </c>
      <c r="I273" s="222">
        <v>159.77364</v>
      </c>
      <c r="J273" s="222">
        <v>151.03099799999998</v>
      </c>
      <c r="K273" s="222">
        <v>163.86764400000001</v>
      </c>
      <c r="L273" s="222">
        <v>126.48036600000002</v>
      </c>
      <c r="M273" s="222">
        <v>128.071314</v>
      </c>
      <c r="N273" s="222">
        <v>633.12625000000003</v>
      </c>
      <c r="O273" s="222">
        <v>631.31605774799993</v>
      </c>
      <c r="P273" s="222">
        <v>631.31605774799993</v>
      </c>
      <c r="Q273" s="222">
        <v>631.31605774799993</v>
      </c>
      <c r="R273" s="222">
        <v>631.31605774799993</v>
      </c>
      <c r="S273" s="222"/>
      <c r="T273" s="222"/>
      <c r="U273" s="222"/>
      <c r="V273" s="221"/>
      <c r="W273" s="221"/>
      <c r="X273" s="221"/>
      <c r="Y273" s="221"/>
    </row>
    <row r="274" spans="1:25" x14ac:dyDescent="0.2">
      <c r="A274" s="210">
        <v>892</v>
      </c>
      <c r="B274" s="211" t="s">
        <v>404</v>
      </c>
      <c r="C274" s="209">
        <v>13</v>
      </c>
      <c r="D274" s="222">
        <v>9653.0803500000002</v>
      </c>
      <c r="E274" s="222">
        <v>9869.9975404411016</v>
      </c>
      <c r="F274" s="222">
        <v>10211.396744469272</v>
      </c>
      <c r="G274" s="222">
        <v>5260.9568161901843</v>
      </c>
      <c r="H274" s="222">
        <v>5150.9641956961013</v>
      </c>
      <c r="I274" s="222">
        <v>600.50890000000004</v>
      </c>
      <c r="J274" s="222">
        <v>536.19694199999992</v>
      </c>
      <c r="K274" s="222">
        <v>580.83821799999987</v>
      </c>
      <c r="L274" s="222">
        <v>448.31687699999998</v>
      </c>
      <c r="M274" s="222">
        <v>453.95608299999998</v>
      </c>
      <c r="N274" s="222">
        <v>594.93267000000003</v>
      </c>
      <c r="O274" s="222">
        <v>630.16261924560001</v>
      </c>
      <c r="P274" s="222">
        <v>630.16261924560001</v>
      </c>
      <c r="Q274" s="222">
        <v>630.16261924560001</v>
      </c>
      <c r="R274" s="222">
        <v>630.16261924560001</v>
      </c>
      <c r="S274" s="222"/>
      <c r="T274" s="222"/>
      <c r="U274" s="222"/>
      <c r="V274" s="221"/>
      <c r="W274" s="221"/>
      <c r="X274" s="221"/>
      <c r="Y274" s="221"/>
    </row>
    <row r="275" spans="1:25" x14ac:dyDescent="0.2">
      <c r="A275" s="210">
        <v>893</v>
      </c>
      <c r="B275" s="211" t="s">
        <v>405</v>
      </c>
      <c r="C275" s="209">
        <v>15</v>
      </c>
      <c r="D275" s="222">
        <v>21336.153469999997</v>
      </c>
      <c r="E275" s="222">
        <v>22296.387492123748</v>
      </c>
      <c r="F275" s="222">
        <v>23478.008807554259</v>
      </c>
      <c r="G275" s="222">
        <v>12669.335417966884</v>
      </c>
      <c r="H275" s="222">
        <v>12405.366725340955</v>
      </c>
      <c r="I275" s="222">
        <v>3444.4699599999999</v>
      </c>
      <c r="J275" s="222">
        <v>2754.1413589999997</v>
      </c>
      <c r="K275" s="222">
        <v>2990.4090939999996</v>
      </c>
      <c r="L275" s="222">
        <v>2308.1312910000001</v>
      </c>
      <c r="M275" s="222">
        <v>2337.164389</v>
      </c>
      <c r="N275" s="222">
        <v>2187.6843199999998</v>
      </c>
      <c r="O275" s="222">
        <v>2395.6929609119998</v>
      </c>
      <c r="P275" s="222">
        <v>2395.6929609119998</v>
      </c>
      <c r="Q275" s="222">
        <v>2395.6929609119998</v>
      </c>
      <c r="R275" s="222">
        <v>2395.6929609119998</v>
      </c>
      <c r="S275" s="222"/>
      <c r="T275" s="222"/>
      <c r="U275" s="222"/>
      <c r="V275" s="221"/>
      <c r="W275" s="221"/>
      <c r="X275" s="221"/>
      <c r="Y275" s="221"/>
    </row>
    <row r="276" spans="1:25" x14ac:dyDescent="0.2">
      <c r="A276" s="210">
        <v>895</v>
      </c>
      <c r="B276" s="211" t="s">
        <v>406</v>
      </c>
      <c r="C276" s="209">
        <v>2</v>
      </c>
      <c r="D276" s="222">
        <v>52759.609819999998</v>
      </c>
      <c r="E276" s="222">
        <v>57229.528671955668</v>
      </c>
      <c r="F276" s="222">
        <v>57353.993879481699</v>
      </c>
      <c r="G276" s="222">
        <v>29964.578570238358</v>
      </c>
      <c r="H276" s="222">
        <v>29212.499613855151</v>
      </c>
      <c r="I276" s="222">
        <v>4223.2312899999997</v>
      </c>
      <c r="J276" s="222">
        <v>3799.0610199999996</v>
      </c>
      <c r="K276" s="222">
        <v>4111.7783340000005</v>
      </c>
      <c r="L276" s="222">
        <v>3173.6541510000002</v>
      </c>
      <c r="M276" s="222">
        <v>3213.574329</v>
      </c>
      <c r="N276" s="222">
        <v>4828.2483700000003</v>
      </c>
      <c r="O276" s="222">
        <v>4982.7441293543998</v>
      </c>
      <c r="P276" s="222">
        <v>4982.7441293543998</v>
      </c>
      <c r="Q276" s="222">
        <v>4982.7441293543998</v>
      </c>
      <c r="R276" s="222">
        <v>4982.7441293543998</v>
      </c>
      <c r="S276" s="222"/>
      <c r="T276" s="222"/>
      <c r="U276" s="222"/>
      <c r="V276" s="221"/>
      <c r="W276" s="221"/>
      <c r="X276" s="221"/>
      <c r="Y276" s="221"/>
    </row>
    <row r="277" spans="1:25" x14ac:dyDescent="0.2">
      <c r="A277" s="210">
        <v>785</v>
      </c>
      <c r="B277" s="211" t="s">
        <v>407</v>
      </c>
      <c r="C277" s="209">
        <v>18</v>
      </c>
      <c r="D277" s="222">
        <v>7949.7069099999999</v>
      </c>
      <c r="E277" s="222">
        <v>7812.3190243944218</v>
      </c>
      <c r="F277" s="222">
        <v>8238.778012138906</v>
      </c>
      <c r="G277" s="222">
        <v>4429.4795368666391</v>
      </c>
      <c r="H277" s="222">
        <v>4339.5960512249185</v>
      </c>
      <c r="I277" s="222">
        <v>693.1730500000001</v>
      </c>
      <c r="J277" s="222">
        <v>631.77176099999997</v>
      </c>
      <c r="K277" s="222">
        <v>683.53972399999998</v>
      </c>
      <c r="L277" s="222">
        <v>527.58648599999992</v>
      </c>
      <c r="M277" s="222">
        <v>534.22279400000002</v>
      </c>
      <c r="N277" s="222">
        <v>2688.66005</v>
      </c>
      <c r="O277" s="222">
        <v>2662.3494039887996</v>
      </c>
      <c r="P277" s="222">
        <v>2662.3494039887996</v>
      </c>
      <c r="Q277" s="222">
        <v>2662.3494039887996</v>
      </c>
      <c r="R277" s="222">
        <v>2662.3494039887996</v>
      </c>
      <c r="S277" s="222"/>
      <c r="T277" s="222"/>
      <c r="U277" s="222"/>
      <c r="V277" s="221"/>
      <c r="W277" s="221"/>
      <c r="X277" s="221"/>
      <c r="Y277" s="221"/>
    </row>
    <row r="278" spans="1:25" x14ac:dyDescent="0.2">
      <c r="A278" s="210">
        <v>905</v>
      </c>
      <c r="B278" s="211" t="s">
        <v>408</v>
      </c>
      <c r="C278" s="209">
        <v>15</v>
      </c>
      <c r="D278" s="222">
        <v>227400.30024000001</v>
      </c>
      <c r="E278" s="222">
        <v>230260.29294384483</v>
      </c>
      <c r="F278" s="222">
        <v>243021.78191286986</v>
      </c>
      <c r="G278" s="222">
        <v>121710.53998060682</v>
      </c>
      <c r="H278" s="222">
        <v>117583.79446513287</v>
      </c>
      <c r="I278" s="222">
        <v>32031.179059999999</v>
      </c>
      <c r="J278" s="222">
        <v>24729.683449</v>
      </c>
      <c r="K278" s="222">
        <v>26639.616768</v>
      </c>
      <c r="L278" s="222">
        <v>20561.645951999995</v>
      </c>
      <c r="M278" s="222">
        <v>20820.283007999995</v>
      </c>
      <c r="N278" s="222">
        <v>20281.35556</v>
      </c>
      <c r="O278" s="222">
        <v>20844.378400871999</v>
      </c>
      <c r="P278" s="222">
        <v>20844.378400871999</v>
      </c>
      <c r="Q278" s="222">
        <v>20844.378400871999</v>
      </c>
      <c r="R278" s="222">
        <v>20844.378400871999</v>
      </c>
      <c r="S278" s="222"/>
      <c r="T278" s="222"/>
      <c r="U278" s="222"/>
      <c r="V278" s="221"/>
      <c r="W278" s="221"/>
      <c r="X278" s="221"/>
      <c r="Y278" s="221"/>
    </row>
    <row r="279" spans="1:25" x14ac:dyDescent="0.2">
      <c r="A279" s="210">
        <v>908</v>
      </c>
      <c r="B279" s="211" t="s">
        <v>409</v>
      </c>
      <c r="C279" s="209">
        <v>6</v>
      </c>
      <c r="D279" s="222">
        <v>70685.095060000007</v>
      </c>
      <c r="E279" s="222">
        <v>70105.772543964747</v>
      </c>
      <c r="F279" s="222">
        <v>74328.425193071642</v>
      </c>
      <c r="G279" s="222">
        <v>35692.265717570088</v>
      </c>
      <c r="H279" s="222">
        <v>34686.470240738017</v>
      </c>
      <c r="I279" s="222">
        <v>4606.0847699999995</v>
      </c>
      <c r="J279" s="222">
        <v>4477.7631539999993</v>
      </c>
      <c r="K279" s="222">
        <v>4855.9764059999989</v>
      </c>
      <c r="L279" s="222">
        <v>3748.0594589999996</v>
      </c>
      <c r="M279" s="222">
        <v>3795.2048609999997</v>
      </c>
      <c r="N279" s="222">
        <v>4794.13267</v>
      </c>
      <c r="O279" s="222">
        <v>4910.6427932039996</v>
      </c>
      <c r="P279" s="222">
        <v>4910.6427932039996</v>
      </c>
      <c r="Q279" s="222">
        <v>4910.6427932039996</v>
      </c>
      <c r="R279" s="222">
        <v>4910.6427932039996</v>
      </c>
      <c r="S279" s="222"/>
      <c r="T279" s="222"/>
      <c r="U279" s="222"/>
      <c r="V279" s="221"/>
      <c r="W279" s="221"/>
      <c r="X279" s="221"/>
      <c r="Y279" s="221"/>
    </row>
    <row r="280" spans="1:25" x14ac:dyDescent="0.2">
      <c r="A280" s="210">
        <v>911</v>
      </c>
      <c r="B280" s="211" t="s">
        <v>410</v>
      </c>
      <c r="C280" s="209">
        <v>12</v>
      </c>
      <c r="D280" s="222">
        <v>5275.9232400000001</v>
      </c>
      <c r="E280" s="222">
        <v>5378.6609056022235</v>
      </c>
      <c r="F280" s="222">
        <v>5440.5826459444534</v>
      </c>
      <c r="G280" s="222">
        <v>2870.2967715531295</v>
      </c>
      <c r="H280" s="222">
        <v>2827.6600932086717</v>
      </c>
      <c r="I280" s="222">
        <v>1051.4216299999998</v>
      </c>
      <c r="J280" s="222">
        <v>833.0141960000002</v>
      </c>
      <c r="K280" s="222">
        <v>901.33775600000001</v>
      </c>
      <c r="L280" s="222">
        <v>695.69273399999997</v>
      </c>
      <c r="M280" s="222">
        <v>704.4435860000001</v>
      </c>
      <c r="N280" s="222">
        <v>390.39532000000003</v>
      </c>
      <c r="O280" s="222">
        <v>385.90458076800002</v>
      </c>
      <c r="P280" s="222">
        <v>385.90458076800002</v>
      </c>
      <c r="Q280" s="222">
        <v>385.90458076800002</v>
      </c>
      <c r="R280" s="222">
        <v>385.90458076800002</v>
      </c>
      <c r="S280" s="222"/>
      <c r="T280" s="222"/>
      <c r="U280" s="222"/>
      <c r="V280" s="221"/>
      <c r="W280" s="221"/>
      <c r="X280" s="221"/>
      <c r="Y280" s="221"/>
    </row>
    <row r="281" spans="1:25" x14ac:dyDescent="0.2">
      <c r="A281" s="210">
        <v>92</v>
      </c>
      <c r="B281" s="211" t="s">
        <v>411</v>
      </c>
      <c r="C281" s="209">
        <v>1</v>
      </c>
      <c r="D281" s="222">
        <v>818919.86572</v>
      </c>
      <c r="E281" s="222">
        <v>845187.10526651039</v>
      </c>
      <c r="F281" s="222">
        <v>888328.99681123928</v>
      </c>
      <c r="G281" s="222">
        <v>416844.47763084684</v>
      </c>
      <c r="H281" s="222">
        <v>397101.345486195</v>
      </c>
      <c r="I281" s="222">
        <v>80698.97047</v>
      </c>
      <c r="J281" s="222">
        <v>77953.48418900001</v>
      </c>
      <c r="K281" s="222">
        <v>84522.689302000013</v>
      </c>
      <c r="L281" s="222">
        <v>65238.386403000004</v>
      </c>
      <c r="M281" s="222">
        <v>66058.995037000001</v>
      </c>
      <c r="N281" s="222">
        <v>77328.598339999997</v>
      </c>
      <c r="O281" s="222">
        <v>80223.175587331207</v>
      </c>
      <c r="P281" s="222">
        <v>80223.175587331207</v>
      </c>
      <c r="Q281" s="222">
        <v>80223.175587331207</v>
      </c>
      <c r="R281" s="222">
        <v>80223.175587331207</v>
      </c>
      <c r="S281" s="222"/>
      <c r="T281" s="222"/>
      <c r="U281" s="222"/>
      <c r="V281" s="221"/>
      <c r="W281" s="221"/>
      <c r="X281" s="221"/>
      <c r="Y281" s="221"/>
    </row>
    <row r="282" spans="1:25" x14ac:dyDescent="0.2">
      <c r="A282" s="210">
        <v>915</v>
      </c>
      <c r="B282" s="211" t="s">
        <v>412</v>
      </c>
      <c r="C282" s="209">
        <v>11</v>
      </c>
      <c r="D282" s="222">
        <v>69889.285250000001</v>
      </c>
      <c r="E282" s="222">
        <v>70496.861139505127</v>
      </c>
      <c r="F282" s="222">
        <v>73191.738556440963</v>
      </c>
      <c r="G282" s="222">
        <v>37369.150302487302</v>
      </c>
      <c r="H282" s="222">
        <v>36772.21169855765</v>
      </c>
      <c r="I282" s="222">
        <v>4307.73837</v>
      </c>
      <c r="J282" s="222">
        <v>4035.5186250000002</v>
      </c>
      <c r="K282" s="222">
        <v>4372.04306</v>
      </c>
      <c r="L282" s="222">
        <v>3374.5380900000005</v>
      </c>
      <c r="M282" s="222">
        <v>3416.9851100000001</v>
      </c>
      <c r="N282" s="222">
        <v>5754.7290300000004</v>
      </c>
      <c r="O282" s="222">
        <v>5740.2112885799997</v>
      </c>
      <c r="P282" s="222">
        <v>5740.2112885799997</v>
      </c>
      <c r="Q282" s="222">
        <v>5740.2112885799997</v>
      </c>
      <c r="R282" s="222">
        <v>5740.2112885799997</v>
      </c>
      <c r="S282" s="222"/>
      <c r="T282" s="222"/>
      <c r="U282" s="222"/>
      <c r="V282" s="221"/>
      <c r="W282" s="221"/>
      <c r="X282" s="221"/>
      <c r="Y282" s="221"/>
    </row>
    <row r="283" spans="1:25" x14ac:dyDescent="0.2">
      <c r="A283" s="210">
        <v>918</v>
      </c>
      <c r="B283" s="211" t="s">
        <v>413</v>
      </c>
      <c r="C283" s="209">
        <v>2</v>
      </c>
      <c r="D283" s="222">
        <v>7006.30681</v>
      </c>
      <c r="E283" s="222">
        <v>7354.1034976029587</v>
      </c>
      <c r="F283" s="222">
        <v>7573.0392327740774</v>
      </c>
      <c r="G283" s="222">
        <v>4340.5931729629565</v>
      </c>
      <c r="H283" s="222">
        <v>4246.2404643601267</v>
      </c>
      <c r="I283" s="222">
        <v>386.21983</v>
      </c>
      <c r="J283" s="222">
        <v>467.50005199999998</v>
      </c>
      <c r="K283" s="222">
        <v>507.43567999999993</v>
      </c>
      <c r="L283" s="222">
        <v>391.66151999999994</v>
      </c>
      <c r="M283" s="222">
        <v>396.58807999999999</v>
      </c>
      <c r="N283" s="222">
        <v>735.38711000000001</v>
      </c>
      <c r="O283" s="222">
        <v>760.97235182400004</v>
      </c>
      <c r="P283" s="222">
        <v>760.97235182400004</v>
      </c>
      <c r="Q283" s="222">
        <v>760.97235182400004</v>
      </c>
      <c r="R283" s="222">
        <v>760.97235182400004</v>
      </c>
      <c r="S283" s="222"/>
      <c r="T283" s="222"/>
      <c r="U283" s="222"/>
      <c r="V283" s="221"/>
      <c r="W283" s="221"/>
      <c r="X283" s="221"/>
      <c r="Y283" s="221"/>
    </row>
    <row r="284" spans="1:25" x14ac:dyDescent="0.2">
      <c r="A284" s="210">
        <v>921</v>
      </c>
      <c r="B284" s="211" t="s">
        <v>414</v>
      </c>
      <c r="C284" s="209">
        <v>11</v>
      </c>
      <c r="D284" s="222">
        <v>4820.8880199999994</v>
      </c>
      <c r="E284" s="222">
        <v>5025.7598055496273</v>
      </c>
      <c r="F284" s="222">
        <v>5169.9729669589196</v>
      </c>
      <c r="G284" s="222">
        <v>2780.8333856025206</v>
      </c>
      <c r="H284" s="222">
        <v>2757.9112870690597</v>
      </c>
      <c r="I284" s="222">
        <v>600.36065000000008</v>
      </c>
      <c r="J284" s="222">
        <v>569.17418299999997</v>
      </c>
      <c r="K284" s="222">
        <v>617.13912600000003</v>
      </c>
      <c r="L284" s="222">
        <v>476.33553899999998</v>
      </c>
      <c r="M284" s="222">
        <v>482.32718100000005</v>
      </c>
      <c r="N284" s="222">
        <v>521.23884999999996</v>
      </c>
      <c r="O284" s="222">
        <v>544.63792625999997</v>
      </c>
      <c r="P284" s="222">
        <v>544.63792625999997</v>
      </c>
      <c r="Q284" s="222">
        <v>544.63792625999997</v>
      </c>
      <c r="R284" s="222">
        <v>544.63792625999997</v>
      </c>
      <c r="S284" s="222"/>
      <c r="T284" s="222"/>
      <c r="U284" s="222"/>
      <c r="V284" s="221"/>
      <c r="W284" s="221"/>
      <c r="X284" s="221"/>
      <c r="Y284" s="221"/>
    </row>
    <row r="285" spans="1:25" x14ac:dyDescent="0.2">
      <c r="A285" s="210">
        <v>922</v>
      </c>
      <c r="B285" s="211" t="s">
        <v>415</v>
      </c>
      <c r="C285" s="209">
        <v>6</v>
      </c>
      <c r="D285" s="222">
        <v>15003.13111</v>
      </c>
      <c r="E285" s="222">
        <v>15048.018649782987</v>
      </c>
      <c r="F285" s="222">
        <v>15648.333056203996</v>
      </c>
      <c r="G285" s="222">
        <v>8535.3978430833231</v>
      </c>
      <c r="H285" s="222">
        <v>8299.9712954354854</v>
      </c>
      <c r="I285" s="222">
        <v>507.49083000000002</v>
      </c>
      <c r="J285" s="222">
        <v>521.18271900000002</v>
      </c>
      <c r="K285" s="222">
        <v>565.43250799999998</v>
      </c>
      <c r="L285" s="222">
        <v>436.42606199999994</v>
      </c>
      <c r="M285" s="222">
        <v>441.91569799999996</v>
      </c>
      <c r="N285" s="222">
        <v>1251.15472</v>
      </c>
      <c r="O285" s="222">
        <v>1228.1764964640001</v>
      </c>
      <c r="P285" s="222">
        <v>1228.1764964640001</v>
      </c>
      <c r="Q285" s="222">
        <v>1228.1764964640001</v>
      </c>
      <c r="R285" s="222">
        <v>1228.1764964640001</v>
      </c>
      <c r="S285" s="222"/>
      <c r="T285" s="222"/>
      <c r="U285" s="222"/>
      <c r="V285" s="221"/>
      <c r="W285" s="221"/>
      <c r="X285" s="221"/>
      <c r="Y285" s="221"/>
    </row>
    <row r="286" spans="1:25" x14ac:dyDescent="0.2">
      <c r="A286" s="210">
        <v>924</v>
      </c>
      <c r="B286" s="211" t="s">
        <v>416</v>
      </c>
      <c r="C286" s="209">
        <v>16</v>
      </c>
      <c r="D286" s="222">
        <v>9036.7879300000004</v>
      </c>
      <c r="E286" s="222">
        <v>9135.0814437622375</v>
      </c>
      <c r="F286" s="222">
        <v>9447.1221164578692</v>
      </c>
      <c r="G286" s="222">
        <v>5242.5043264599608</v>
      </c>
      <c r="H286" s="222">
        <v>5175.4833834806177</v>
      </c>
      <c r="I286" s="222">
        <v>808.64844999999991</v>
      </c>
      <c r="J286" s="222">
        <v>620.16560400000003</v>
      </c>
      <c r="K286" s="222">
        <v>672.51831200000004</v>
      </c>
      <c r="L286" s="222">
        <v>519.07966800000008</v>
      </c>
      <c r="M286" s="222">
        <v>525.60897200000011</v>
      </c>
      <c r="N286" s="222">
        <v>672.13589000000002</v>
      </c>
      <c r="O286" s="222">
        <v>693.40117711199991</v>
      </c>
      <c r="P286" s="222">
        <v>693.40117711199991</v>
      </c>
      <c r="Q286" s="222">
        <v>693.40117711199991</v>
      </c>
      <c r="R286" s="222">
        <v>693.40117711199991</v>
      </c>
      <c r="S286" s="222"/>
      <c r="T286" s="222"/>
      <c r="U286" s="222"/>
      <c r="V286" s="221"/>
      <c r="W286" s="221"/>
      <c r="X286" s="221"/>
      <c r="Y286" s="221"/>
    </row>
    <row r="287" spans="1:25" x14ac:dyDescent="0.2">
      <c r="A287" s="210">
        <v>925</v>
      </c>
      <c r="B287" s="211" t="s">
        <v>417</v>
      </c>
      <c r="C287" s="209">
        <v>11</v>
      </c>
      <c r="D287" s="222">
        <v>9562.7225199999993</v>
      </c>
      <c r="E287" s="222">
        <v>9503.1505710109814</v>
      </c>
      <c r="F287" s="222">
        <v>9905.0042445761319</v>
      </c>
      <c r="G287" s="222">
        <v>5250.0598963693938</v>
      </c>
      <c r="H287" s="222">
        <v>5151.2893832693026</v>
      </c>
      <c r="I287" s="222">
        <v>3015.8412400000002</v>
      </c>
      <c r="J287" s="222">
        <v>3268.4013209999998</v>
      </c>
      <c r="K287" s="222">
        <v>3552.5622880000001</v>
      </c>
      <c r="L287" s="222">
        <v>2742.0262319999997</v>
      </c>
      <c r="M287" s="222">
        <v>2776.517128</v>
      </c>
      <c r="N287" s="222">
        <v>814.58531999999991</v>
      </c>
      <c r="O287" s="222">
        <v>880.05092830800015</v>
      </c>
      <c r="P287" s="222">
        <v>880.05092830800015</v>
      </c>
      <c r="Q287" s="222">
        <v>880.05092830800015</v>
      </c>
      <c r="R287" s="222">
        <v>880.05092830800015</v>
      </c>
      <c r="S287" s="222"/>
      <c r="T287" s="222"/>
      <c r="U287" s="222"/>
      <c r="V287" s="221"/>
      <c r="W287" s="221"/>
      <c r="X287" s="221"/>
      <c r="Y287" s="221"/>
    </row>
    <row r="288" spans="1:25" x14ac:dyDescent="0.2">
      <c r="A288" s="210">
        <v>927</v>
      </c>
      <c r="B288" s="211" t="s">
        <v>418</v>
      </c>
      <c r="C288" s="209">
        <v>1</v>
      </c>
      <c r="D288" s="222">
        <v>114643.58417</v>
      </c>
      <c r="E288" s="222">
        <v>116674.85024337958</v>
      </c>
      <c r="F288" s="222">
        <v>122607.53259533989</v>
      </c>
      <c r="G288" s="222">
        <v>62466.632962192933</v>
      </c>
      <c r="H288" s="222">
        <v>60370.023415886542</v>
      </c>
      <c r="I288" s="222">
        <v>3710.3828900000003</v>
      </c>
      <c r="J288" s="222">
        <v>3700.2440590000001</v>
      </c>
      <c r="K288" s="222">
        <v>4001.3948820000001</v>
      </c>
      <c r="L288" s="222">
        <v>3088.455273</v>
      </c>
      <c r="M288" s="222">
        <v>3127.3037669999994</v>
      </c>
      <c r="N288" s="222">
        <v>7451.69427</v>
      </c>
      <c r="O288" s="222">
        <v>7134.938557896</v>
      </c>
      <c r="P288" s="222">
        <v>7134.938557896</v>
      </c>
      <c r="Q288" s="222">
        <v>7134.938557896</v>
      </c>
      <c r="R288" s="222">
        <v>7134.938557896</v>
      </c>
      <c r="S288" s="222"/>
      <c r="T288" s="222"/>
      <c r="U288" s="222"/>
      <c r="V288" s="221"/>
      <c r="W288" s="221"/>
      <c r="X288" s="221"/>
      <c r="Y288" s="221"/>
    </row>
    <row r="289" spans="1:25" x14ac:dyDescent="0.2">
      <c r="A289" s="210">
        <v>931</v>
      </c>
      <c r="B289" s="211" t="s">
        <v>419</v>
      </c>
      <c r="C289" s="209">
        <v>13</v>
      </c>
      <c r="D289" s="222">
        <v>17401.740679999999</v>
      </c>
      <c r="E289" s="222">
        <v>16643.544942513003</v>
      </c>
      <c r="F289" s="222">
        <v>17689.115943942037</v>
      </c>
      <c r="G289" s="222">
        <v>9235.2187417424866</v>
      </c>
      <c r="H289" s="222">
        <v>9076.4454396240162</v>
      </c>
      <c r="I289" s="222">
        <v>2334.1047699999999</v>
      </c>
      <c r="J289" s="222">
        <v>2289.7640409999999</v>
      </c>
      <c r="K289" s="222">
        <v>2481.2646440000003</v>
      </c>
      <c r="L289" s="222">
        <v>1915.1508660000002</v>
      </c>
      <c r="M289" s="222">
        <v>1939.240814</v>
      </c>
      <c r="N289" s="222">
        <v>1898.18623</v>
      </c>
      <c r="O289" s="222">
        <v>1985.1330348672002</v>
      </c>
      <c r="P289" s="222">
        <v>1985.1330348672002</v>
      </c>
      <c r="Q289" s="222">
        <v>1985.1330348672002</v>
      </c>
      <c r="R289" s="222">
        <v>1985.1330348672002</v>
      </c>
      <c r="S289" s="222"/>
      <c r="T289" s="222"/>
      <c r="U289" s="222"/>
      <c r="V289" s="221"/>
      <c r="W289" s="221"/>
      <c r="X289" s="221"/>
      <c r="Y289" s="221"/>
    </row>
    <row r="290" spans="1:25" x14ac:dyDescent="0.2">
      <c r="A290" s="210">
        <v>934</v>
      </c>
      <c r="B290" s="211" t="s">
        <v>420</v>
      </c>
      <c r="C290" s="209">
        <v>14</v>
      </c>
      <c r="D290" s="222">
        <v>9088.370570000001</v>
      </c>
      <c r="E290" s="222">
        <v>9001.0531784776831</v>
      </c>
      <c r="F290" s="222">
        <v>9425.7622625867352</v>
      </c>
      <c r="G290" s="222">
        <v>5203.6529034742161</v>
      </c>
      <c r="H290" s="222">
        <v>5134.6135200789395</v>
      </c>
      <c r="I290" s="222">
        <v>648.54343999999992</v>
      </c>
      <c r="J290" s="222">
        <v>606.89765799999998</v>
      </c>
      <c r="K290" s="222">
        <v>652.91184999999996</v>
      </c>
      <c r="L290" s="222">
        <v>503.94652500000001</v>
      </c>
      <c r="M290" s="222">
        <v>510.28547499999996</v>
      </c>
      <c r="N290" s="222">
        <v>905.38962000000004</v>
      </c>
      <c r="O290" s="222">
        <v>798.46478230800005</v>
      </c>
      <c r="P290" s="222">
        <v>798.46478230800005</v>
      </c>
      <c r="Q290" s="222">
        <v>798.46478230800005</v>
      </c>
      <c r="R290" s="222">
        <v>798.46478230800005</v>
      </c>
      <c r="S290" s="222"/>
      <c r="T290" s="222"/>
      <c r="U290" s="222"/>
      <c r="V290" s="221"/>
      <c r="W290" s="221"/>
      <c r="X290" s="221"/>
      <c r="Y290" s="221"/>
    </row>
    <row r="291" spans="1:25" x14ac:dyDescent="0.2">
      <c r="A291" s="210">
        <v>935</v>
      </c>
      <c r="B291" s="211" t="s">
        <v>421</v>
      </c>
      <c r="C291" s="209">
        <v>8</v>
      </c>
      <c r="D291" s="222">
        <v>8399.9141899999995</v>
      </c>
      <c r="E291" s="222">
        <v>8248.7848750079993</v>
      </c>
      <c r="F291" s="222">
        <v>8709.472028168746</v>
      </c>
      <c r="G291" s="222">
        <v>4304.9020374010815</v>
      </c>
      <c r="H291" s="222">
        <v>4205.3201258350309</v>
      </c>
      <c r="I291" s="222">
        <v>1172.43724</v>
      </c>
      <c r="J291" s="222">
        <v>999.75285400000007</v>
      </c>
      <c r="K291" s="222">
        <v>1083.503968</v>
      </c>
      <c r="L291" s="222">
        <v>836.29675199999997</v>
      </c>
      <c r="M291" s="222">
        <v>846.81620799999996</v>
      </c>
      <c r="N291" s="222">
        <v>1405.59746</v>
      </c>
      <c r="O291" s="222">
        <v>1694.5615683599999</v>
      </c>
      <c r="P291" s="222">
        <v>1694.5615683599999</v>
      </c>
      <c r="Q291" s="222">
        <v>1694.5615683599999</v>
      </c>
      <c r="R291" s="222">
        <v>1694.5615683599999</v>
      </c>
      <c r="S291" s="222"/>
      <c r="T291" s="222"/>
      <c r="U291" s="222"/>
      <c r="V291" s="221"/>
      <c r="W291" s="221"/>
      <c r="X291" s="221"/>
      <c r="Y291" s="221"/>
    </row>
    <row r="292" spans="1:25" x14ac:dyDescent="0.2">
      <c r="A292" s="210">
        <v>936</v>
      </c>
      <c r="B292" s="211" t="s">
        <v>422</v>
      </c>
      <c r="C292" s="209">
        <v>6</v>
      </c>
      <c r="D292" s="222">
        <v>18134.48256</v>
      </c>
      <c r="E292" s="222">
        <v>18485.519126310188</v>
      </c>
      <c r="F292" s="222">
        <v>18843.576686931305</v>
      </c>
      <c r="G292" s="222">
        <v>9754.6790590119854</v>
      </c>
      <c r="H292" s="222">
        <v>9593.7551169827693</v>
      </c>
      <c r="I292" s="222">
        <v>2413.6939600000001</v>
      </c>
      <c r="J292" s="222">
        <v>2367.9087949999994</v>
      </c>
      <c r="K292" s="222">
        <v>2566.5976719999999</v>
      </c>
      <c r="L292" s="222">
        <v>1981.0147079999999</v>
      </c>
      <c r="M292" s="222">
        <v>2005.9331319999999</v>
      </c>
      <c r="N292" s="222">
        <v>1879.9746100000002</v>
      </c>
      <c r="O292" s="222">
        <v>1890.5328028224001</v>
      </c>
      <c r="P292" s="222">
        <v>1890.5328028224001</v>
      </c>
      <c r="Q292" s="222">
        <v>1890.5328028224001</v>
      </c>
      <c r="R292" s="222">
        <v>1890.5328028224001</v>
      </c>
      <c r="S292" s="222"/>
      <c r="T292" s="222"/>
      <c r="U292" s="222"/>
      <c r="V292" s="221"/>
      <c r="W292" s="221"/>
      <c r="X292" s="221"/>
      <c r="Y292" s="221"/>
    </row>
    <row r="293" spans="1:25" x14ac:dyDescent="0.2">
      <c r="A293" s="210">
        <v>946</v>
      </c>
      <c r="B293" s="211" t="s">
        <v>136</v>
      </c>
      <c r="C293" s="209">
        <v>15</v>
      </c>
      <c r="D293" s="222">
        <v>18913.14878</v>
      </c>
      <c r="E293" s="222">
        <v>18843.212696346032</v>
      </c>
      <c r="F293" s="222">
        <v>20078.898726617746</v>
      </c>
      <c r="G293" s="222">
        <v>10620.104787538385</v>
      </c>
      <c r="H293" s="222">
        <v>10405.846725404304</v>
      </c>
      <c r="I293" s="222">
        <v>2283.8829700000001</v>
      </c>
      <c r="J293" s="222">
        <v>1889.6977460000003</v>
      </c>
      <c r="K293" s="222">
        <v>2045.0685020000001</v>
      </c>
      <c r="L293" s="222">
        <v>1578.4752030000002</v>
      </c>
      <c r="M293" s="222">
        <v>1598.3302369999999</v>
      </c>
      <c r="N293" s="222">
        <v>1792.16236</v>
      </c>
      <c r="O293" s="222">
        <v>1755.2013118704003</v>
      </c>
      <c r="P293" s="222">
        <v>1755.2013118704003</v>
      </c>
      <c r="Q293" s="222">
        <v>1755.2013118704003</v>
      </c>
      <c r="R293" s="222">
        <v>1755.2013118704003</v>
      </c>
      <c r="S293" s="222"/>
      <c r="T293" s="222"/>
      <c r="U293" s="222"/>
      <c r="V293" s="221"/>
      <c r="W293" s="221"/>
      <c r="X293" s="221"/>
      <c r="Y293" s="221"/>
    </row>
    <row r="294" spans="1:25" x14ac:dyDescent="0.2">
      <c r="A294" s="210">
        <v>976</v>
      </c>
      <c r="B294" s="211" t="s">
        <v>423</v>
      </c>
      <c r="C294" s="209">
        <v>19</v>
      </c>
      <c r="D294" s="222">
        <v>10451.582400000001</v>
      </c>
      <c r="E294" s="222">
        <v>11106.443588974907</v>
      </c>
      <c r="F294" s="222">
        <v>11340.052457833333</v>
      </c>
      <c r="G294" s="222">
        <v>5665.3193471086142</v>
      </c>
      <c r="H294" s="222">
        <v>5525.6373854846752</v>
      </c>
      <c r="I294" s="222">
        <v>762.09906000000001</v>
      </c>
      <c r="J294" s="222">
        <v>710.02525900000001</v>
      </c>
      <c r="K294" s="222">
        <v>767.42930999999999</v>
      </c>
      <c r="L294" s="222">
        <v>592.33621499999992</v>
      </c>
      <c r="M294" s="222">
        <v>599.78698500000007</v>
      </c>
      <c r="N294" s="222">
        <v>1068.2768899999999</v>
      </c>
      <c r="O294" s="222">
        <v>1229.0985389040002</v>
      </c>
      <c r="P294" s="222">
        <v>1229.0985389040002</v>
      </c>
      <c r="Q294" s="222">
        <v>1229.0985389040002</v>
      </c>
      <c r="R294" s="222">
        <v>1229.0985389040002</v>
      </c>
      <c r="S294" s="222"/>
      <c r="T294" s="222"/>
      <c r="U294" s="222"/>
      <c r="V294" s="221"/>
      <c r="W294" s="221"/>
      <c r="X294" s="221"/>
      <c r="Y294" s="221"/>
    </row>
    <row r="295" spans="1:25" x14ac:dyDescent="0.2">
      <c r="A295" s="210">
        <v>977</v>
      </c>
      <c r="B295" s="211" t="s">
        <v>424</v>
      </c>
      <c r="C295" s="209">
        <v>17</v>
      </c>
      <c r="D295" s="222">
        <v>45779.7978</v>
      </c>
      <c r="E295" s="222">
        <v>47095.404917801323</v>
      </c>
      <c r="F295" s="222">
        <v>49823.569734271128</v>
      </c>
      <c r="G295" s="222">
        <v>27117.380860311492</v>
      </c>
      <c r="H295" s="222">
        <v>26523.486374127326</v>
      </c>
      <c r="I295" s="222">
        <v>3933.97892</v>
      </c>
      <c r="J295" s="222">
        <v>3343.121776</v>
      </c>
      <c r="K295" s="222">
        <v>3620.2722220000001</v>
      </c>
      <c r="L295" s="222">
        <v>2794.2877829999998</v>
      </c>
      <c r="M295" s="222">
        <v>2829.4360569999999</v>
      </c>
      <c r="N295" s="222">
        <v>4866.1797900000001</v>
      </c>
      <c r="O295" s="222">
        <v>4958.074800551999</v>
      </c>
      <c r="P295" s="222">
        <v>4958.074800551999</v>
      </c>
      <c r="Q295" s="222">
        <v>4958.074800551999</v>
      </c>
      <c r="R295" s="222">
        <v>4958.074800551999</v>
      </c>
      <c r="S295" s="222"/>
      <c r="T295" s="222"/>
      <c r="U295" s="222"/>
      <c r="V295" s="221"/>
      <c r="W295" s="221"/>
      <c r="X295" s="221"/>
      <c r="Y295" s="221"/>
    </row>
    <row r="296" spans="1:25" x14ac:dyDescent="0.2">
      <c r="A296" s="210">
        <v>980</v>
      </c>
      <c r="B296" s="211" t="s">
        <v>425</v>
      </c>
      <c r="C296" s="209">
        <v>6</v>
      </c>
      <c r="D296" s="222">
        <v>112635.23678000001</v>
      </c>
      <c r="E296" s="222">
        <v>115365.582208219</v>
      </c>
      <c r="F296" s="222">
        <v>121355.3812812828</v>
      </c>
      <c r="G296" s="222">
        <v>62028.722255653272</v>
      </c>
      <c r="H296" s="222">
        <v>60076.290118833589</v>
      </c>
      <c r="I296" s="222">
        <v>6037.4551300000003</v>
      </c>
      <c r="J296" s="222">
        <v>5907.6501420000004</v>
      </c>
      <c r="K296" s="222">
        <v>6403.7948980000001</v>
      </c>
      <c r="L296" s="222">
        <v>4942.7348969999994</v>
      </c>
      <c r="M296" s="222">
        <v>5004.907663</v>
      </c>
      <c r="N296" s="222">
        <v>7521.2158799999997</v>
      </c>
      <c r="O296" s="222">
        <v>7501.6174984008003</v>
      </c>
      <c r="P296" s="222">
        <v>7501.6174984008003</v>
      </c>
      <c r="Q296" s="222">
        <v>7501.6174984008003</v>
      </c>
      <c r="R296" s="222">
        <v>7501.6174984008003</v>
      </c>
      <c r="S296" s="222"/>
      <c r="T296" s="222"/>
      <c r="U296" s="222"/>
      <c r="V296" s="221"/>
      <c r="W296" s="221"/>
      <c r="X296" s="221"/>
      <c r="Y296" s="221"/>
    </row>
    <row r="297" spans="1:25" x14ac:dyDescent="0.2">
      <c r="A297" s="210">
        <v>981</v>
      </c>
      <c r="B297" s="250" t="s">
        <v>426</v>
      </c>
      <c r="C297" s="209">
        <v>5</v>
      </c>
      <c r="D297" s="222">
        <v>7096.13627</v>
      </c>
      <c r="E297" s="222">
        <v>7209.1943466164294</v>
      </c>
      <c r="F297" s="222">
        <v>7367.0711982691564</v>
      </c>
      <c r="G297" s="222">
        <v>4036.7196877842471</v>
      </c>
      <c r="H297" s="222">
        <v>3946.9867424153299</v>
      </c>
      <c r="I297" s="222">
        <v>362.05788999999999</v>
      </c>
      <c r="J297" s="222">
        <v>286.89648299999999</v>
      </c>
      <c r="K297" s="222">
        <v>310.959678</v>
      </c>
      <c r="L297" s="222">
        <v>240.01256699999996</v>
      </c>
      <c r="M297" s="222">
        <v>243.03159299999996</v>
      </c>
      <c r="N297" s="222">
        <v>510.03030000000001</v>
      </c>
      <c r="O297" s="222">
        <v>523.10199254399981</v>
      </c>
      <c r="P297" s="222">
        <v>523.10199254399981</v>
      </c>
      <c r="Q297" s="222">
        <v>523.10199254399981</v>
      </c>
      <c r="R297" s="222">
        <v>523.10199254399981</v>
      </c>
      <c r="S297" s="222"/>
      <c r="T297" s="222"/>
      <c r="U297" s="222"/>
      <c r="V297" s="221"/>
      <c r="W297" s="221"/>
      <c r="X297" s="221"/>
      <c r="Y297" s="221"/>
    </row>
    <row r="298" spans="1:25" x14ac:dyDescent="0.2">
      <c r="A298" s="210">
        <v>989</v>
      </c>
      <c r="B298" s="211" t="s">
        <v>427</v>
      </c>
      <c r="C298" s="209">
        <v>14</v>
      </c>
      <c r="D298" s="222">
        <v>17738.10068</v>
      </c>
      <c r="E298" s="222">
        <v>17652.692332487986</v>
      </c>
      <c r="F298" s="222">
        <v>18125.427616093351</v>
      </c>
      <c r="G298" s="222">
        <v>9915.1582690197993</v>
      </c>
      <c r="H298" s="222">
        <v>9826.0530173863717</v>
      </c>
      <c r="I298" s="222">
        <v>1472.85115</v>
      </c>
      <c r="J298" s="222">
        <v>1559.5890689999999</v>
      </c>
      <c r="K298" s="222">
        <v>1690.4640159999999</v>
      </c>
      <c r="L298" s="222">
        <v>1304.7756240000001</v>
      </c>
      <c r="M298" s="222">
        <v>1321.1878959999997</v>
      </c>
      <c r="N298" s="222">
        <v>2028.0361699999999</v>
      </c>
      <c r="O298" s="222">
        <v>2068.852144728</v>
      </c>
      <c r="P298" s="222">
        <v>2068.852144728</v>
      </c>
      <c r="Q298" s="222">
        <v>2068.852144728</v>
      </c>
      <c r="R298" s="222">
        <v>2068.852144728</v>
      </c>
      <c r="S298" s="222"/>
      <c r="T298" s="222"/>
      <c r="U298" s="222"/>
      <c r="V298" s="221"/>
      <c r="W298" s="221"/>
      <c r="X298" s="221"/>
      <c r="Y298" s="221"/>
    </row>
    <row r="299" spans="1:25" x14ac:dyDescent="0.2">
      <c r="A299" s="210">
        <v>992</v>
      </c>
      <c r="B299" s="250" t="s">
        <v>428</v>
      </c>
      <c r="C299" s="209">
        <v>13</v>
      </c>
      <c r="D299" s="222">
        <v>62983.824489999999</v>
      </c>
      <c r="E299" s="222">
        <v>64807.28480193967</v>
      </c>
      <c r="F299" s="222">
        <v>65952.305666560758</v>
      </c>
      <c r="G299" s="222">
        <v>34893.532380234574</v>
      </c>
      <c r="H299" s="222">
        <v>34419.828272044288</v>
      </c>
      <c r="I299" s="222">
        <v>8989.7920599999998</v>
      </c>
      <c r="J299" s="222">
        <v>9459.7810470000004</v>
      </c>
      <c r="K299" s="222">
        <v>10286.032788</v>
      </c>
      <c r="L299" s="222">
        <v>7939.2194820000004</v>
      </c>
      <c r="M299" s="222">
        <v>8039.0838780000004</v>
      </c>
      <c r="N299" s="222">
        <v>4722.4306500000002</v>
      </c>
      <c r="O299" s="222">
        <v>4833.7879346999989</v>
      </c>
      <c r="P299" s="222">
        <v>4833.7879346999989</v>
      </c>
      <c r="Q299" s="222">
        <v>4833.7879346999989</v>
      </c>
      <c r="R299" s="222">
        <v>4833.7879346999989</v>
      </c>
      <c r="S299" s="222"/>
      <c r="T299" s="222"/>
      <c r="U299" s="222"/>
      <c r="V299" s="221"/>
      <c r="W299" s="221"/>
      <c r="X299" s="221"/>
      <c r="Y299" s="221"/>
    </row>
    <row r="300" spans="1:25" x14ac:dyDescent="0.2">
      <c r="A300" s="210"/>
      <c r="B300" s="211" t="s">
        <v>597</v>
      </c>
      <c r="C300" s="221"/>
      <c r="D300" s="222">
        <f>SUM(D5:D299)</f>
        <v>18806462.939319998</v>
      </c>
      <c r="E300" s="222">
        <f t="shared" ref="E300:O300" si="0">SUM(E5:E299)</f>
        <v>19142849.980151705</v>
      </c>
      <c r="F300" s="222">
        <f t="shared" si="0"/>
        <v>19999819.090904366</v>
      </c>
      <c r="G300" s="222">
        <f t="shared" si="0"/>
        <v>9865134.7780126166</v>
      </c>
      <c r="H300" s="222">
        <f t="shared" si="0"/>
        <v>9527777.4861487653</v>
      </c>
      <c r="I300" s="222">
        <f t="shared" si="0"/>
        <v>1856939.4837299979</v>
      </c>
      <c r="J300" s="222">
        <f t="shared" si="0"/>
        <v>1899925.3447260002</v>
      </c>
      <c r="K300" s="222">
        <f t="shared" si="0"/>
        <v>2060000.0000000002</v>
      </c>
      <c r="L300" s="222">
        <f t="shared" si="0"/>
        <v>1590000.0000000009</v>
      </c>
      <c r="M300" s="222">
        <f t="shared" si="0"/>
        <v>1610000.0000000002</v>
      </c>
      <c r="N300" s="222">
        <f t="shared" si="0"/>
        <v>1770811.8996300003</v>
      </c>
      <c r="O300" s="222">
        <f t="shared" si="0"/>
        <v>1820184.7181128897</v>
      </c>
      <c r="P300" s="222">
        <f>SUM(P5:P299)</f>
        <v>1820184.7181128897</v>
      </c>
      <c r="Q300" s="222">
        <f>SUM(Q5:Q299)</f>
        <v>1820184.7181128897</v>
      </c>
      <c r="R300" s="222">
        <f>SUM(R5:R299)</f>
        <v>1820184.7181128897</v>
      </c>
      <c r="S300" s="222"/>
      <c r="T300" s="222"/>
      <c r="U300" s="222"/>
      <c r="V300" s="221"/>
      <c r="W300" s="221"/>
      <c r="X300" s="221"/>
      <c r="Y300" s="221"/>
    </row>
  </sheetData>
  <sheetProtection password="C9BA" sheet="1" objects="1" scenarios="1" selectLockedCells="1" selectUnlockedCells="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ul9"/>
  <dimension ref="A1:AD328"/>
  <sheetViews>
    <sheetView topLeftCell="A3" workbookViewId="0">
      <selection activeCell="A4" sqref="A4"/>
    </sheetView>
  </sheetViews>
  <sheetFormatPr defaultRowHeight="12.75" x14ac:dyDescent="0.2"/>
  <cols>
    <col min="1" max="1" width="10.42578125" customWidth="1"/>
    <col min="2" max="2" width="17.7109375" customWidth="1"/>
    <col min="10" max="10" width="14.42578125" customWidth="1"/>
    <col min="11" max="11" width="19.140625" customWidth="1"/>
    <col min="12" max="12" width="17" customWidth="1"/>
    <col min="19" max="19" width="23.85546875" customWidth="1"/>
    <col min="20" max="20" width="27.42578125" customWidth="1"/>
    <col min="21" max="21" width="19.85546875" bestFit="1" customWidth="1"/>
  </cols>
  <sheetData>
    <row r="1" spans="1:30" ht="15" x14ac:dyDescent="0.25">
      <c r="A1" s="117" t="s">
        <v>527</v>
      </c>
      <c r="C1" s="108"/>
      <c r="D1" s="108"/>
      <c r="E1" s="108"/>
      <c r="F1" s="108"/>
      <c r="G1" s="108"/>
      <c r="H1" s="108"/>
      <c r="I1" s="108"/>
      <c r="M1" s="108"/>
      <c r="N1" s="108"/>
      <c r="O1" s="108"/>
      <c r="P1" s="108"/>
      <c r="Q1" s="108"/>
      <c r="R1" s="108"/>
      <c r="V1" s="108"/>
      <c r="W1" s="108"/>
      <c r="X1" s="108"/>
      <c r="Y1" s="108"/>
      <c r="Z1" s="108"/>
      <c r="AA1" s="108"/>
      <c r="AB1" s="108"/>
      <c r="AC1" s="108"/>
      <c r="AD1" s="108"/>
    </row>
    <row r="3" spans="1:30" ht="15" x14ac:dyDescent="0.25">
      <c r="A3" s="124" t="s">
        <v>533</v>
      </c>
      <c r="B3" s="108"/>
      <c r="C3" s="110" t="s">
        <v>532</v>
      </c>
      <c r="D3" s="110" t="s">
        <v>532</v>
      </c>
      <c r="E3" s="110" t="s">
        <v>532</v>
      </c>
      <c r="F3" s="110" t="s">
        <v>532</v>
      </c>
      <c r="G3" s="111" t="s">
        <v>528</v>
      </c>
      <c r="H3" s="111" t="s">
        <v>529</v>
      </c>
      <c r="I3" s="111" t="s">
        <v>530</v>
      </c>
      <c r="J3" s="112" t="s">
        <v>528</v>
      </c>
      <c r="K3" s="112" t="s">
        <v>529</v>
      </c>
      <c r="L3" s="112" t="s">
        <v>530</v>
      </c>
      <c r="M3" s="113" t="s">
        <v>528</v>
      </c>
      <c r="N3" s="113" t="s">
        <v>529</v>
      </c>
      <c r="O3" s="113" t="s">
        <v>530</v>
      </c>
      <c r="P3" s="116" t="s">
        <v>528</v>
      </c>
      <c r="Q3" s="116" t="s">
        <v>529</v>
      </c>
      <c r="R3" s="116" t="s">
        <v>530</v>
      </c>
      <c r="S3" s="115" t="s">
        <v>532</v>
      </c>
      <c r="T3" s="115" t="s">
        <v>532</v>
      </c>
      <c r="U3" s="115" t="s">
        <v>532</v>
      </c>
      <c r="V3" s="114" t="s">
        <v>528</v>
      </c>
      <c r="W3" s="114" t="s">
        <v>529</v>
      </c>
      <c r="X3" s="114" t="s">
        <v>530</v>
      </c>
      <c r="Y3" s="120" t="s">
        <v>528</v>
      </c>
      <c r="Z3" s="120" t="s">
        <v>529</v>
      </c>
      <c r="AA3" s="120" t="s">
        <v>530</v>
      </c>
      <c r="AB3" s="122" t="s">
        <v>528</v>
      </c>
      <c r="AC3" s="122" t="s">
        <v>529</v>
      </c>
      <c r="AD3" s="122" t="s">
        <v>530</v>
      </c>
    </row>
    <row r="4" spans="1:30" ht="15" x14ac:dyDescent="0.25">
      <c r="A4" s="3" t="s">
        <v>122</v>
      </c>
      <c r="B4" s="108" t="s">
        <v>103</v>
      </c>
      <c r="C4" s="110" t="s">
        <v>138</v>
      </c>
      <c r="D4" s="110" t="s">
        <v>139</v>
      </c>
      <c r="E4" s="110" t="s">
        <v>8</v>
      </c>
      <c r="F4" s="110" t="s">
        <v>516</v>
      </c>
      <c r="G4" s="111" t="s">
        <v>138</v>
      </c>
      <c r="H4" s="111" t="s">
        <v>138</v>
      </c>
      <c r="I4" s="111" t="s">
        <v>138</v>
      </c>
      <c r="J4" s="112" t="s">
        <v>139</v>
      </c>
      <c r="K4" s="112" t="s">
        <v>139</v>
      </c>
      <c r="L4" s="112" t="s">
        <v>139</v>
      </c>
      <c r="M4" s="113" t="s">
        <v>8</v>
      </c>
      <c r="N4" s="113" t="s">
        <v>8</v>
      </c>
      <c r="O4" s="113" t="s">
        <v>8</v>
      </c>
      <c r="P4" s="116" t="s">
        <v>516</v>
      </c>
      <c r="Q4" s="116" t="s">
        <v>516</v>
      </c>
      <c r="R4" s="116" t="s">
        <v>516</v>
      </c>
      <c r="S4" s="118" t="s">
        <v>140</v>
      </c>
      <c r="T4" s="118" t="s">
        <v>9</v>
      </c>
      <c r="U4" s="118" t="s">
        <v>531</v>
      </c>
      <c r="V4" s="119" t="s">
        <v>140</v>
      </c>
      <c r="W4" s="119" t="s">
        <v>140</v>
      </c>
      <c r="X4" s="119" t="s">
        <v>140</v>
      </c>
      <c r="Y4" s="121" t="s">
        <v>9</v>
      </c>
      <c r="Z4" s="121" t="s">
        <v>9</v>
      </c>
      <c r="AA4" s="121" t="s">
        <v>9</v>
      </c>
      <c r="AB4" s="123" t="s">
        <v>531</v>
      </c>
      <c r="AC4" s="123" t="s">
        <v>531</v>
      </c>
      <c r="AD4" s="123" t="s">
        <v>531</v>
      </c>
    </row>
    <row r="5" spans="1:30" ht="15" x14ac:dyDescent="0.25">
      <c r="A5">
        <v>5</v>
      </c>
      <c r="B5" s="109" t="s">
        <v>143</v>
      </c>
      <c r="C5" s="108">
        <v>44216</v>
      </c>
      <c r="D5" s="108">
        <v>0</v>
      </c>
      <c r="E5" s="108">
        <v>0</v>
      </c>
      <c r="F5" s="108">
        <v>0</v>
      </c>
      <c r="G5" s="108">
        <v>16</v>
      </c>
      <c r="H5" s="108">
        <v>27269</v>
      </c>
      <c r="I5" s="108">
        <v>0</v>
      </c>
      <c r="J5">
        <v>0</v>
      </c>
      <c r="K5">
        <v>0</v>
      </c>
      <c r="L5">
        <v>0</v>
      </c>
      <c r="M5" s="108">
        <v>0</v>
      </c>
      <c r="N5" s="108">
        <v>0</v>
      </c>
      <c r="O5" s="108">
        <v>0</v>
      </c>
      <c r="P5" s="108">
        <v>0</v>
      </c>
      <c r="Q5" s="108">
        <v>0</v>
      </c>
      <c r="R5" s="108">
        <v>0</v>
      </c>
      <c r="S5">
        <v>101014</v>
      </c>
      <c r="T5">
        <v>3095</v>
      </c>
      <c r="U5">
        <v>0</v>
      </c>
      <c r="V5" s="108">
        <v>209</v>
      </c>
      <c r="W5" s="108">
        <v>61548</v>
      </c>
      <c r="X5" s="108">
        <v>866</v>
      </c>
      <c r="Y5" s="108">
        <v>0</v>
      </c>
      <c r="Z5" s="108">
        <v>98</v>
      </c>
      <c r="AA5" s="108">
        <v>0</v>
      </c>
      <c r="AB5" s="108">
        <v>0</v>
      </c>
      <c r="AC5" s="108">
        <v>0</v>
      </c>
      <c r="AD5" s="108">
        <v>0</v>
      </c>
    </row>
    <row r="6" spans="1:30" ht="15" x14ac:dyDescent="0.25">
      <c r="A6">
        <v>9</v>
      </c>
      <c r="B6" s="109" t="s">
        <v>144</v>
      </c>
      <c r="C6" s="108">
        <v>3406</v>
      </c>
      <c r="D6" s="108">
        <v>0</v>
      </c>
      <c r="E6" s="108">
        <v>0</v>
      </c>
      <c r="F6" s="108">
        <v>0</v>
      </c>
      <c r="G6" s="108">
        <v>0</v>
      </c>
      <c r="H6" s="108">
        <v>13</v>
      </c>
      <c r="I6" s="108">
        <v>0</v>
      </c>
      <c r="J6">
        <v>0</v>
      </c>
      <c r="K6">
        <v>0</v>
      </c>
      <c r="L6">
        <v>0</v>
      </c>
      <c r="M6" s="108">
        <v>0</v>
      </c>
      <c r="N6" s="108">
        <v>0</v>
      </c>
      <c r="O6" s="108">
        <v>0</v>
      </c>
      <c r="P6" s="108">
        <v>0</v>
      </c>
      <c r="Q6" s="108">
        <v>0</v>
      </c>
      <c r="R6" s="108">
        <v>0</v>
      </c>
      <c r="S6">
        <v>18372</v>
      </c>
      <c r="T6">
        <v>795</v>
      </c>
      <c r="U6">
        <v>0</v>
      </c>
      <c r="V6" s="108">
        <v>0</v>
      </c>
      <c r="W6" s="108">
        <v>10116</v>
      </c>
      <c r="X6" s="108">
        <v>212</v>
      </c>
      <c r="Y6" s="108">
        <v>0</v>
      </c>
      <c r="Z6" s="108">
        <v>0</v>
      </c>
      <c r="AA6" s="108">
        <v>4</v>
      </c>
      <c r="AB6" s="108">
        <v>0</v>
      </c>
      <c r="AC6" s="108">
        <v>0</v>
      </c>
      <c r="AD6" s="108">
        <v>0</v>
      </c>
    </row>
    <row r="7" spans="1:30" ht="15" x14ac:dyDescent="0.25">
      <c r="A7">
        <v>10</v>
      </c>
      <c r="B7" s="109" t="s">
        <v>145</v>
      </c>
      <c r="C7" s="108">
        <v>21665</v>
      </c>
      <c r="D7" s="108">
        <v>0</v>
      </c>
      <c r="E7" s="108">
        <v>0</v>
      </c>
      <c r="F7" s="108">
        <v>0</v>
      </c>
      <c r="G7" s="108">
        <v>346</v>
      </c>
      <c r="H7" s="108">
        <v>5159</v>
      </c>
      <c r="I7" s="108">
        <v>0</v>
      </c>
      <c r="J7">
        <v>0</v>
      </c>
      <c r="K7">
        <v>0</v>
      </c>
      <c r="L7">
        <v>0</v>
      </c>
      <c r="M7" s="108">
        <v>0</v>
      </c>
      <c r="N7" s="108">
        <v>0</v>
      </c>
      <c r="O7" s="108">
        <v>0</v>
      </c>
      <c r="P7" s="108">
        <v>0</v>
      </c>
      <c r="Q7" s="108">
        <v>0</v>
      </c>
      <c r="R7" s="108">
        <v>0</v>
      </c>
      <c r="S7">
        <v>92219</v>
      </c>
      <c r="T7">
        <v>2982</v>
      </c>
      <c r="U7">
        <v>222</v>
      </c>
      <c r="V7" s="108">
        <v>782</v>
      </c>
      <c r="W7" s="108">
        <v>51289</v>
      </c>
      <c r="X7" s="108">
        <v>1031</v>
      </c>
      <c r="Y7" s="108">
        <v>13</v>
      </c>
      <c r="Z7" s="108">
        <v>310</v>
      </c>
      <c r="AA7" s="108">
        <v>0</v>
      </c>
      <c r="AB7" s="108">
        <v>0</v>
      </c>
      <c r="AC7" s="108">
        <v>0</v>
      </c>
      <c r="AD7" s="108">
        <v>0</v>
      </c>
    </row>
    <row r="8" spans="1:30" ht="15" x14ac:dyDescent="0.25">
      <c r="A8">
        <v>16</v>
      </c>
      <c r="B8" s="109" t="s">
        <v>146</v>
      </c>
      <c r="C8" s="108">
        <v>11752</v>
      </c>
      <c r="D8" s="108">
        <v>0</v>
      </c>
      <c r="E8" s="108">
        <v>4</v>
      </c>
      <c r="F8" s="108">
        <v>571</v>
      </c>
      <c r="G8" s="108">
        <v>34</v>
      </c>
      <c r="H8" s="108">
        <v>326</v>
      </c>
      <c r="I8" s="108">
        <v>0</v>
      </c>
      <c r="J8">
        <v>0</v>
      </c>
      <c r="K8">
        <v>0</v>
      </c>
      <c r="L8">
        <v>0</v>
      </c>
      <c r="M8" s="108">
        <v>0</v>
      </c>
      <c r="N8" s="108">
        <v>0</v>
      </c>
      <c r="O8" s="108">
        <v>0</v>
      </c>
      <c r="P8" s="108">
        <v>0</v>
      </c>
      <c r="Q8" s="108">
        <v>0</v>
      </c>
      <c r="R8" s="108">
        <v>0</v>
      </c>
      <c r="S8">
        <v>54180</v>
      </c>
      <c r="T8">
        <v>2037</v>
      </c>
      <c r="U8">
        <v>572</v>
      </c>
      <c r="V8" s="108">
        <v>974</v>
      </c>
      <c r="W8" s="108">
        <v>29470</v>
      </c>
      <c r="X8" s="108">
        <v>760</v>
      </c>
      <c r="Y8" s="108">
        <v>0</v>
      </c>
      <c r="Z8" s="108">
        <v>0</v>
      </c>
      <c r="AA8" s="108">
        <v>0</v>
      </c>
      <c r="AB8" s="108">
        <v>0</v>
      </c>
      <c r="AC8" s="108">
        <v>19</v>
      </c>
      <c r="AD8" s="108">
        <v>1</v>
      </c>
    </row>
    <row r="9" spans="1:30" ht="15" x14ac:dyDescent="0.25">
      <c r="A9">
        <v>18</v>
      </c>
      <c r="B9" s="109" t="s">
        <v>147</v>
      </c>
      <c r="C9" s="108">
        <v>7183</v>
      </c>
      <c r="D9" s="108">
        <v>0</v>
      </c>
      <c r="E9" s="108">
        <v>0</v>
      </c>
      <c r="F9" s="108">
        <v>0</v>
      </c>
      <c r="G9" s="108">
        <v>6</v>
      </c>
      <c r="H9" s="108">
        <v>1343</v>
      </c>
      <c r="I9" s="108">
        <v>111</v>
      </c>
      <c r="J9">
        <v>0</v>
      </c>
      <c r="K9">
        <v>0</v>
      </c>
      <c r="L9">
        <v>0</v>
      </c>
      <c r="M9" s="108">
        <v>0</v>
      </c>
      <c r="N9" s="108">
        <v>0</v>
      </c>
      <c r="O9" s="108">
        <v>0</v>
      </c>
      <c r="P9" s="108">
        <v>0</v>
      </c>
      <c r="Q9" s="108">
        <v>0</v>
      </c>
      <c r="R9" s="108">
        <v>0</v>
      </c>
      <c r="S9">
        <v>32291</v>
      </c>
      <c r="T9">
        <v>1104</v>
      </c>
      <c r="U9">
        <v>0</v>
      </c>
      <c r="V9" s="108">
        <v>286</v>
      </c>
      <c r="W9" s="108">
        <v>16073</v>
      </c>
      <c r="X9" s="108">
        <v>466</v>
      </c>
      <c r="Y9" s="108">
        <v>0</v>
      </c>
      <c r="Z9" s="108">
        <v>106</v>
      </c>
      <c r="AA9" s="108">
        <v>100</v>
      </c>
      <c r="AB9" s="108">
        <v>0</v>
      </c>
      <c r="AC9" s="108">
        <v>0</v>
      </c>
      <c r="AD9" s="108">
        <v>0</v>
      </c>
    </row>
    <row r="10" spans="1:30" ht="15" x14ac:dyDescent="0.25">
      <c r="A10">
        <v>19</v>
      </c>
      <c r="B10" s="109" t="s">
        <v>148</v>
      </c>
      <c r="C10" s="108">
        <v>5078</v>
      </c>
      <c r="D10" s="108">
        <v>0</v>
      </c>
      <c r="E10" s="108">
        <v>0</v>
      </c>
      <c r="F10" s="108">
        <v>595</v>
      </c>
      <c r="G10" s="108">
        <v>8</v>
      </c>
      <c r="H10" s="108">
        <v>888</v>
      </c>
      <c r="I10" s="108">
        <v>0</v>
      </c>
      <c r="J10">
        <v>0</v>
      </c>
      <c r="K10">
        <v>0</v>
      </c>
      <c r="L10">
        <v>0</v>
      </c>
      <c r="M10" s="108">
        <v>0</v>
      </c>
      <c r="N10" s="108">
        <v>0</v>
      </c>
      <c r="O10" s="108">
        <v>0</v>
      </c>
      <c r="P10" s="108">
        <v>5</v>
      </c>
      <c r="Q10" s="108">
        <v>85</v>
      </c>
      <c r="R10" s="108">
        <v>0</v>
      </c>
      <c r="S10">
        <v>23725</v>
      </c>
      <c r="T10">
        <v>784</v>
      </c>
      <c r="U10">
        <v>619</v>
      </c>
      <c r="V10" s="108">
        <v>217</v>
      </c>
      <c r="W10" s="108">
        <v>12202</v>
      </c>
      <c r="X10" s="108">
        <v>289</v>
      </c>
      <c r="Y10" s="108">
        <v>0</v>
      </c>
      <c r="Z10" s="108">
        <v>0</v>
      </c>
      <c r="AA10" s="108">
        <v>0</v>
      </c>
      <c r="AB10" s="108">
        <v>1</v>
      </c>
      <c r="AC10" s="108">
        <v>261</v>
      </c>
      <c r="AD10" s="108">
        <v>16</v>
      </c>
    </row>
    <row r="11" spans="1:30" ht="15" x14ac:dyDescent="0.25">
      <c r="A11">
        <v>20</v>
      </c>
      <c r="B11" s="109" t="s">
        <v>126</v>
      </c>
      <c r="C11" s="108">
        <v>35170</v>
      </c>
      <c r="D11" s="108">
        <v>0</v>
      </c>
      <c r="E11" s="108">
        <v>0</v>
      </c>
      <c r="F11" s="108">
        <v>0</v>
      </c>
      <c r="G11" s="108">
        <v>166</v>
      </c>
      <c r="H11" s="108">
        <v>18148</v>
      </c>
      <c r="I11" s="108">
        <v>0</v>
      </c>
      <c r="J11">
        <v>0</v>
      </c>
      <c r="K11">
        <v>0</v>
      </c>
      <c r="L11">
        <v>0</v>
      </c>
      <c r="M11" s="108">
        <v>0</v>
      </c>
      <c r="N11" s="108">
        <v>0</v>
      </c>
      <c r="O11" s="108">
        <v>0</v>
      </c>
      <c r="P11" s="108">
        <v>0</v>
      </c>
      <c r="Q11" s="108">
        <v>0</v>
      </c>
      <c r="R11" s="108">
        <v>0</v>
      </c>
      <c r="S11">
        <v>122902</v>
      </c>
      <c r="T11">
        <v>4202</v>
      </c>
      <c r="U11">
        <v>0</v>
      </c>
      <c r="V11" s="108">
        <v>1119</v>
      </c>
      <c r="W11" s="108">
        <v>73201</v>
      </c>
      <c r="X11" s="108">
        <v>1187</v>
      </c>
      <c r="Y11" s="108">
        <v>0</v>
      </c>
      <c r="Z11" s="108">
        <v>71</v>
      </c>
      <c r="AA11" s="108">
        <v>0</v>
      </c>
      <c r="AB11" s="108">
        <v>0</v>
      </c>
      <c r="AC11" s="108">
        <v>0</v>
      </c>
      <c r="AD11" s="108">
        <v>0</v>
      </c>
    </row>
    <row r="12" spans="1:30" ht="15" x14ac:dyDescent="0.25">
      <c r="A12">
        <v>46</v>
      </c>
      <c r="B12" s="109" t="s">
        <v>149</v>
      </c>
      <c r="C12" s="108">
        <v>3374</v>
      </c>
      <c r="D12" s="108">
        <v>0</v>
      </c>
      <c r="E12" s="108">
        <v>0</v>
      </c>
      <c r="F12" s="108">
        <v>11</v>
      </c>
      <c r="G12" s="108">
        <v>7</v>
      </c>
      <c r="H12" s="108">
        <v>592</v>
      </c>
      <c r="I12" s="108">
        <v>0</v>
      </c>
      <c r="J12">
        <v>0</v>
      </c>
      <c r="K12">
        <v>0</v>
      </c>
      <c r="L12">
        <v>0</v>
      </c>
      <c r="M12" s="108">
        <v>0</v>
      </c>
      <c r="N12" s="108">
        <v>0</v>
      </c>
      <c r="O12" s="108">
        <v>0</v>
      </c>
      <c r="P12" s="108">
        <v>0</v>
      </c>
      <c r="Q12" s="108">
        <v>0</v>
      </c>
      <c r="R12" s="108">
        <v>0</v>
      </c>
      <c r="S12">
        <v>12505</v>
      </c>
      <c r="T12">
        <v>511</v>
      </c>
      <c r="U12">
        <v>11</v>
      </c>
      <c r="V12" s="108">
        <v>8</v>
      </c>
      <c r="W12" s="108">
        <v>6921</v>
      </c>
      <c r="X12" s="108">
        <v>139</v>
      </c>
      <c r="Y12" s="108">
        <v>0</v>
      </c>
      <c r="Z12" s="108">
        <v>8</v>
      </c>
      <c r="AA12" s="108">
        <v>0</v>
      </c>
      <c r="AB12" s="108">
        <v>0</v>
      </c>
      <c r="AC12" s="108">
        <v>0</v>
      </c>
      <c r="AD12" s="108">
        <v>0</v>
      </c>
    </row>
    <row r="13" spans="1:30" ht="15" x14ac:dyDescent="0.25">
      <c r="A13">
        <v>47</v>
      </c>
      <c r="B13" s="109" t="s">
        <v>150</v>
      </c>
      <c r="C13" s="108">
        <v>2812</v>
      </c>
      <c r="D13" s="108">
        <v>0</v>
      </c>
      <c r="E13" s="108">
        <v>0</v>
      </c>
      <c r="F13" s="108">
        <v>664</v>
      </c>
      <c r="G13" s="108">
        <v>17</v>
      </c>
      <c r="H13" s="108">
        <v>636</v>
      </c>
      <c r="I13" s="108">
        <v>0</v>
      </c>
      <c r="J13">
        <v>0</v>
      </c>
      <c r="K13">
        <v>0</v>
      </c>
      <c r="L13">
        <v>0</v>
      </c>
      <c r="M13" s="108">
        <v>0</v>
      </c>
      <c r="N13" s="108">
        <v>0</v>
      </c>
      <c r="O13" s="108">
        <v>0</v>
      </c>
      <c r="P13" s="108">
        <v>0</v>
      </c>
      <c r="Q13" s="108">
        <v>0</v>
      </c>
      <c r="R13" s="108">
        <v>0</v>
      </c>
      <c r="S13">
        <v>17553</v>
      </c>
      <c r="T13">
        <v>484</v>
      </c>
      <c r="U13">
        <v>664</v>
      </c>
      <c r="V13" s="108">
        <v>55</v>
      </c>
      <c r="W13" s="108">
        <v>9063</v>
      </c>
      <c r="X13" s="108">
        <v>308</v>
      </c>
      <c r="Y13" s="108">
        <v>0</v>
      </c>
      <c r="Z13" s="108">
        <v>36</v>
      </c>
      <c r="AA13" s="108">
        <v>0</v>
      </c>
      <c r="AB13" s="108">
        <v>4</v>
      </c>
      <c r="AC13" s="108">
        <v>78</v>
      </c>
      <c r="AD13" s="108">
        <v>0</v>
      </c>
    </row>
    <row r="14" spans="1:30" ht="15" x14ac:dyDescent="0.25">
      <c r="A14">
        <v>49</v>
      </c>
      <c r="B14" s="109" t="s">
        <v>151</v>
      </c>
      <c r="C14" s="108">
        <v>682628</v>
      </c>
      <c r="D14" s="108">
        <v>0</v>
      </c>
      <c r="E14" s="108">
        <v>105609</v>
      </c>
      <c r="F14" s="108">
        <v>15741</v>
      </c>
      <c r="G14" s="108">
        <v>1094</v>
      </c>
      <c r="H14" s="108">
        <v>101470</v>
      </c>
      <c r="I14" s="108">
        <v>12005</v>
      </c>
      <c r="J14">
        <v>0</v>
      </c>
      <c r="K14">
        <v>0</v>
      </c>
      <c r="L14">
        <v>0</v>
      </c>
      <c r="M14" s="108">
        <v>0</v>
      </c>
      <c r="N14" s="108">
        <v>233</v>
      </c>
      <c r="O14" s="108">
        <v>0</v>
      </c>
      <c r="P14" s="108">
        <v>0</v>
      </c>
      <c r="Q14" s="108">
        <v>0</v>
      </c>
      <c r="R14" s="108">
        <v>0</v>
      </c>
      <c r="S14">
        <v>2101249</v>
      </c>
      <c r="T14">
        <v>126708</v>
      </c>
      <c r="U14">
        <v>15736</v>
      </c>
      <c r="V14" s="108">
        <v>22670</v>
      </c>
      <c r="W14" s="108">
        <v>804116</v>
      </c>
      <c r="X14" s="108">
        <v>28592</v>
      </c>
      <c r="Y14" s="108">
        <v>4</v>
      </c>
      <c r="Z14" s="108">
        <v>2128</v>
      </c>
      <c r="AA14" s="108">
        <v>1436</v>
      </c>
      <c r="AB14" s="108">
        <v>192</v>
      </c>
      <c r="AC14" s="108">
        <v>4275</v>
      </c>
      <c r="AD14" s="108">
        <v>432</v>
      </c>
    </row>
    <row r="15" spans="1:30" ht="15" x14ac:dyDescent="0.25">
      <c r="A15">
        <v>50</v>
      </c>
      <c r="B15" s="109" t="s">
        <v>152</v>
      </c>
      <c r="C15" s="108">
        <v>19747</v>
      </c>
      <c r="D15" s="108">
        <v>0</v>
      </c>
      <c r="E15" s="108">
        <v>0</v>
      </c>
      <c r="F15" s="108">
        <v>1167</v>
      </c>
      <c r="G15" s="108">
        <v>66</v>
      </c>
      <c r="H15" s="108">
        <v>4047</v>
      </c>
      <c r="I15" s="108">
        <v>0</v>
      </c>
      <c r="J15">
        <v>0</v>
      </c>
      <c r="K15">
        <v>0</v>
      </c>
      <c r="L15">
        <v>0</v>
      </c>
      <c r="M15" s="108">
        <v>0</v>
      </c>
      <c r="N15" s="108">
        <v>0</v>
      </c>
      <c r="O15" s="108">
        <v>0</v>
      </c>
      <c r="P15" s="108">
        <v>0</v>
      </c>
      <c r="Q15" s="108">
        <v>0</v>
      </c>
      <c r="R15" s="108">
        <v>0</v>
      </c>
      <c r="S15">
        <v>85715</v>
      </c>
      <c r="T15">
        <v>3300</v>
      </c>
      <c r="U15">
        <v>1166</v>
      </c>
      <c r="V15" s="108">
        <v>175</v>
      </c>
      <c r="W15" s="108">
        <v>45430</v>
      </c>
      <c r="X15" s="108">
        <v>1398</v>
      </c>
      <c r="Y15" s="108">
        <v>0</v>
      </c>
      <c r="Z15" s="108">
        <v>127</v>
      </c>
      <c r="AA15" s="108">
        <v>0</v>
      </c>
      <c r="AB15" s="108">
        <v>0</v>
      </c>
      <c r="AC15" s="108">
        <v>575</v>
      </c>
      <c r="AD15" s="108">
        <v>0</v>
      </c>
    </row>
    <row r="16" spans="1:30" ht="15" x14ac:dyDescent="0.25">
      <c r="A16">
        <v>51</v>
      </c>
      <c r="B16" s="109" t="s">
        <v>153</v>
      </c>
      <c r="C16" s="108">
        <v>5257</v>
      </c>
      <c r="D16" s="108">
        <v>0</v>
      </c>
      <c r="E16" s="108">
        <v>0</v>
      </c>
      <c r="F16" s="108">
        <v>1510</v>
      </c>
      <c r="G16" s="108">
        <v>18</v>
      </c>
      <c r="H16" s="108">
        <v>1358</v>
      </c>
      <c r="I16" s="108">
        <v>0</v>
      </c>
      <c r="J16">
        <v>0</v>
      </c>
      <c r="K16">
        <v>0</v>
      </c>
      <c r="L16">
        <v>0</v>
      </c>
      <c r="M16" s="108">
        <v>0</v>
      </c>
      <c r="N16" s="108">
        <v>0</v>
      </c>
      <c r="O16" s="108">
        <v>0</v>
      </c>
      <c r="P16" s="108">
        <v>0</v>
      </c>
      <c r="Q16" s="108">
        <v>0</v>
      </c>
      <c r="R16" s="108">
        <v>0</v>
      </c>
      <c r="S16">
        <v>43167</v>
      </c>
      <c r="T16">
        <v>3314</v>
      </c>
      <c r="U16">
        <v>1510</v>
      </c>
      <c r="V16" s="108">
        <v>424</v>
      </c>
      <c r="W16" s="108">
        <v>21151</v>
      </c>
      <c r="X16" s="108">
        <v>558</v>
      </c>
      <c r="Y16" s="108">
        <v>0</v>
      </c>
      <c r="Z16" s="108">
        <v>9</v>
      </c>
      <c r="AA16" s="108">
        <v>0</v>
      </c>
      <c r="AB16" s="108">
        <v>0</v>
      </c>
      <c r="AC16" s="108">
        <v>0</v>
      </c>
      <c r="AD16" s="108">
        <v>0</v>
      </c>
    </row>
    <row r="17" spans="1:30" ht="15" x14ac:dyDescent="0.25">
      <c r="A17">
        <v>52</v>
      </c>
      <c r="B17" s="109" t="s">
        <v>154</v>
      </c>
      <c r="C17" s="108">
        <v>2124</v>
      </c>
      <c r="D17" s="108">
        <v>0</v>
      </c>
      <c r="E17" s="108">
        <v>0</v>
      </c>
      <c r="F17" s="108">
        <v>40</v>
      </c>
      <c r="G17" s="108">
        <v>0</v>
      </c>
      <c r="H17" s="108">
        <v>0</v>
      </c>
      <c r="I17" s="108">
        <v>102</v>
      </c>
      <c r="J17">
        <v>0</v>
      </c>
      <c r="K17">
        <v>0</v>
      </c>
      <c r="L17">
        <v>0</v>
      </c>
      <c r="M17" s="108">
        <v>0</v>
      </c>
      <c r="N17" s="108">
        <v>0</v>
      </c>
      <c r="O17" s="108">
        <v>0</v>
      </c>
      <c r="P17" s="108">
        <v>0</v>
      </c>
      <c r="Q17" s="108">
        <v>0</v>
      </c>
      <c r="R17" s="108">
        <v>0</v>
      </c>
      <c r="S17">
        <v>18401</v>
      </c>
      <c r="T17">
        <v>409</v>
      </c>
      <c r="U17">
        <v>39</v>
      </c>
      <c r="V17" s="108">
        <v>62</v>
      </c>
      <c r="W17" s="108">
        <v>10781</v>
      </c>
      <c r="X17" s="108">
        <v>256</v>
      </c>
      <c r="Y17" s="108">
        <v>0</v>
      </c>
      <c r="Z17" s="108">
        <v>0</v>
      </c>
      <c r="AA17" s="108">
        <v>20</v>
      </c>
      <c r="AB17" s="108">
        <v>0</v>
      </c>
      <c r="AC17" s="108">
        <v>0</v>
      </c>
      <c r="AD17" s="108">
        <v>0</v>
      </c>
    </row>
    <row r="18" spans="1:30" ht="15" x14ac:dyDescent="0.25">
      <c r="A18">
        <v>61</v>
      </c>
      <c r="B18" s="109" t="s">
        <v>155</v>
      </c>
      <c r="C18" s="108">
        <v>26748</v>
      </c>
      <c r="D18" s="108">
        <v>0</v>
      </c>
      <c r="E18" s="108">
        <v>0</v>
      </c>
      <c r="F18" s="108">
        <v>0</v>
      </c>
      <c r="G18" s="108">
        <v>1023</v>
      </c>
      <c r="H18" s="108">
        <v>1669</v>
      </c>
      <c r="I18" s="108">
        <v>1</v>
      </c>
      <c r="J18">
        <v>0</v>
      </c>
      <c r="K18">
        <v>0</v>
      </c>
      <c r="L18">
        <v>0</v>
      </c>
      <c r="M18" s="108">
        <v>0</v>
      </c>
      <c r="N18" s="108">
        <v>0</v>
      </c>
      <c r="O18" s="108">
        <v>0</v>
      </c>
      <c r="P18" s="108">
        <v>0</v>
      </c>
      <c r="Q18" s="108">
        <v>0</v>
      </c>
      <c r="R18" s="108">
        <v>0</v>
      </c>
      <c r="S18">
        <v>119276</v>
      </c>
      <c r="T18">
        <v>5985</v>
      </c>
      <c r="U18">
        <v>0</v>
      </c>
      <c r="V18" s="108">
        <v>3276</v>
      </c>
      <c r="W18" s="108">
        <v>63082</v>
      </c>
      <c r="X18" s="108">
        <v>1362</v>
      </c>
      <c r="Y18" s="108">
        <v>0</v>
      </c>
      <c r="Z18" s="108">
        <v>9</v>
      </c>
      <c r="AA18" s="108">
        <v>0</v>
      </c>
      <c r="AB18" s="108">
        <v>0</v>
      </c>
      <c r="AC18" s="108">
        <v>0</v>
      </c>
      <c r="AD18" s="108">
        <v>0</v>
      </c>
    </row>
    <row r="19" spans="1:30" ht="15" x14ac:dyDescent="0.25">
      <c r="A19">
        <v>69</v>
      </c>
      <c r="B19" s="109" t="s">
        <v>156</v>
      </c>
      <c r="C19" s="108">
        <v>8707</v>
      </c>
      <c r="D19" s="108">
        <v>0</v>
      </c>
      <c r="E19" s="108">
        <v>0</v>
      </c>
      <c r="F19" s="108">
        <v>341</v>
      </c>
      <c r="G19" s="108">
        <v>0</v>
      </c>
      <c r="H19" s="108">
        <v>80</v>
      </c>
      <c r="I19" s="108">
        <v>0</v>
      </c>
      <c r="J19">
        <v>0</v>
      </c>
      <c r="K19">
        <v>0</v>
      </c>
      <c r="L19">
        <v>0</v>
      </c>
      <c r="M19" s="108">
        <v>0</v>
      </c>
      <c r="N19" s="108">
        <v>0</v>
      </c>
      <c r="O19" s="108">
        <v>0</v>
      </c>
      <c r="P19" s="108">
        <v>0</v>
      </c>
      <c r="Q19" s="108">
        <v>0</v>
      </c>
      <c r="R19" s="108">
        <v>0</v>
      </c>
      <c r="S19">
        <v>53364</v>
      </c>
      <c r="T19">
        <v>1623</v>
      </c>
      <c r="U19">
        <v>340</v>
      </c>
      <c r="V19" s="108">
        <v>580</v>
      </c>
      <c r="W19" s="108">
        <v>28183</v>
      </c>
      <c r="X19" s="108">
        <v>698</v>
      </c>
      <c r="Y19" s="108">
        <v>0</v>
      </c>
      <c r="Z19" s="108">
        <v>0</v>
      </c>
      <c r="AA19" s="108">
        <v>24</v>
      </c>
      <c r="AB19" s="108">
        <v>0</v>
      </c>
      <c r="AC19" s="108">
        <v>23</v>
      </c>
      <c r="AD19" s="108">
        <v>0</v>
      </c>
    </row>
    <row r="20" spans="1:30" ht="15" x14ac:dyDescent="0.25">
      <c r="A20">
        <v>71</v>
      </c>
      <c r="B20" s="109" t="s">
        <v>157</v>
      </c>
      <c r="C20" s="108">
        <v>44611</v>
      </c>
      <c r="D20" s="108">
        <v>0</v>
      </c>
      <c r="E20" s="108">
        <v>111</v>
      </c>
      <c r="F20" s="108">
        <v>0</v>
      </c>
      <c r="G20" s="108">
        <v>0</v>
      </c>
      <c r="H20" s="108">
        <v>25958</v>
      </c>
      <c r="I20" s="108">
        <v>0</v>
      </c>
      <c r="J20">
        <v>0</v>
      </c>
      <c r="K20">
        <v>0</v>
      </c>
      <c r="L20">
        <v>0</v>
      </c>
      <c r="M20" s="108">
        <v>0</v>
      </c>
      <c r="N20" s="108">
        <v>0</v>
      </c>
      <c r="O20" s="108">
        <v>0</v>
      </c>
      <c r="P20" s="108">
        <v>0</v>
      </c>
      <c r="Q20" s="108">
        <v>0</v>
      </c>
      <c r="R20" s="108">
        <v>0</v>
      </c>
      <c r="S20">
        <v>87144</v>
      </c>
      <c r="T20">
        <v>2398</v>
      </c>
      <c r="U20">
        <v>0</v>
      </c>
      <c r="V20" s="108">
        <v>0</v>
      </c>
      <c r="W20" s="108">
        <v>51555</v>
      </c>
      <c r="X20" s="108">
        <v>696</v>
      </c>
      <c r="Y20" s="108">
        <v>0</v>
      </c>
      <c r="Z20" s="108">
        <v>221</v>
      </c>
      <c r="AA20" s="108">
        <v>0</v>
      </c>
      <c r="AB20" s="108">
        <v>0</v>
      </c>
      <c r="AC20" s="108">
        <v>0</v>
      </c>
      <c r="AD20" s="108">
        <v>0</v>
      </c>
    </row>
    <row r="21" spans="1:30" ht="15" x14ac:dyDescent="0.25">
      <c r="A21">
        <v>72</v>
      </c>
      <c r="B21" s="109" t="s">
        <v>158</v>
      </c>
      <c r="C21" s="108">
        <v>2008</v>
      </c>
      <c r="D21" s="108">
        <v>0</v>
      </c>
      <c r="E21" s="108">
        <v>0</v>
      </c>
      <c r="F21" s="108">
        <v>0</v>
      </c>
      <c r="G21" s="108">
        <v>3</v>
      </c>
      <c r="H21" s="108">
        <v>491</v>
      </c>
      <c r="I21" s="108">
        <v>0</v>
      </c>
      <c r="J21">
        <v>0</v>
      </c>
      <c r="K21">
        <v>0</v>
      </c>
      <c r="L21">
        <v>0</v>
      </c>
      <c r="M21" s="108">
        <v>0</v>
      </c>
      <c r="N21" s="108">
        <v>0</v>
      </c>
      <c r="O21" s="108">
        <v>0</v>
      </c>
      <c r="P21" s="108">
        <v>0</v>
      </c>
      <c r="Q21" s="108">
        <v>0</v>
      </c>
      <c r="R21" s="108">
        <v>0</v>
      </c>
      <c r="S21">
        <v>8355</v>
      </c>
      <c r="T21">
        <v>415</v>
      </c>
      <c r="U21">
        <v>0</v>
      </c>
      <c r="V21" s="108">
        <v>11</v>
      </c>
      <c r="W21" s="108">
        <v>4483</v>
      </c>
      <c r="X21" s="108">
        <v>63</v>
      </c>
      <c r="Y21" s="108">
        <v>0</v>
      </c>
      <c r="Z21" s="108">
        <v>13</v>
      </c>
      <c r="AA21" s="108">
        <v>0</v>
      </c>
      <c r="AB21" s="108">
        <v>0</v>
      </c>
      <c r="AC21" s="108">
        <v>0</v>
      </c>
      <c r="AD21" s="108">
        <v>0</v>
      </c>
    </row>
    <row r="22" spans="1:30" ht="15" x14ac:dyDescent="0.25">
      <c r="A22">
        <v>74</v>
      </c>
      <c r="B22" s="109" t="s">
        <v>159</v>
      </c>
      <c r="C22" s="108">
        <v>1064</v>
      </c>
      <c r="D22" s="108">
        <v>0</v>
      </c>
      <c r="E22" s="108">
        <v>0</v>
      </c>
      <c r="F22" s="108">
        <v>150</v>
      </c>
      <c r="G22" s="108">
        <v>0</v>
      </c>
      <c r="H22" s="108">
        <v>8</v>
      </c>
      <c r="I22" s="108">
        <v>0</v>
      </c>
      <c r="J22">
        <v>0</v>
      </c>
      <c r="K22">
        <v>0</v>
      </c>
      <c r="L22">
        <v>0</v>
      </c>
      <c r="M22" s="108">
        <v>0</v>
      </c>
      <c r="N22" s="108">
        <v>0</v>
      </c>
      <c r="O22" s="108">
        <v>0</v>
      </c>
      <c r="P22" s="108">
        <v>0</v>
      </c>
      <c r="Q22" s="108">
        <v>0</v>
      </c>
      <c r="R22" s="108">
        <v>0</v>
      </c>
      <c r="S22">
        <v>8553</v>
      </c>
      <c r="T22">
        <v>121</v>
      </c>
      <c r="U22">
        <v>150</v>
      </c>
      <c r="V22" s="108">
        <v>3</v>
      </c>
      <c r="W22" s="108">
        <v>4996</v>
      </c>
      <c r="X22" s="108">
        <v>106</v>
      </c>
      <c r="Y22" s="108">
        <v>0</v>
      </c>
      <c r="Z22" s="108">
        <v>0</v>
      </c>
      <c r="AA22" s="108">
        <v>16</v>
      </c>
      <c r="AB22" s="108">
        <v>0</v>
      </c>
      <c r="AC22" s="108">
        <v>0</v>
      </c>
      <c r="AD22" s="108">
        <v>0</v>
      </c>
    </row>
    <row r="23" spans="1:30" ht="15" x14ac:dyDescent="0.25">
      <c r="A23">
        <v>75</v>
      </c>
      <c r="B23" s="109" t="s">
        <v>160</v>
      </c>
      <c r="C23" s="108">
        <v>46752</v>
      </c>
      <c r="D23" s="108">
        <v>0</v>
      </c>
      <c r="E23" s="108">
        <v>529</v>
      </c>
      <c r="F23" s="108">
        <v>3466</v>
      </c>
      <c r="G23" s="108">
        <v>342</v>
      </c>
      <c r="H23" s="108">
        <v>8538</v>
      </c>
      <c r="I23" s="108">
        <v>0</v>
      </c>
      <c r="J23">
        <v>0</v>
      </c>
      <c r="K23">
        <v>0</v>
      </c>
      <c r="L23">
        <v>0</v>
      </c>
      <c r="M23" s="108">
        <v>0</v>
      </c>
      <c r="N23" s="108">
        <v>0</v>
      </c>
      <c r="O23" s="108">
        <v>0</v>
      </c>
      <c r="P23" s="108">
        <v>0</v>
      </c>
      <c r="Q23" s="108">
        <v>314</v>
      </c>
      <c r="R23" s="108">
        <v>0</v>
      </c>
      <c r="S23">
        <v>155207</v>
      </c>
      <c r="T23">
        <v>9506</v>
      </c>
      <c r="U23">
        <v>3466</v>
      </c>
      <c r="V23" s="108">
        <v>2241</v>
      </c>
      <c r="W23" s="108">
        <v>82879</v>
      </c>
      <c r="X23" s="108">
        <v>2665</v>
      </c>
      <c r="Y23" s="108">
        <v>0</v>
      </c>
      <c r="Z23" s="108">
        <v>209</v>
      </c>
      <c r="AA23" s="108">
        <v>0</v>
      </c>
      <c r="AB23" s="108">
        <v>9</v>
      </c>
      <c r="AC23" s="108">
        <v>1456</v>
      </c>
      <c r="AD23" s="108">
        <v>0</v>
      </c>
    </row>
    <row r="24" spans="1:30" ht="15" x14ac:dyDescent="0.25">
      <c r="A24">
        <v>77</v>
      </c>
      <c r="B24" s="109" t="s">
        <v>161</v>
      </c>
      <c r="C24" s="108">
        <v>13120</v>
      </c>
      <c r="D24" s="108">
        <v>0</v>
      </c>
      <c r="E24" s="108">
        <v>0</v>
      </c>
      <c r="F24" s="108">
        <v>889</v>
      </c>
      <c r="G24" s="108">
        <v>44</v>
      </c>
      <c r="H24" s="108">
        <v>2673</v>
      </c>
      <c r="I24" s="108">
        <v>0</v>
      </c>
      <c r="J24">
        <v>0</v>
      </c>
      <c r="K24">
        <v>0</v>
      </c>
      <c r="L24">
        <v>0</v>
      </c>
      <c r="M24" s="108">
        <v>0</v>
      </c>
      <c r="N24" s="108">
        <v>0</v>
      </c>
      <c r="O24" s="108">
        <v>0</v>
      </c>
      <c r="P24" s="108">
        <v>0</v>
      </c>
      <c r="Q24" s="108">
        <v>0</v>
      </c>
      <c r="R24" s="108">
        <v>0</v>
      </c>
      <c r="S24">
        <v>46066</v>
      </c>
      <c r="T24">
        <v>1634</v>
      </c>
      <c r="U24">
        <v>880</v>
      </c>
      <c r="V24" s="108">
        <v>209</v>
      </c>
      <c r="W24" s="108">
        <v>24643</v>
      </c>
      <c r="X24" s="108">
        <v>403</v>
      </c>
      <c r="Y24" s="108">
        <v>0</v>
      </c>
      <c r="Z24" s="108">
        <v>64</v>
      </c>
      <c r="AA24" s="108">
        <v>0</v>
      </c>
      <c r="AB24" s="108">
        <v>3</v>
      </c>
      <c r="AC24" s="108">
        <v>301</v>
      </c>
      <c r="AD24" s="108">
        <v>11</v>
      </c>
    </row>
    <row r="25" spans="1:30" ht="15" x14ac:dyDescent="0.25">
      <c r="A25">
        <v>78</v>
      </c>
      <c r="B25" s="109" t="s">
        <v>162</v>
      </c>
      <c r="C25" s="108">
        <v>21398</v>
      </c>
      <c r="D25" s="108">
        <v>0</v>
      </c>
      <c r="E25" s="108">
        <v>428</v>
      </c>
      <c r="F25" s="108">
        <v>0</v>
      </c>
      <c r="G25" s="108">
        <v>276</v>
      </c>
      <c r="H25" s="108">
        <v>5369</v>
      </c>
      <c r="I25" s="108">
        <v>0</v>
      </c>
      <c r="J25">
        <v>0</v>
      </c>
      <c r="K25">
        <v>0</v>
      </c>
      <c r="L25">
        <v>0</v>
      </c>
      <c r="M25" s="108">
        <v>0</v>
      </c>
      <c r="N25" s="108">
        <v>0</v>
      </c>
      <c r="O25" s="108">
        <v>0</v>
      </c>
      <c r="P25" s="108">
        <v>0</v>
      </c>
      <c r="Q25" s="108">
        <v>0</v>
      </c>
      <c r="R25" s="108">
        <v>0</v>
      </c>
      <c r="S25">
        <v>73317</v>
      </c>
      <c r="T25">
        <v>3745</v>
      </c>
      <c r="U25">
        <v>0</v>
      </c>
      <c r="V25" s="108">
        <v>1011</v>
      </c>
      <c r="W25" s="108">
        <v>40956</v>
      </c>
      <c r="X25" s="108">
        <v>683</v>
      </c>
      <c r="Y25" s="108">
        <v>0</v>
      </c>
      <c r="Z25" s="108">
        <v>0</v>
      </c>
      <c r="AA25" s="108">
        <v>0</v>
      </c>
      <c r="AB25" s="108">
        <v>0</v>
      </c>
      <c r="AC25" s="108">
        <v>0</v>
      </c>
      <c r="AD25" s="108">
        <v>0</v>
      </c>
    </row>
    <row r="26" spans="1:30" ht="15" x14ac:dyDescent="0.25">
      <c r="A26">
        <v>79</v>
      </c>
      <c r="B26" s="109" t="s">
        <v>163</v>
      </c>
      <c r="C26" s="108">
        <v>11406</v>
      </c>
      <c r="D26" s="108">
        <v>0</v>
      </c>
      <c r="E26" s="108">
        <v>14</v>
      </c>
      <c r="F26" s="108">
        <v>604</v>
      </c>
      <c r="G26" s="108">
        <v>131</v>
      </c>
      <c r="H26" s="108">
        <v>1987</v>
      </c>
      <c r="I26" s="108">
        <v>0</v>
      </c>
      <c r="J26">
        <v>0</v>
      </c>
      <c r="K26">
        <v>0</v>
      </c>
      <c r="L26">
        <v>0</v>
      </c>
      <c r="M26" s="108">
        <v>0</v>
      </c>
      <c r="N26" s="108">
        <v>0</v>
      </c>
      <c r="O26" s="108">
        <v>0</v>
      </c>
      <c r="P26" s="108">
        <v>0</v>
      </c>
      <c r="Q26" s="108">
        <v>61</v>
      </c>
      <c r="R26" s="108">
        <v>0</v>
      </c>
      <c r="S26">
        <v>53136</v>
      </c>
      <c r="T26">
        <v>2180</v>
      </c>
      <c r="U26">
        <v>604</v>
      </c>
      <c r="V26" s="108">
        <v>614</v>
      </c>
      <c r="W26" s="108">
        <v>30311</v>
      </c>
      <c r="X26" s="108">
        <v>777</v>
      </c>
      <c r="Y26" s="108">
        <v>0</v>
      </c>
      <c r="Z26" s="108">
        <v>0</v>
      </c>
      <c r="AA26" s="108">
        <v>0</v>
      </c>
      <c r="AB26" s="108">
        <v>10</v>
      </c>
      <c r="AC26" s="108">
        <v>186</v>
      </c>
      <c r="AD26" s="108">
        <v>1</v>
      </c>
    </row>
    <row r="27" spans="1:30" ht="15" x14ac:dyDescent="0.25">
      <c r="A27">
        <v>81</v>
      </c>
      <c r="B27" s="109" t="s">
        <v>164</v>
      </c>
      <c r="C27" s="108">
        <v>4668</v>
      </c>
      <c r="D27" s="108">
        <v>0</v>
      </c>
      <c r="E27" s="108">
        <v>47</v>
      </c>
      <c r="F27" s="108">
        <v>311</v>
      </c>
      <c r="G27" s="108">
        <v>0</v>
      </c>
      <c r="H27" s="108">
        <v>17</v>
      </c>
      <c r="I27" s="108">
        <v>0</v>
      </c>
      <c r="J27">
        <v>0</v>
      </c>
      <c r="K27">
        <v>0</v>
      </c>
      <c r="L27">
        <v>0</v>
      </c>
      <c r="M27" s="108">
        <v>0</v>
      </c>
      <c r="N27" s="108">
        <v>0</v>
      </c>
      <c r="O27" s="108">
        <v>0</v>
      </c>
      <c r="P27" s="108">
        <v>0</v>
      </c>
      <c r="Q27" s="108">
        <v>0</v>
      </c>
      <c r="R27" s="108">
        <v>0</v>
      </c>
      <c r="S27">
        <v>22222</v>
      </c>
      <c r="T27">
        <v>556</v>
      </c>
      <c r="U27">
        <v>311</v>
      </c>
      <c r="V27" s="108">
        <v>331</v>
      </c>
      <c r="W27" s="108">
        <v>12750</v>
      </c>
      <c r="X27" s="108">
        <v>272</v>
      </c>
      <c r="Y27" s="108">
        <v>0</v>
      </c>
      <c r="Z27" s="108">
        <v>0</v>
      </c>
      <c r="AA27" s="108">
        <v>0</v>
      </c>
      <c r="AB27" s="108">
        <v>0</v>
      </c>
      <c r="AC27" s="108">
        <v>0</v>
      </c>
      <c r="AD27" s="108">
        <v>1</v>
      </c>
    </row>
    <row r="28" spans="1:30" ht="15" x14ac:dyDescent="0.25">
      <c r="A28">
        <v>82</v>
      </c>
      <c r="B28" s="109" t="s">
        <v>165</v>
      </c>
      <c r="C28" s="108">
        <v>10551</v>
      </c>
      <c r="D28" s="108">
        <v>0</v>
      </c>
      <c r="E28" s="108">
        <v>15</v>
      </c>
      <c r="F28" s="108">
        <v>0</v>
      </c>
      <c r="G28" s="108">
        <v>113</v>
      </c>
      <c r="H28" s="108">
        <v>2428</v>
      </c>
      <c r="I28" s="108">
        <v>0</v>
      </c>
      <c r="J28">
        <v>0</v>
      </c>
      <c r="K28">
        <v>0</v>
      </c>
      <c r="L28">
        <v>0</v>
      </c>
      <c r="M28" s="108">
        <v>0</v>
      </c>
      <c r="N28" s="108">
        <v>0</v>
      </c>
      <c r="O28" s="108">
        <v>0</v>
      </c>
      <c r="P28" s="108">
        <v>0</v>
      </c>
      <c r="Q28" s="108">
        <v>0</v>
      </c>
      <c r="R28" s="108">
        <v>0</v>
      </c>
      <c r="S28">
        <v>53612</v>
      </c>
      <c r="T28">
        <v>1549</v>
      </c>
      <c r="U28">
        <v>0</v>
      </c>
      <c r="V28" s="108">
        <v>636</v>
      </c>
      <c r="W28" s="108">
        <v>27360</v>
      </c>
      <c r="X28" s="108">
        <v>600</v>
      </c>
      <c r="Y28" s="108">
        <v>3</v>
      </c>
      <c r="Z28" s="108">
        <v>81</v>
      </c>
      <c r="AA28" s="108">
        <v>0</v>
      </c>
      <c r="AB28" s="108">
        <v>0</v>
      </c>
      <c r="AC28" s="108">
        <v>0</v>
      </c>
      <c r="AD28" s="108">
        <v>0</v>
      </c>
    </row>
    <row r="29" spans="1:30" ht="15" x14ac:dyDescent="0.25">
      <c r="A29">
        <v>86</v>
      </c>
      <c r="B29" s="109" t="s">
        <v>166</v>
      </c>
      <c r="C29" s="108">
        <v>10739</v>
      </c>
      <c r="D29" s="108">
        <v>0</v>
      </c>
      <c r="E29" s="108">
        <v>33</v>
      </c>
      <c r="F29" s="108">
        <v>1071</v>
      </c>
      <c r="G29" s="108">
        <v>46</v>
      </c>
      <c r="H29" s="108">
        <v>2517</v>
      </c>
      <c r="I29" s="108">
        <v>0</v>
      </c>
      <c r="J29">
        <v>0</v>
      </c>
      <c r="K29">
        <v>0</v>
      </c>
      <c r="L29">
        <v>0</v>
      </c>
      <c r="M29" s="108">
        <v>0</v>
      </c>
      <c r="N29" s="108">
        <v>0</v>
      </c>
      <c r="O29" s="108">
        <v>0</v>
      </c>
      <c r="P29" s="108">
        <v>0</v>
      </c>
      <c r="Q29" s="108">
        <v>0</v>
      </c>
      <c r="R29" s="108">
        <v>0</v>
      </c>
      <c r="S29">
        <v>51953</v>
      </c>
      <c r="T29">
        <v>2386</v>
      </c>
      <c r="U29">
        <v>1071</v>
      </c>
      <c r="V29" s="108">
        <v>88</v>
      </c>
      <c r="W29" s="108">
        <v>28161</v>
      </c>
      <c r="X29" s="108">
        <v>547</v>
      </c>
      <c r="Y29" s="108">
        <v>0</v>
      </c>
      <c r="Z29" s="108">
        <v>14</v>
      </c>
      <c r="AA29" s="108">
        <v>16</v>
      </c>
      <c r="AB29" s="108">
        <v>3</v>
      </c>
      <c r="AC29" s="108">
        <v>381</v>
      </c>
      <c r="AD29" s="108">
        <v>15</v>
      </c>
    </row>
    <row r="30" spans="1:30" ht="15" x14ac:dyDescent="0.25">
      <c r="A30">
        <v>90</v>
      </c>
      <c r="B30" s="109" t="s">
        <v>168</v>
      </c>
      <c r="C30" s="108">
        <v>7939</v>
      </c>
      <c r="D30" s="108">
        <v>0</v>
      </c>
      <c r="E30" s="108">
        <v>0</v>
      </c>
      <c r="F30" s="108">
        <v>565</v>
      </c>
      <c r="G30" s="108">
        <v>48</v>
      </c>
      <c r="H30" s="108">
        <v>2132</v>
      </c>
      <c r="I30" s="108">
        <v>0</v>
      </c>
      <c r="J30">
        <v>0</v>
      </c>
      <c r="K30">
        <v>0</v>
      </c>
      <c r="L30">
        <v>0</v>
      </c>
      <c r="M30" s="108">
        <v>0</v>
      </c>
      <c r="N30" s="108">
        <v>0</v>
      </c>
      <c r="O30" s="108">
        <v>0</v>
      </c>
      <c r="P30" s="108">
        <v>0</v>
      </c>
      <c r="Q30" s="108">
        <v>0</v>
      </c>
      <c r="R30" s="108">
        <v>0</v>
      </c>
      <c r="S30">
        <v>32301</v>
      </c>
      <c r="T30">
        <v>1677</v>
      </c>
      <c r="U30">
        <v>565</v>
      </c>
      <c r="V30" s="108">
        <v>236</v>
      </c>
      <c r="W30" s="108">
        <v>20120</v>
      </c>
      <c r="X30" s="108">
        <v>358</v>
      </c>
      <c r="Y30" s="108">
        <v>0</v>
      </c>
      <c r="Z30" s="108">
        <v>55</v>
      </c>
      <c r="AA30" s="108">
        <v>0</v>
      </c>
      <c r="AB30" s="108">
        <v>8</v>
      </c>
      <c r="AC30" s="108">
        <v>246</v>
      </c>
      <c r="AD30" s="108">
        <v>0</v>
      </c>
    </row>
    <row r="31" spans="1:30" ht="15" x14ac:dyDescent="0.25">
      <c r="A31">
        <v>91</v>
      </c>
      <c r="B31" s="109" t="s">
        <v>169</v>
      </c>
      <c r="C31" s="108">
        <v>1937815</v>
      </c>
      <c r="D31" s="108">
        <v>0</v>
      </c>
      <c r="E31" s="108">
        <v>114805</v>
      </c>
      <c r="F31" s="108">
        <v>0</v>
      </c>
      <c r="G31" s="108">
        <v>738</v>
      </c>
      <c r="H31" s="108">
        <v>306975</v>
      </c>
      <c r="I31" s="108">
        <v>14943</v>
      </c>
      <c r="J31">
        <v>0</v>
      </c>
      <c r="K31">
        <v>0</v>
      </c>
      <c r="L31">
        <v>0</v>
      </c>
      <c r="M31" s="108">
        <v>0</v>
      </c>
      <c r="N31" s="108">
        <v>0</v>
      </c>
      <c r="O31" s="108">
        <v>0</v>
      </c>
      <c r="P31" s="108">
        <v>0</v>
      </c>
      <c r="Q31" s="108">
        <v>0</v>
      </c>
      <c r="R31" s="108">
        <v>0</v>
      </c>
      <c r="S31">
        <v>5163159</v>
      </c>
      <c r="T31">
        <v>385620</v>
      </c>
      <c r="U31">
        <v>0</v>
      </c>
      <c r="V31" s="108">
        <v>86650</v>
      </c>
      <c r="W31" s="108">
        <v>2310024</v>
      </c>
      <c r="X31" s="108">
        <v>51826</v>
      </c>
      <c r="Y31" s="108">
        <v>61</v>
      </c>
      <c r="Z31" s="108">
        <v>6310</v>
      </c>
      <c r="AA31" s="108">
        <v>1629</v>
      </c>
      <c r="AB31" s="108">
        <v>0</v>
      </c>
      <c r="AC31" s="108">
        <v>0</v>
      </c>
      <c r="AD31" s="108">
        <v>0</v>
      </c>
    </row>
    <row r="32" spans="1:30" ht="15" x14ac:dyDescent="0.25">
      <c r="A32">
        <v>92</v>
      </c>
      <c r="B32" s="109" t="s">
        <v>411</v>
      </c>
      <c r="C32" s="108">
        <v>408106</v>
      </c>
      <c r="D32" s="108">
        <v>0</v>
      </c>
      <c r="E32" s="108">
        <v>109842</v>
      </c>
      <c r="F32" s="108">
        <v>36951</v>
      </c>
      <c r="G32" s="108">
        <v>747</v>
      </c>
      <c r="H32" s="108">
        <v>94044</v>
      </c>
      <c r="I32" s="108">
        <v>17616</v>
      </c>
      <c r="J32">
        <v>0</v>
      </c>
      <c r="K32">
        <v>0</v>
      </c>
      <c r="L32">
        <v>0</v>
      </c>
      <c r="M32" s="108">
        <v>0</v>
      </c>
      <c r="N32" s="108">
        <v>762</v>
      </c>
      <c r="O32" s="108">
        <v>0</v>
      </c>
      <c r="P32" s="108">
        <v>0</v>
      </c>
      <c r="Q32" s="108">
        <v>0</v>
      </c>
      <c r="R32" s="108">
        <v>0</v>
      </c>
      <c r="S32">
        <v>1533544</v>
      </c>
      <c r="T32">
        <v>98084</v>
      </c>
      <c r="U32">
        <v>36953</v>
      </c>
      <c r="V32" s="108">
        <v>21495</v>
      </c>
      <c r="W32" s="108">
        <v>697547</v>
      </c>
      <c r="X32" s="108">
        <v>24864</v>
      </c>
      <c r="Y32" s="108">
        <v>0</v>
      </c>
      <c r="Z32" s="108">
        <v>853</v>
      </c>
      <c r="AA32" s="108">
        <v>1748</v>
      </c>
      <c r="AB32" s="108">
        <v>849</v>
      </c>
      <c r="AC32" s="108">
        <v>13518</v>
      </c>
      <c r="AD32" s="108">
        <v>0</v>
      </c>
    </row>
    <row r="33" spans="1:30" ht="15" x14ac:dyDescent="0.25">
      <c r="A33">
        <v>97</v>
      </c>
      <c r="B33" s="109" t="s">
        <v>170</v>
      </c>
      <c r="C33" s="108">
        <v>3739</v>
      </c>
      <c r="D33" s="108">
        <v>0</v>
      </c>
      <c r="E33" s="108">
        <v>0</v>
      </c>
      <c r="F33" s="108">
        <v>0</v>
      </c>
      <c r="G33" s="108">
        <v>0</v>
      </c>
      <c r="H33" s="108">
        <v>264</v>
      </c>
      <c r="I33" s="108">
        <v>0</v>
      </c>
      <c r="J33">
        <v>0</v>
      </c>
      <c r="K33">
        <v>0</v>
      </c>
      <c r="L33">
        <v>0</v>
      </c>
      <c r="M33" s="108">
        <v>0</v>
      </c>
      <c r="N33" s="108">
        <v>0</v>
      </c>
      <c r="O33" s="108">
        <v>0</v>
      </c>
      <c r="P33" s="108">
        <v>0</v>
      </c>
      <c r="Q33" s="108">
        <v>0</v>
      </c>
      <c r="R33" s="108">
        <v>0</v>
      </c>
      <c r="S33">
        <v>17256</v>
      </c>
      <c r="T33">
        <v>816</v>
      </c>
      <c r="U33">
        <v>0</v>
      </c>
      <c r="V33" s="108">
        <v>175</v>
      </c>
      <c r="W33" s="108">
        <v>9214</v>
      </c>
      <c r="X33" s="108">
        <v>199</v>
      </c>
      <c r="Y33" s="108">
        <v>0</v>
      </c>
      <c r="Z33" s="108">
        <v>0</v>
      </c>
      <c r="AA33" s="108">
        <v>0</v>
      </c>
      <c r="AB33" s="108">
        <v>0</v>
      </c>
      <c r="AC33" s="108">
        <v>0</v>
      </c>
      <c r="AD33" s="108">
        <v>0</v>
      </c>
    </row>
    <row r="34" spans="1:30" ht="15" x14ac:dyDescent="0.25">
      <c r="A34">
        <v>98</v>
      </c>
      <c r="B34" s="109" t="s">
        <v>171</v>
      </c>
      <c r="C34" s="108">
        <v>113663</v>
      </c>
      <c r="D34" s="108">
        <v>0</v>
      </c>
      <c r="E34" s="108">
        <v>160</v>
      </c>
      <c r="F34" s="108">
        <v>1823</v>
      </c>
      <c r="G34" s="108">
        <v>1287</v>
      </c>
      <c r="H34" s="108">
        <v>78115</v>
      </c>
      <c r="I34" s="108">
        <v>0</v>
      </c>
      <c r="J34">
        <v>0</v>
      </c>
      <c r="K34">
        <v>0</v>
      </c>
      <c r="L34">
        <v>0</v>
      </c>
      <c r="M34" s="108">
        <v>0</v>
      </c>
      <c r="N34" s="108">
        <v>0</v>
      </c>
      <c r="O34" s="108">
        <v>0</v>
      </c>
      <c r="P34" s="108">
        <v>0</v>
      </c>
      <c r="Q34" s="108">
        <v>4</v>
      </c>
      <c r="R34" s="108">
        <v>0</v>
      </c>
      <c r="S34">
        <v>218411</v>
      </c>
      <c r="T34">
        <v>9859</v>
      </c>
      <c r="U34">
        <v>1823</v>
      </c>
      <c r="V34" s="108">
        <v>3388</v>
      </c>
      <c r="W34" s="108">
        <v>142305</v>
      </c>
      <c r="X34" s="108">
        <v>1933</v>
      </c>
      <c r="Y34" s="108">
        <v>3</v>
      </c>
      <c r="Z34" s="108">
        <v>99</v>
      </c>
      <c r="AA34" s="108">
        <v>0</v>
      </c>
      <c r="AB34" s="108">
        <v>0</v>
      </c>
      <c r="AC34" s="108">
        <v>4</v>
      </c>
      <c r="AD34" s="108">
        <v>0</v>
      </c>
    </row>
    <row r="35" spans="1:30" ht="15" x14ac:dyDescent="0.25">
      <c r="A35">
        <v>99</v>
      </c>
      <c r="B35" s="109" t="s">
        <v>172</v>
      </c>
      <c r="C35" s="108">
        <v>8100</v>
      </c>
      <c r="D35" s="108">
        <v>0</v>
      </c>
      <c r="E35" s="108">
        <v>0</v>
      </c>
      <c r="F35" s="108">
        <v>189</v>
      </c>
      <c r="G35" s="108">
        <v>0</v>
      </c>
      <c r="H35" s="108">
        <v>64</v>
      </c>
      <c r="I35" s="108">
        <v>74</v>
      </c>
      <c r="J35">
        <v>0</v>
      </c>
      <c r="K35">
        <v>0</v>
      </c>
      <c r="L35">
        <v>0</v>
      </c>
      <c r="M35" s="108">
        <v>0</v>
      </c>
      <c r="N35" s="108">
        <v>0</v>
      </c>
      <c r="O35" s="108">
        <v>0</v>
      </c>
      <c r="P35" s="108">
        <v>0</v>
      </c>
      <c r="Q35" s="108">
        <v>0</v>
      </c>
      <c r="R35" s="108">
        <v>0</v>
      </c>
      <c r="S35">
        <v>18043</v>
      </c>
      <c r="T35">
        <v>354</v>
      </c>
      <c r="U35">
        <v>189</v>
      </c>
      <c r="V35" s="108">
        <v>63</v>
      </c>
      <c r="W35" s="108">
        <v>6650</v>
      </c>
      <c r="X35" s="108">
        <v>246</v>
      </c>
      <c r="Y35" s="108">
        <v>0</v>
      </c>
      <c r="Z35" s="108">
        <v>0</v>
      </c>
      <c r="AA35" s="108">
        <v>4</v>
      </c>
      <c r="AB35" s="108">
        <v>0</v>
      </c>
      <c r="AC35" s="108">
        <v>2</v>
      </c>
      <c r="AD35" s="108">
        <v>1</v>
      </c>
    </row>
    <row r="36" spans="1:30" ht="15" x14ac:dyDescent="0.25">
      <c r="A36">
        <v>102</v>
      </c>
      <c r="B36" s="109" t="s">
        <v>173</v>
      </c>
      <c r="C36" s="108">
        <v>23929</v>
      </c>
      <c r="D36" s="108">
        <v>0</v>
      </c>
      <c r="E36" s="108">
        <v>3</v>
      </c>
      <c r="F36" s="108">
        <v>2404</v>
      </c>
      <c r="G36" s="108">
        <v>366</v>
      </c>
      <c r="H36" s="108">
        <v>5181</v>
      </c>
      <c r="I36" s="108">
        <v>0</v>
      </c>
      <c r="J36">
        <v>0</v>
      </c>
      <c r="K36">
        <v>0</v>
      </c>
      <c r="L36">
        <v>0</v>
      </c>
      <c r="M36" s="108">
        <v>0</v>
      </c>
      <c r="N36" s="108">
        <v>0</v>
      </c>
      <c r="O36" s="108">
        <v>0</v>
      </c>
      <c r="P36" s="108">
        <v>0</v>
      </c>
      <c r="Q36" s="108">
        <v>0</v>
      </c>
      <c r="R36" s="108">
        <v>0</v>
      </c>
      <c r="S36">
        <v>77139</v>
      </c>
      <c r="T36">
        <v>3476</v>
      </c>
      <c r="U36">
        <v>2403</v>
      </c>
      <c r="V36" s="108">
        <v>989</v>
      </c>
      <c r="W36" s="108">
        <v>38903</v>
      </c>
      <c r="X36" s="108">
        <v>1095</v>
      </c>
      <c r="Y36" s="108">
        <v>3</v>
      </c>
      <c r="Z36" s="108">
        <v>90</v>
      </c>
      <c r="AA36" s="108">
        <v>0</v>
      </c>
      <c r="AB36" s="108">
        <v>31</v>
      </c>
      <c r="AC36" s="108">
        <v>1053</v>
      </c>
      <c r="AD36" s="108">
        <v>53</v>
      </c>
    </row>
    <row r="37" spans="1:30" ht="15" x14ac:dyDescent="0.25">
      <c r="A37">
        <v>103</v>
      </c>
      <c r="B37" s="109" t="s">
        <v>174</v>
      </c>
      <c r="C37" s="108">
        <v>2426</v>
      </c>
      <c r="D37" s="108">
        <v>0</v>
      </c>
      <c r="E37" s="108">
        <v>0</v>
      </c>
      <c r="F37" s="108">
        <v>330</v>
      </c>
      <c r="G37" s="108">
        <v>22</v>
      </c>
      <c r="H37" s="108">
        <v>70</v>
      </c>
      <c r="I37" s="108">
        <v>0</v>
      </c>
      <c r="J37">
        <v>0</v>
      </c>
      <c r="K37">
        <v>0</v>
      </c>
      <c r="L37">
        <v>0</v>
      </c>
      <c r="M37" s="108">
        <v>0</v>
      </c>
      <c r="N37" s="108">
        <v>0</v>
      </c>
      <c r="O37" s="108">
        <v>0</v>
      </c>
      <c r="P37" s="108">
        <v>0</v>
      </c>
      <c r="Q37" s="108">
        <v>0</v>
      </c>
      <c r="R37" s="108">
        <v>0</v>
      </c>
      <c r="S37">
        <v>15453</v>
      </c>
      <c r="T37">
        <v>424</v>
      </c>
      <c r="U37">
        <v>332</v>
      </c>
      <c r="V37" s="108">
        <v>145</v>
      </c>
      <c r="W37" s="108">
        <v>8249</v>
      </c>
      <c r="X37" s="108">
        <v>195</v>
      </c>
      <c r="Y37" s="108">
        <v>0</v>
      </c>
      <c r="Z37" s="108">
        <v>2</v>
      </c>
      <c r="AA37" s="108">
        <v>0</v>
      </c>
      <c r="AB37" s="108">
        <v>0</v>
      </c>
      <c r="AC37" s="108">
        <v>0</v>
      </c>
      <c r="AD37" s="108">
        <v>0</v>
      </c>
    </row>
    <row r="38" spans="1:30" ht="15" x14ac:dyDescent="0.25">
      <c r="A38">
        <v>105</v>
      </c>
      <c r="B38" s="109" t="s">
        <v>175</v>
      </c>
      <c r="C38" s="108">
        <v>3457</v>
      </c>
      <c r="D38" s="108">
        <v>0</v>
      </c>
      <c r="E38" s="108">
        <v>0</v>
      </c>
      <c r="F38" s="108">
        <v>77</v>
      </c>
      <c r="G38" s="108">
        <v>0</v>
      </c>
      <c r="H38" s="108">
        <v>15</v>
      </c>
      <c r="I38" s="108">
        <v>0</v>
      </c>
      <c r="J38">
        <v>0</v>
      </c>
      <c r="K38">
        <v>0</v>
      </c>
      <c r="L38">
        <v>0</v>
      </c>
      <c r="M38" s="108">
        <v>0</v>
      </c>
      <c r="N38" s="108">
        <v>0</v>
      </c>
      <c r="O38" s="108">
        <v>0</v>
      </c>
      <c r="P38" s="108">
        <v>0</v>
      </c>
      <c r="Q38" s="108">
        <v>0</v>
      </c>
      <c r="R38" s="108">
        <v>0</v>
      </c>
      <c r="S38">
        <v>21316</v>
      </c>
      <c r="T38">
        <v>535</v>
      </c>
      <c r="U38">
        <v>77</v>
      </c>
      <c r="V38" s="108">
        <v>36</v>
      </c>
      <c r="W38" s="108">
        <v>12074</v>
      </c>
      <c r="X38" s="108">
        <v>212</v>
      </c>
      <c r="Y38" s="108">
        <v>0</v>
      </c>
      <c r="Z38" s="108">
        <v>0</v>
      </c>
      <c r="AA38" s="108">
        <v>0</v>
      </c>
      <c r="AB38" s="108">
        <v>0</v>
      </c>
      <c r="AC38" s="108">
        <v>0</v>
      </c>
      <c r="AD38" s="108">
        <v>0</v>
      </c>
    </row>
    <row r="39" spans="1:30" ht="15" x14ac:dyDescent="0.25">
      <c r="A39">
        <v>106</v>
      </c>
      <c r="B39" s="109" t="s">
        <v>176</v>
      </c>
      <c r="C39" s="108">
        <v>92160</v>
      </c>
      <c r="D39" s="108">
        <v>0</v>
      </c>
      <c r="E39" s="108">
        <v>7527</v>
      </c>
      <c r="F39" s="108">
        <v>16567</v>
      </c>
      <c r="G39" s="108">
        <v>620</v>
      </c>
      <c r="H39" s="108">
        <v>22892</v>
      </c>
      <c r="I39" s="108">
        <v>10</v>
      </c>
      <c r="J39">
        <v>0</v>
      </c>
      <c r="K39">
        <v>0</v>
      </c>
      <c r="L39">
        <v>0</v>
      </c>
      <c r="M39" s="108">
        <v>0</v>
      </c>
      <c r="N39" s="108">
        <v>0</v>
      </c>
      <c r="O39" s="108">
        <v>0</v>
      </c>
      <c r="P39" s="108">
        <v>343</v>
      </c>
      <c r="Q39" s="108">
        <v>7242</v>
      </c>
      <c r="R39" s="108">
        <v>169</v>
      </c>
      <c r="S39">
        <v>325758</v>
      </c>
      <c r="T39">
        <v>19721</v>
      </c>
      <c r="U39">
        <v>16567</v>
      </c>
      <c r="V39" s="108">
        <v>5281</v>
      </c>
      <c r="W39" s="108">
        <v>168534</v>
      </c>
      <c r="X39" s="108">
        <v>3571</v>
      </c>
      <c r="Y39" s="108">
        <v>0</v>
      </c>
      <c r="Z39" s="108">
        <v>197</v>
      </c>
      <c r="AA39" s="108">
        <v>3</v>
      </c>
      <c r="AB39" s="108">
        <v>471</v>
      </c>
      <c r="AC39" s="108">
        <v>8591</v>
      </c>
      <c r="AD39" s="108">
        <v>12</v>
      </c>
    </row>
    <row r="40" spans="1:30" ht="15" x14ac:dyDescent="0.25">
      <c r="A40">
        <v>108</v>
      </c>
      <c r="B40" s="109" t="s">
        <v>177</v>
      </c>
      <c r="C40" s="108">
        <v>19201</v>
      </c>
      <c r="D40" s="108">
        <v>0</v>
      </c>
      <c r="E40" s="108">
        <v>138</v>
      </c>
      <c r="F40" s="108">
        <v>0</v>
      </c>
      <c r="G40" s="108">
        <v>193</v>
      </c>
      <c r="H40" s="108">
        <v>6389</v>
      </c>
      <c r="I40" s="108">
        <v>0</v>
      </c>
      <c r="J40">
        <v>0</v>
      </c>
      <c r="K40">
        <v>0</v>
      </c>
      <c r="L40">
        <v>0</v>
      </c>
      <c r="M40" s="108">
        <v>0</v>
      </c>
      <c r="N40" s="108">
        <v>0</v>
      </c>
      <c r="O40" s="108">
        <v>0</v>
      </c>
      <c r="P40" s="108">
        <v>0</v>
      </c>
      <c r="Q40" s="108">
        <v>0</v>
      </c>
      <c r="R40" s="108">
        <v>0</v>
      </c>
      <c r="S40">
        <v>74720</v>
      </c>
      <c r="T40">
        <v>3629</v>
      </c>
      <c r="U40">
        <v>0</v>
      </c>
      <c r="V40" s="108">
        <v>1054</v>
      </c>
      <c r="W40" s="108">
        <v>39211</v>
      </c>
      <c r="X40" s="108">
        <v>717</v>
      </c>
      <c r="Y40" s="108">
        <v>8</v>
      </c>
      <c r="Z40" s="108">
        <v>175</v>
      </c>
      <c r="AA40" s="108">
        <v>0</v>
      </c>
      <c r="AB40" s="108">
        <v>0</v>
      </c>
      <c r="AC40" s="108">
        <v>0</v>
      </c>
      <c r="AD40" s="108">
        <v>0</v>
      </c>
    </row>
    <row r="41" spans="1:30" ht="15" x14ac:dyDescent="0.25">
      <c r="A41">
        <v>109</v>
      </c>
      <c r="B41" s="109" t="s">
        <v>178</v>
      </c>
      <c r="C41" s="108">
        <v>136090</v>
      </c>
      <c r="D41" s="108">
        <v>0</v>
      </c>
      <c r="E41" s="108">
        <v>5364</v>
      </c>
      <c r="F41" s="108">
        <v>11028</v>
      </c>
      <c r="G41" s="108">
        <v>52</v>
      </c>
      <c r="H41" s="108">
        <v>35203</v>
      </c>
      <c r="I41" s="108">
        <v>16267</v>
      </c>
      <c r="J41">
        <v>0</v>
      </c>
      <c r="K41">
        <v>0</v>
      </c>
      <c r="L41">
        <v>0</v>
      </c>
      <c r="M41" s="108">
        <v>0</v>
      </c>
      <c r="N41" s="108">
        <v>0</v>
      </c>
      <c r="O41" s="108">
        <v>0</v>
      </c>
      <c r="P41" s="108">
        <v>2</v>
      </c>
      <c r="Q41" s="108">
        <v>3529</v>
      </c>
      <c r="R41" s="108">
        <v>0</v>
      </c>
      <c r="S41">
        <v>491645</v>
      </c>
      <c r="T41">
        <v>17467</v>
      </c>
      <c r="U41">
        <v>11027</v>
      </c>
      <c r="V41" s="108">
        <v>1325</v>
      </c>
      <c r="W41" s="108">
        <v>260180</v>
      </c>
      <c r="X41" s="108">
        <v>22425</v>
      </c>
      <c r="Y41" s="108">
        <v>0</v>
      </c>
      <c r="Z41" s="108">
        <v>217</v>
      </c>
      <c r="AA41" s="108">
        <v>535</v>
      </c>
      <c r="AB41" s="108">
        <v>31</v>
      </c>
      <c r="AC41" s="108">
        <v>6842</v>
      </c>
      <c r="AD41" s="108">
        <v>0</v>
      </c>
    </row>
    <row r="42" spans="1:30" ht="15" x14ac:dyDescent="0.25">
      <c r="A42">
        <v>111</v>
      </c>
      <c r="B42" s="109" t="s">
        <v>167</v>
      </c>
      <c r="C42" s="108">
        <v>37965</v>
      </c>
      <c r="D42" s="108">
        <v>0</v>
      </c>
      <c r="E42" s="108">
        <v>439</v>
      </c>
      <c r="F42" s="108">
        <v>716</v>
      </c>
      <c r="G42" s="108">
        <v>88</v>
      </c>
      <c r="H42" s="108">
        <v>8096</v>
      </c>
      <c r="I42" s="108">
        <v>0</v>
      </c>
      <c r="J42">
        <v>0</v>
      </c>
      <c r="K42">
        <v>0</v>
      </c>
      <c r="L42">
        <v>0</v>
      </c>
      <c r="M42" s="108">
        <v>0</v>
      </c>
      <c r="N42" s="108">
        <v>0</v>
      </c>
      <c r="O42" s="108">
        <v>0</v>
      </c>
      <c r="P42" s="108">
        <v>0</v>
      </c>
      <c r="Q42" s="108">
        <v>0</v>
      </c>
      <c r="R42" s="108">
        <v>0</v>
      </c>
      <c r="S42">
        <v>146195</v>
      </c>
      <c r="T42">
        <v>5487</v>
      </c>
      <c r="U42">
        <v>716</v>
      </c>
      <c r="V42" s="108">
        <v>2015</v>
      </c>
      <c r="W42" s="108">
        <v>78921</v>
      </c>
      <c r="X42" s="108">
        <v>2219</v>
      </c>
      <c r="Y42" s="108">
        <v>0</v>
      </c>
      <c r="Z42" s="108">
        <v>836</v>
      </c>
      <c r="AA42" s="108">
        <v>163</v>
      </c>
      <c r="AB42" s="108">
        <v>0</v>
      </c>
      <c r="AC42" s="108">
        <v>251</v>
      </c>
      <c r="AD42" s="108">
        <v>0</v>
      </c>
    </row>
    <row r="43" spans="1:30" ht="15" x14ac:dyDescent="0.25">
      <c r="A43">
        <v>139</v>
      </c>
      <c r="B43" s="109" t="s">
        <v>179</v>
      </c>
      <c r="C43" s="108">
        <v>13059</v>
      </c>
      <c r="D43" s="108">
        <v>0</v>
      </c>
      <c r="E43" s="108">
        <v>8</v>
      </c>
      <c r="F43" s="108">
        <v>1045</v>
      </c>
      <c r="G43" s="108">
        <v>0</v>
      </c>
      <c r="H43" s="108">
        <v>0</v>
      </c>
      <c r="I43" s="108">
        <v>0</v>
      </c>
      <c r="J43">
        <v>0</v>
      </c>
      <c r="K43">
        <v>0</v>
      </c>
      <c r="L43">
        <v>0</v>
      </c>
      <c r="M43" s="108">
        <v>0</v>
      </c>
      <c r="N43" s="108">
        <v>0</v>
      </c>
      <c r="O43" s="108">
        <v>0</v>
      </c>
      <c r="P43" s="108">
        <v>0</v>
      </c>
      <c r="Q43" s="108">
        <v>0</v>
      </c>
      <c r="R43" s="108">
        <v>0</v>
      </c>
      <c r="S43">
        <v>67512</v>
      </c>
      <c r="T43">
        <v>2603</v>
      </c>
      <c r="U43">
        <v>1038</v>
      </c>
      <c r="V43" s="108">
        <v>560</v>
      </c>
      <c r="W43" s="108">
        <v>30906</v>
      </c>
      <c r="X43" s="108">
        <v>605</v>
      </c>
      <c r="Y43" s="108">
        <v>0</v>
      </c>
      <c r="Z43" s="108">
        <v>65</v>
      </c>
      <c r="AA43" s="108">
        <v>0</v>
      </c>
      <c r="AB43" s="108">
        <v>3</v>
      </c>
      <c r="AC43" s="108">
        <v>13</v>
      </c>
      <c r="AD43" s="108">
        <v>22</v>
      </c>
    </row>
    <row r="44" spans="1:30" ht="15" x14ac:dyDescent="0.25">
      <c r="A44">
        <v>140</v>
      </c>
      <c r="B44" s="109" t="s">
        <v>180</v>
      </c>
      <c r="C44" s="108">
        <v>39308</v>
      </c>
      <c r="D44" s="108">
        <v>0</v>
      </c>
      <c r="E44" s="108">
        <v>0</v>
      </c>
      <c r="F44" s="108">
        <v>4041</v>
      </c>
      <c r="G44" s="108">
        <v>1</v>
      </c>
      <c r="H44" s="108">
        <v>463</v>
      </c>
      <c r="I44" s="108">
        <v>1</v>
      </c>
      <c r="J44">
        <v>0</v>
      </c>
      <c r="K44">
        <v>0</v>
      </c>
      <c r="L44">
        <v>0</v>
      </c>
      <c r="M44" s="108">
        <v>0</v>
      </c>
      <c r="N44" s="108">
        <v>0</v>
      </c>
      <c r="O44" s="108">
        <v>0</v>
      </c>
      <c r="P44" s="108">
        <v>0</v>
      </c>
      <c r="Q44" s="108">
        <v>0</v>
      </c>
      <c r="R44" s="108">
        <v>6</v>
      </c>
      <c r="S44">
        <v>155743</v>
      </c>
      <c r="T44">
        <v>7199</v>
      </c>
      <c r="U44">
        <v>4041</v>
      </c>
      <c r="V44" s="108">
        <v>1224</v>
      </c>
      <c r="W44" s="108">
        <v>75948</v>
      </c>
      <c r="X44" s="108">
        <v>1805</v>
      </c>
      <c r="Y44" s="108">
        <v>0</v>
      </c>
      <c r="Z44" s="108">
        <v>0</v>
      </c>
      <c r="AA44" s="108">
        <v>0</v>
      </c>
      <c r="AB44" s="108">
        <v>11</v>
      </c>
      <c r="AC44" s="108">
        <v>161</v>
      </c>
      <c r="AD44" s="108">
        <v>8</v>
      </c>
    </row>
    <row r="45" spans="1:30" ht="15" x14ac:dyDescent="0.25">
      <c r="A45">
        <v>142</v>
      </c>
      <c r="B45" s="109" t="s">
        <v>181</v>
      </c>
      <c r="C45" s="108">
        <v>7348</v>
      </c>
      <c r="D45" s="108">
        <v>0</v>
      </c>
      <c r="E45" s="108">
        <v>0</v>
      </c>
      <c r="F45" s="108">
        <v>0</v>
      </c>
      <c r="G45" s="108">
        <v>0</v>
      </c>
      <c r="H45" s="108">
        <v>0</v>
      </c>
      <c r="I45" s="108">
        <v>0</v>
      </c>
      <c r="J45">
        <v>0</v>
      </c>
      <c r="K45">
        <v>0</v>
      </c>
      <c r="L45">
        <v>0</v>
      </c>
      <c r="M45" s="108">
        <v>0</v>
      </c>
      <c r="N45" s="108">
        <v>0</v>
      </c>
      <c r="O45" s="108">
        <v>0</v>
      </c>
      <c r="P45" s="108">
        <v>0</v>
      </c>
      <c r="Q45" s="108">
        <v>0</v>
      </c>
      <c r="R45" s="108">
        <v>0</v>
      </c>
      <c r="S45">
        <v>43709</v>
      </c>
      <c r="T45">
        <v>1810</v>
      </c>
      <c r="U45">
        <v>0</v>
      </c>
      <c r="V45" s="108">
        <v>733</v>
      </c>
      <c r="W45" s="108">
        <v>24152</v>
      </c>
      <c r="X45" s="108">
        <v>601</v>
      </c>
      <c r="Y45" s="108">
        <v>0</v>
      </c>
      <c r="Z45" s="108">
        <v>2</v>
      </c>
      <c r="AA45" s="108">
        <v>0</v>
      </c>
      <c r="AB45" s="108">
        <v>0</v>
      </c>
      <c r="AC45" s="108">
        <v>0</v>
      </c>
      <c r="AD45" s="108">
        <v>0</v>
      </c>
    </row>
    <row r="46" spans="1:30" ht="15" x14ac:dyDescent="0.25">
      <c r="A46">
        <v>143</v>
      </c>
      <c r="B46" s="109" t="s">
        <v>182</v>
      </c>
      <c r="C46" s="108">
        <v>11555</v>
      </c>
      <c r="D46" s="108">
        <v>0</v>
      </c>
      <c r="E46" s="108">
        <v>0</v>
      </c>
      <c r="F46" s="108">
        <v>148</v>
      </c>
      <c r="G46" s="108">
        <v>127</v>
      </c>
      <c r="H46" s="108">
        <v>3435</v>
      </c>
      <c r="I46" s="108">
        <v>0</v>
      </c>
      <c r="J46">
        <v>0</v>
      </c>
      <c r="K46">
        <v>0</v>
      </c>
      <c r="L46">
        <v>0</v>
      </c>
      <c r="M46" s="108">
        <v>0</v>
      </c>
      <c r="N46" s="108">
        <v>0</v>
      </c>
      <c r="O46" s="108">
        <v>0</v>
      </c>
      <c r="P46" s="108">
        <v>0</v>
      </c>
      <c r="Q46" s="108">
        <v>0</v>
      </c>
      <c r="R46" s="108">
        <v>0</v>
      </c>
      <c r="S46">
        <v>51952</v>
      </c>
      <c r="T46">
        <v>2386</v>
      </c>
      <c r="U46">
        <v>523</v>
      </c>
      <c r="V46" s="108">
        <v>414</v>
      </c>
      <c r="W46" s="108">
        <v>28900</v>
      </c>
      <c r="X46" s="108">
        <v>537</v>
      </c>
      <c r="Y46" s="108">
        <v>0</v>
      </c>
      <c r="Z46" s="108">
        <v>146</v>
      </c>
      <c r="AA46" s="108">
        <v>0</v>
      </c>
      <c r="AB46" s="108">
        <v>5</v>
      </c>
      <c r="AC46" s="108">
        <v>241</v>
      </c>
      <c r="AD46" s="108">
        <v>0</v>
      </c>
    </row>
    <row r="47" spans="1:30" ht="15" x14ac:dyDescent="0.25">
      <c r="A47">
        <v>145</v>
      </c>
      <c r="B47" s="109" t="s">
        <v>183</v>
      </c>
      <c r="C47" s="108">
        <v>9998</v>
      </c>
      <c r="D47" s="108">
        <v>0</v>
      </c>
      <c r="E47" s="108">
        <v>81</v>
      </c>
      <c r="F47" s="108">
        <v>5847</v>
      </c>
      <c r="G47" s="108">
        <v>169</v>
      </c>
      <c r="H47" s="108">
        <v>874</v>
      </c>
      <c r="I47" s="108">
        <v>0</v>
      </c>
      <c r="J47">
        <v>0</v>
      </c>
      <c r="K47">
        <v>0</v>
      </c>
      <c r="L47">
        <v>0</v>
      </c>
      <c r="M47" s="108">
        <v>0</v>
      </c>
      <c r="N47" s="108">
        <v>0</v>
      </c>
      <c r="O47" s="108">
        <v>0</v>
      </c>
      <c r="P47" s="108">
        <v>0</v>
      </c>
      <c r="Q47" s="108">
        <v>0</v>
      </c>
      <c r="R47" s="108">
        <v>0</v>
      </c>
      <c r="S47">
        <v>72705</v>
      </c>
      <c r="T47">
        <v>3059</v>
      </c>
      <c r="U47">
        <v>5845</v>
      </c>
      <c r="V47" s="108">
        <v>243</v>
      </c>
      <c r="W47" s="108">
        <v>38006</v>
      </c>
      <c r="X47" s="108">
        <v>1002</v>
      </c>
      <c r="Y47" s="108">
        <v>6</v>
      </c>
      <c r="Z47" s="108">
        <v>25</v>
      </c>
      <c r="AA47" s="108">
        <v>53</v>
      </c>
      <c r="AB47" s="108">
        <v>8</v>
      </c>
      <c r="AC47" s="108">
        <v>258</v>
      </c>
      <c r="AD47" s="108">
        <v>0</v>
      </c>
    </row>
    <row r="48" spans="1:30" ht="15" x14ac:dyDescent="0.25">
      <c r="A48">
        <v>146</v>
      </c>
      <c r="B48" s="109" t="s">
        <v>184</v>
      </c>
      <c r="C48" s="108">
        <v>11839</v>
      </c>
      <c r="D48" s="108">
        <v>0</v>
      </c>
      <c r="E48" s="108">
        <v>267</v>
      </c>
      <c r="F48" s="108">
        <v>0</v>
      </c>
      <c r="G48" s="108">
        <v>16</v>
      </c>
      <c r="H48" s="108">
        <v>4283</v>
      </c>
      <c r="I48" s="108">
        <v>0</v>
      </c>
      <c r="J48">
        <v>0</v>
      </c>
      <c r="K48">
        <v>0</v>
      </c>
      <c r="L48">
        <v>0</v>
      </c>
      <c r="M48" s="108">
        <v>0</v>
      </c>
      <c r="N48" s="108">
        <v>0</v>
      </c>
      <c r="O48" s="108">
        <v>0</v>
      </c>
      <c r="P48" s="108">
        <v>0</v>
      </c>
      <c r="Q48" s="108">
        <v>0</v>
      </c>
      <c r="R48" s="108">
        <v>0</v>
      </c>
      <c r="S48">
        <v>51070</v>
      </c>
      <c r="T48">
        <v>1772</v>
      </c>
      <c r="U48">
        <v>0</v>
      </c>
      <c r="V48" s="108">
        <v>445</v>
      </c>
      <c r="W48" s="108">
        <v>31132</v>
      </c>
      <c r="X48" s="108">
        <v>402</v>
      </c>
      <c r="Y48" s="108">
        <v>0</v>
      </c>
      <c r="Z48" s="108">
        <v>121</v>
      </c>
      <c r="AA48" s="108">
        <v>0</v>
      </c>
      <c r="AB48" s="108">
        <v>0</v>
      </c>
      <c r="AC48" s="108">
        <v>0</v>
      </c>
      <c r="AD48" s="108">
        <v>0</v>
      </c>
    </row>
    <row r="49" spans="1:30" ht="15" x14ac:dyDescent="0.25">
      <c r="A49">
        <v>148</v>
      </c>
      <c r="B49" s="109" t="s">
        <v>186</v>
      </c>
      <c r="C49" s="108">
        <v>14712</v>
      </c>
      <c r="D49" s="108">
        <v>0</v>
      </c>
      <c r="E49" s="108">
        <v>0</v>
      </c>
      <c r="F49" s="108">
        <v>197</v>
      </c>
      <c r="G49" s="108">
        <v>80</v>
      </c>
      <c r="H49" s="108">
        <v>4771</v>
      </c>
      <c r="I49" s="108">
        <v>0</v>
      </c>
      <c r="J49">
        <v>0</v>
      </c>
      <c r="K49">
        <v>0</v>
      </c>
      <c r="L49">
        <v>0</v>
      </c>
      <c r="M49" s="108">
        <v>0</v>
      </c>
      <c r="N49" s="108">
        <v>0</v>
      </c>
      <c r="O49" s="108">
        <v>0</v>
      </c>
      <c r="P49" s="108">
        <v>0</v>
      </c>
      <c r="Q49" s="108">
        <v>197</v>
      </c>
      <c r="R49" s="108">
        <v>0</v>
      </c>
      <c r="S49">
        <v>60171</v>
      </c>
      <c r="T49">
        <v>1851</v>
      </c>
      <c r="U49">
        <v>197</v>
      </c>
      <c r="V49" s="108">
        <v>954</v>
      </c>
      <c r="W49" s="108">
        <v>31809</v>
      </c>
      <c r="X49" s="108">
        <v>704</v>
      </c>
      <c r="Y49" s="108">
        <v>0</v>
      </c>
      <c r="Z49" s="108">
        <v>193</v>
      </c>
      <c r="AA49" s="108">
        <v>10</v>
      </c>
      <c r="AB49" s="108">
        <v>0</v>
      </c>
      <c r="AC49" s="108">
        <v>197</v>
      </c>
      <c r="AD49" s="108">
        <v>0</v>
      </c>
    </row>
    <row r="50" spans="1:30" ht="15" x14ac:dyDescent="0.25">
      <c r="A50">
        <v>149</v>
      </c>
      <c r="B50" s="109" t="s">
        <v>187</v>
      </c>
      <c r="C50" s="108">
        <v>6382</v>
      </c>
      <c r="D50" s="108">
        <v>0</v>
      </c>
      <c r="E50" s="108">
        <v>0</v>
      </c>
      <c r="F50" s="108">
        <v>0</v>
      </c>
      <c r="G50" s="108">
        <v>23</v>
      </c>
      <c r="H50" s="108">
        <v>1478</v>
      </c>
      <c r="I50" s="108">
        <v>0</v>
      </c>
      <c r="J50">
        <v>0</v>
      </c>
      <c r="K50">
        <v>0</v>
      </c>
      <c r="L50">
        <v>0</v>
      </c>
      <c r="M50" s="108">
        <v>0</v>
      </c>
      <c r="N50" s="108">
        <v>0</v>
      </c>
      <c r="O50" s="108">
        <v>0</v>
      </c>
      <c r="P50" s="108">
        <v>0</v>
      </c>
      <c r="Q50" s="108">
        <v>0</v>
      </c>
      <c r="R50" s="108">
        <v>0</v>
      </c>
      <c r="S50">
        <v>35401</v>
      </c>
      <c r="T50">
        <v>1430</v>
      </c>
      <c r="U50">
        <v>0</v>
      </c>
      <c r="V50" s="108">
        <v>345</v>
      </c>
      <c r="W50" s="108">
        <v>17873</v>
      </c>
      <c r="X50" s="108">
        <v>352</v>
      </c>
      <c r="Y50" s="108">
        <v>1</v>
      </c>
      <c r="Z50" s="108">
        <v>36</v>
      </c>
      <c r="AA50" s="108">
        <v>0</v>
      </c>
      <c r="AB50" s="108">
        <v>0</v>
      </c>
      <c r="AC50" s="108">
        <v>0</v>
      </c>
      <c r="AD50" s="108">
        <v>0</v>
      </c>
    </row>
    <row r="51" spans="1:30" ht="15" x14ac:dyDescent="0.25">
      <c r="A51">
        <v>151</v>
      </c>
      <c r="B51" s="109" t="s">
        <v>188</v>
      </c>
      <c r="C51" s="108">
        <v>2371</v>
      </c>
      <c r="D51" s="108">
        <v>0</v>
      </c>
      <c r="E51" s="108">
        <v>0</v>
      </c>
      <c r="F51" s="108">
        <v>473</v>
      </c>
      <c r="G51" s="108">
        <v>0</v>
      </c>
      <c r="H51" s="108">
        <v>37</v>
      </c>
      <c r="I51" s="108">
        <v>0</v>
      </c>
      <c r="J51">
        <v>0</v>
      </c>
      <c r="K51">
        <v>0</v>
      </c>
      <c r="L51">
        <v>0</v>
      </c>
      <c r="M51" s="108">
        <v>0</v>
      </c>
      <c r="N51" s="108">
        <v>0</v>
      </c>
      <c r="O51" s="108">
        <v>0</v>
      </c>
      <c r="P51" s="108">
        <v>0</v>
      </c>
      <c r="Q51" s="108">
        <v>0</v>
      </c>
      <c r="R51" s="108">
        <v>0</v>
      </c>
      <c r="S51">
        <v>16251</v>
      </c>
      <c r="T51">
        <v>529</v>
      </c>
      <c r="U51">
        <v>818</v>
      </c>
      <c r="V51" s="108">
        <v>35</v>
      </c>
      <c r="W51" s="108">
        <v>10019</v>
      </c>
      <c r="X51" s="108">
        <v>187</v>
      </c>
      <c r="Y51" s="108">
        <v>0</v>
      </c>
      <c r="Z51" s="108">
        <v>0</v>
      </c>
      <c r="AA51" s="108">
        <v>0</v>
      </c>
      <c r="AB51" s="108">
        <v>0</v>
      </c>
      <c r="AC51" s="108">
        <v>0</v>
      </c>
      <c r="AD51" s="108">
        <v>6</v>
      </c>
    </row>
    <row r="52" spans="1:30" ht="15" x14ac:dyDescent="0.25">
      <c r="A52">
        <v>152</v>
      </c>
      <c r="B52" s="109" t="s">
        <v>189</v>
      </c>
      <c r="C52" s="108">
        <v>7561</v>
      </c>
      <c r="D52" s="108">
        <v>0</v>
      </c>
      <c r="E52" s="108">
        <v>0</v>
      </c>
      <c r="F52" s="108">
        <v>165</v>
      </c>
      <c r="G52" s="108">
        <v>0</v>
      </c>
      <c r="H52" s="108">
        <v>1560</v>
      </c>
      <c r="I52" s="108">
        <v>0</v>
      </c>
      <c r="J52">
        <v>0</v>
      </c>
      <c r="K52">
        <v>0</v>
      </c>
      <c r="L52">
        <v>0</v>
      </c>
      <c r="M52" s="108">
        <v>0</v>
      </c>
      <c r="N52" s="108">
        <v>0</v>
      </c>
      <c r="O52" s="108">
        <v>0</v>
      </c>
      <c r="P52" s="108">
        <v>0</v>
      </c>
      <c r="Q52" s="108">
        <v>0</v>
      </c>
      <c r="R52" s="108">
        <v>0</v>
      </c>
      <c r="S52">
        <v>33095</v>
      </c>
      <c r="T52">
        <v>1129</v>
      </c>
      <c r="U52">
        <v>165</v>
      </c>
      <c r="V52" s="108">
        <v>118</v>
      </c>
      <c r="W52" s="108">
        <v>17651</v>
      </c>
      <c r="X52" s="108">
        <v>357</v>
      </c>
      <c r="Y52" s="108">
        <v>0</v>
      </c>
      <c r="Z52" s="108">
        <v>0</v>
      </c>
      <c r="AA52" s="108">
        <v>4</v>
      </c>
      <c r="AB52" s="108">
        <v>0</v>
      </c>
      <c r="AC52" s="108">
        <v>62</v>
      </c>
      <c r="AD52" s="108">
        <v>0</v>
      </c>
    </row>
    <row r="53" spans="1:30" ht="15" x14ac:dyDescent="0.25">
      <c r="A53">
        <v>153</v>
      </c>
      <c r="B53" s="109" t="s">
        <v>185</v>
      </c>
      <c r="C53" s="108">
        <v>44305</v>
      </c>
      <c r="D53" s="108">
        <v>0</v>
      </c>
      <c r="E53" s="108">
        <v>0</v>
      </c>
      <c r="F53" s="108">
        <v>0</v>
      </c>
      <c r="G53" s="108">
        <v>1077</v>
      </c>
      <c r="H53" s="108">
        <v>14111</v>
      </c>
      <c r="I53" s="108">
        <v>0</v>
      </c>
      <c r="J53">
        <v>0</v>
      </c>
      <c r="K53">
        <v>0</v>
      </c>
      <c r="L53">
        <v>0</v>
      </c>
      <c r="M53" s="108">
        <v>0</v>
      </c>
      <c r="N53" s="108">
        <v>0</v>
      </c>
      <c r="O53" s="108">
        <v>0</v>
      </c>
      <c r="P53" s="108">
        <v>0</v>
      </c>
      <c r="Q53" s="108">
        <v>0</v>
      </c>
      <c r="R53" s="108">
        <v>0</v>
      </c>
      <c r="S53">
        <v>188557</v>
      </c>
      <c r="T53">
        <v>8439</v>
      </c>
      <c r="U53">
        <v>0</v>
      </c>
      <c r="V53" s="108">
        <v>4281</v>
      </c>
      <c r="W53" s="108">
        <v>103481</v>
      </c>
      <c r="X53" s="108">
        <v>2390</v>
      </c>
      <c r="Y53" s="108">
        <v>8</v>
      </c>
      <c r="Z53" s="108">
        <v>306</v>
      </c>
      <c r="AA53" s="108">
        <v>0</v>
      </c>
      <c r="AB53" s="108">
        <v>0</v>
      </c>
      <c r="AC53" s="108">
        <v>0</v>
      </c>
      <c r="AD53" s="108">
        <v>0</v>
      </c>
    </row>
    <row r="54" spans="1:30" ht="15" x14ac:dyDescent="0.25">
      <c r="A54">
        <v>164</v>
      </c>
      <c r="B54" s="109" t="s">
        <v>517</v>
      </c>
      <c r="C54" s="108">
        <v>17781</v>
      </c>
      <c r="D54" s="108">
        <v>0</v>
      </c>
      <c r="E54" s="108">
        <v>0</v>
      </c>
      <c r="F54" s="108">
        <v>826</v>
      </c>
      <c r="G54" s="108">
        <v>179</v>
      </c>
      <c r="H54" s="108">
        <v>492</v>
      </c>
      <c r="I54" s="108">
        <v>0</v>
      </c>
      <c r="J54">
        <v>0</v>
      </c>
      <c r="K54">
        <v>0</v>
      </c>
      <c r="L54">
        <v>0</v>
      </c>
      <c r="M54" s="108">
        <v>0</v>
      </c>
      <c r="N54" s="108">
        <v>0</v>
      </c>
      <c r="O54" s="108">
        <v>0</v>
      </c>
      <c r="P54" s="108">
        <v>0</v>
      </c>
      <c r="Q54" s="108">
        <v>0</v>
      </c>
      <c r="R54" s="108">
        <v>0</v>
      </c>
      <c r="S54">
        <v>66010</v>
      </c>
      <c r="T54">
        <v>2289</v>
      </c>
      <c r="U54">
        <v>827</v>
      </c>
      <c r="V54" s="108">
        <v>350</v>
      </c>
      <c r="W54" s="108">
        <v>29931</v>
      </c>
      <c r="X54" s="108">
        <v>694</v>
      </c>
      <c r="Y54" s="108">
        <v>0</v>
      </c>
      <c r="Z54" s="108">
        <v>0</v>
      </c>
      <c r="AA54" s="108">
        <v>0</v>
      </c>
      <c r="AB54" s="108">
        <v>0</v>
      </c>
      <c r="AC54" s="108">
        <v>45</v>
      </c>
      <c r="AD54" s="108">
        <v>0</v>
      </c>
    </row>
    <row r="55" spans="1:30" ht="15" x14ac:dyDescent="0.25">
      <c r="A55">
        <v>165</v>
      </c>
      <c r="B55" s="109" t="s">
        <v>190</v>
      </c>
      <c r="C55" s="108">
        <v>32617</v>
      </c>
      <c r="D55" s="108">
        <v>0</v>
      </c>
      <c r="E55" s="108">
        <v>167</v>
      </c>
      <c r="F55" s="108">
        <v>2101</v>
      </c>
      <c r="G55" s="108">
        <v>127</v>
      </c>
      <c r="H55" s="108">
        <v>11979</v>
      </c>
      <c r="I55" s="108">
        <v>0</v>
      </c>
      <c r="J55">
        <v>0</v>
      </c>
      <c r="K55">
        <v>0</v>
      </c>
      <c r="L55">
        <v>0</v>
      </c>
      <c r="M55" s="108">
        <v>0</v>
      </c>
      <c r="N55" s="108">
        <v>33</v>
      </c>
      <c r="O55" s="108">
        <v>0</v>
      </c>
      <c r="P55" s="108">
        <v>0</v>
      </c>
      <c r="Q55" s="108">
        <v>0</v>
      </c>
      <c r="R55" s="108">
        <v>0</v>
      </c>
      <c r="S55">
        <v>114192</v>
      </c>
      <c r="T55">
        <v>5126</v>
      </c>
      <c r="U55">
        <v>2101</v>
      </c>
      <c r="V55" s="108">
        <v>502</v>
      </c>
      <c r="W55" s="108">
        <v>62205</v>
      </c>
      <c r="X55" s="108">
        <v>1130</v>
      </c>
      <c r="Y55" s="108">
        <v>3</v>
      </c>
      <c r="Z55" s="108">
        <v>124</v>
      </c>
      <c r="AA55" s="108">
        <v>0</v>
      </c>
      <c r="AB55" s="108">
        <v>24</v>
      </c>
      <c r="AC55" s="108">
        <v>921</v>
      </c>
      <c r="AD55" s="108">
        <v>7</v>
      </c>
    </row>
    <row r="56" spans="1:30" ht="15" x14ac:dyDescent="0.25">
      <c r="A56">
        <v>167</v>
      </c>
      <c r="B56" s="109" t="s">
        <v>191</v>
      </c>
      <c r="C56" s="108">
        <v>257220</v>
      </c>
      <c r="D56" s="108">
        <v>0</v>
      </c>
      <c r="E56" s="108">
        <v>5880</v>
      </c>
      <c r="F56" s="108">
        <v>0</v>
      </c>
      <c r="G56" s="108">
        <v>906</v>
      </c>
      <c r="H56" s="108">
        <v>115468</v>
      </c>
      <c r="I56" s="108">
        <v>7701</v>
      </c>
      <c r="J56">
        <v>0</v>
      </c>
      <c r="K56">
        <v>0</v>
      </c>
      <c r="L56">
        <v>0</v>
      </c>
      <c r="M56" s="108">
        <v>0</v>
      </c>
      <c r="N56" s="108">
        <v>1</v>
      </c>
      <c r="O56" s="108">
        <v>0</v>
      </c>
      <c r="P56" s="108">
        <v>0</v>
      </c>
      <c r="Q56" s="108">
        <v>0</v>
      </c>
      <c r="R56" s="108">
        <v>0</v>
      </c>
      <c r="S56">
        <v>628196</v>
      </c>
      <c r="T56">
        <v>27095</v>
      </c>
      <c r="U56">
        <v>0</v>
      </c>
      <c r="V56" s="108">
        <v>10698</v>
      </c>
      <c r="W56" s="108">
        <v>358964</v>
      </c>
      <c r="X56" s="108">
        <v>12544</v>
      </c>
      <c r="Y56" s="108">
        <v>2</v>
      </c>
      <c r="Z56" s="108">
        <v>811</v>
      </c>
      <c r="AA56" s="108">
        <v>502</v>
      </c>
      <c r="AB56" s="108">
        <v>0</v>
      </c>
      <c r="AC56" s="108">
        <v>0</v>
      </c>
      <c r="AD56" s="108">
        <v>0</v>
      </c>
    </row>
    <row r="57" spans="1:30" ht="15" x14ac:dyDescent="0.25">
      <c r="A57">
        <v>169</v>
      </c>
      <c r="B57" s="109" t="s">
        <v>192</v>
      </c>
      <c r="C57" s="108">
        <v>7097</v>
      </c>
      <c r="D57" s="108">
        <v>0</v>
      </c>
      <c r="E57" s="108">
        <v>0</v>
      </c>
      <c r="F57" s="108">
        <v>668</v>
      </c>
      <c r="G57" s="108">
        <v>20</v>
      </c>
      <c r="H57" s="108">
        <v>50</v>
      </c>
      <c r="I57" s="108">
        <v>0</v>
      </c>
      <c r="J57">
        <v>0</v>
      </c>
      <c r="K57">
        <v>0</v>
      </c>
      <c r="L57">
        <v>0</v>
      </c>
      <c r="M57" s="108">
        <v>0</v>
      </c>
      <c r="N57" s="108">
        <v>0</v>
      </c>
      <c r="O57" s="108">
        <v>0</v>
      </c>
      <c r="P57" s="108">
        <v>0</v>
      </c>
      <c r="Q57" s="108">
        <v>0</v>
      </c>
      <c r="R57" s="108">
        <v>0</v>
      </c>
      <c r="S57">
        <v>33400</v>
      </c>
      <c r="T57">
        <v>1366</v>
      </c>
      <c r="U57">
        <v>667</v>
      </c>
      <c r="V57" s="108">
        <v>28</v>
      </c>
      <c r="W57" s="108">
        <v>15306</v>
      </c>
      <c r="X57" s="108">
        <v>374</v>
      </c>
      <c r="Y57" s="108">
        <v>0</v>
      </c>
      <c r="Z57" s="108">
        <v>0</v>
      </c>
      <c r="AA57" s="108">
        <v>0</v>
      </c>
      <c r="AB57" s="108">
        <v>0</v>
      </c>
      <c r="AC57" s="108">
        <v>0</v>
      </c>
      <c r="AD57" s="108">
        <v>0</v>
      </c>
    </row>
    <row r="58" spans="1:30" ht="15" x14ac:dyDescent="0.25">
      <c r="A58">
        <v>171</v>
      </c>
      <c r="B58" s="109" t="s">
        <v>193</v>
      </c>
      <c r="C58" s="108">
        <v>6375</v>
      </c>
      <c r="D58" s="108">
        <v>0</v>
      </c>
      <c r="E58" s="108">
        <v>61</v>
      </c>
      <c r="F58" s="108">
        <v>0</v>
      </c>
      <c r="G58" s="108">
        <v>0</v>
      </c>
      <c r="H58" s="108">
        <v>117</v>
      </c>
      <c r="I58" s="108">
        <v>0</v>
      </c>
      <c r="J58">
        <v>0</v>
      </c>
      <c r="K58">
        <v>0</v>
      </c>
      <c r="L58">
        <v>0</v>
      </c>
      <c r="M58" s="108">
        <v>0</v>
      </c>
      <c r="N58" s="108">
        <v>0</v>
      </c>
      <c r="O58" s="108">
        <v>0</v>
      </c>
      <c r="P58" s="108">
        <v>0</v>
      </c>
      <c r="Q58" s="108">
        <v>0</v>
      </c>
      <c r="R58" s="108">
        <v>0</v>
      </c>
      <c r="S58">
        <v>34640</v>
      </c>
      <c r="T58">
        <v>1034</v>
      </c>
      <c r="U58">
        <v>0</v>
      </c>
      <c r="V58" s="108">
        <v>121</v>
      </c>
      <c r="W58" s="108">
        <v>18336</v>
      </c>
      <c r="X58" s="108">
        <v>469</v>
      </c>
      <c r="Y58" s="108">
        <v>0</v>
      </c>
      <c r="Z58" s="108">
        <v>0</v>
      </c>
      <c r="AA58" s="108">
        <v>4</v>
      </c>
      <c r="AB58" s="108">
        <v>0</v>
      </c>
      <c r="AC58" s="108">
        <v>0</v>
      </c>
      <c r="AD58" s="108">
        <v>0</v>
      </c>
    </row>
    <row r="59" spans="1:30" ht="15" x14ac:dyDescent="0.25">
      <c r="A59">
        <v>172</v>
      </c>
      <c r="B59" s="109" t="s">
        <v>194</v>
      </c>
      <c r="C59" s="108">
        <v>9905</v>
      </c>
      <c r="D59" s="108">
        <v>0</v>
      </c>
      <c r="E59" s="108">
        <v>37</v>
      </c>
      <c r="F59" s="108">
        <v>0</v>
      </c>
      <c r="G59" s="108">
        <v>73</v>
      </c>
      <c r="H59" s="108">
        <v>2023</v>
      </c>
      <c r="I59" s="108">
        <v>0</v>
      </c>
      <c r="J59">
        <v>0</v>
      </c>
      <c r="K59">
        <v>0</v>
      </c>
      <c r="L59">
        <v>0</v>
      </c>
      <c r="M59" s="108">
        <v>0</v>
      </c>
      <c r="N59" s="108">
        <v>0</v>
      </c>
      <c r="O59" s="108">
        <v>0</v>
      </c>
      <c r="P59" s="108">
        <v>0</v>
      </c>
      <c r="Q59" s="108">
        <v>0</v>
      </c>
      <c r="R59" s="108">
        <v>0</v>
      </c>
      <c r="S59">
        <v>36291</v>
      </c>
      <c r="T59">
        <v>1268</v>
      </c>
      <c r="U59">
        <v>0</v>
      </c>
      <c r="V59" s="108">
        <v>585</v>
      </c>
      <c r="W59" s="108">
        <v>20383</v>
      </c>
      <c r="X59" s="108">
        <v>407</v>
      </c>
      <c r="Y59" s="108">
        <v>0</v>
      </c>
      <c r="Z59" s="108">
        <v>0</v>
      </c>
      <c r="AA59" s="108">
        <v>0</v>
      </c>
      <c r="AB59" s="108">
        <v>0</v>
      </c>
      <c r="AC59" s="108">
        <v>0</v>
      </c>
      <c r="AD59" s="108">
        <v>0</v>
      </c>
    </row>
    <row r="60" spans="1:30" ht="15" x14ac:dyDescent="0.25">
      <c r="A60">
        <v>174</v>
      </c>
      <c r="B60" s="109" t="s">
        <v>195</v>
      </c>
      <c r="C60" s="108">
        <v>10673</v>
      </c>
      <c r="D60" s="108">
        <v>0</v>
      </c>
      <c r="E60" s="108">
        <v>0</v>
      </c>
      <c r="F60" s="108">
        <v>640</v>
      </c>
      <c r="G60" s="108">
        <v>15</v>
      </c>
      <c r="H60" s="108">
        <v>2042</v>
      </c>
      <c r="I60" s="108">
        <v>0</v>
      </c>
      <c r="J60">
        <v>0</v>
      </c>
      <c r="K60">
        <v>0</v>
      </c>
      <c r="L60">
        <v>0</v>
      </c>
      <c r="M60" s="108">
        <v>0</v>
      </c>
      <c r="N60" s="108">
        <v>0</v>
      </c>
      <c r="O60" s="108">
        <v>0</v>
      </c>
      <c r="P60" s="108">
        <v>0</v>
      </c>
      <c r="Q60" s="108">
        <v>104</v>
      </c>
      <c r="R60" s="108">
        <v>0</v>
      </c>
      <c r="S60">
        <v>40776</v>
      </c>
      <c r="T60">
        <v>1454</v>
      </c>
      <c r="U60">
        <v>640</v>
      </c>
      <c r="V60" s="108">
        <v>480</v>
      </c>
      <c r="W60" s="108">
        <v>23945</v>
      </c>
      <c r="X60" s="108">
        <v>386</v>
      </c>
      <c r="Y60" s="108">
        <v>0</v>
      </c>
      <c r="Z60" s="108">
        <v>11</v>
      </c>
      <c r="AA60" s="108">
        <v>0</v>
      </c>
      <c r="AB60" s="108">
        <v>0</v>
      </c>
      <c r="AC60" s="108">
        <v>217</v>
      </c>
      <c r="AD60" s="108">
        <v>0</v>
      </c>
    </row>
    <row r="61" spans="1:30" ht="15" x14ac:dyDescent="0.25">
      <c r="A61">
        <v>176</v>
      </c>
      <c r="B61" s="109" t="s">
        <v>196</v>
      </c>
      <c r="C61" s="108">
        <v>14053</v>
      </c>
      <c r="D61" s="108">
        <v>0</v>
      </c>
      <c r="E61" s="108">
        <v>0</v>
      </c>
      <c r="F61" s="108">
        <v>0</v>
      </c>
      <c r="G61" s="108">
        <v>113</v>
      </c>
      <c r="H61" s="108">
        <v>4175</v>
      </c>
      <c r="I61" s="108">
        <v>0</v>
      </c>
      <c r="J61">
        <v>0</v>
      </c>
      <c r="K61">
        <v>0</v>
      </c>
      <c r="L61">
        <v>0</v>
      </c>
      <c r="M61" s="108">
        <v>0</v>
      </c>
      <c r="N61" s="108">
        <v>0</v>
      </c>
      <c r="O61" s="108">
        <v>0</v>
      </c>
      <c r="P61" s="108">
        <v>0</v>
      </c>
      <c r="Q61" s="108">
        <v>0</v>
      </c>
      <c r="R61" s="108">
        <v>0</v>
      </c>
      <c r="S61">
        <v>47310</v>
      </c>
      <c r="T61">
        <v>2021</v>
      </c>
      <c r="U61">
        <v>0</v>
      </c>
      <c r="V61" s="108">
        <v>630</v>
      </c>
      <c r="W61" s="108">
        <v>28871</v>
      </c>
      <c r="X61" s="108">
        <v>400</v>
      </c>
      <c r="Y61" s="108">
        <v>0</v>
      </c>
      <c r="Z61" s="108">
        <v>84</v>
      </c>
      <c r="AA61" s="108">
        <v>0</v>
      </c>
      <c r="AB61" s="108">
        <v>0</v>
      </c>
      <c r="AC61" s="108">
        <v>0</v>
      </c>
      <c r="AD61" s="108">
        <v>0</v>
      </c>
    </row>
    <row r="62" spans="1:30" ht="15" x14ac:dyDescent="0.25">
      <c r="A62">
        <v>177</v>
      </c>
      <c r="B62" s="109" t="s">
        <v>197</v>
      </c>
      <c r="C62" s="108">
        <v>1881</v>
      </c>
      <c r="D62" s="108">
        <v>0</v>
      </c>
      <c r="E62" s="108">
        <v>0</v>
      </c>
      <c r="F62" s="108">
        <v>309</v>
      </c>
      <c r="G62" s="108">
        <v>0</v>
      </c>
      <c r="H62" s="108">
        <v>14</v>
      </c>
      <c r="I62" s="108">
        <v>0</v>
      </c>
      <c r="J62">
        <v>0</v>
      </c>
      <c r="K62">
        <v>0</v>
      </c>
      <c r="L62">
        <v>0</v>
      </c>
      <c r="M62" s="108">
        <v>0</v>
      </c>
      <c r="N62" s="108">
        <v>0</v>
      </c>
      <c r="O62" s="108">
        <v>0</v>
      </c>
      <c r="P62" s="108">
        <v>0</v>
      </c>
      <c r="Q62" s="108">
        <v>0</v>
      </c>
      <c r="R62" s="108">
        <v>0</v>
      </c>
      <c r="S62">
        <v>12637</v>
      </c>
      <c r="T62">
        <v>475</v>
      </c>
      <c r="U62">
        <v>309</v>
      </c>
      <c r="V62" s="108">
        <v>9</v>
      </c>
      <c r="W62" s="108">
        <v>6960</v>
      </c>
      <c r="X62" s="108">
        <v>140</v>
      </c>
      <c r="Y62" s="108">
        <v>0</v>
      </c>
      <c r="Z62" s="108">
        <v>0</v>
      </c>
      <c r="AA62" s="108">
        <v>0</v>
      </c>
      <c r="AB62" s="108">
        <v>0</v>
      </c>
      <c r="AC62" s="108">
        <v>44</v>
      </c>
      <c r="AD62" s="108">
        <v>0</v>
      </c>
    </row>
    <row r="63" spans="1:30" ht="15" x14ac:dyDescent="0.25">
      <c r="A63">
        <v>178</v>
      </c>
      <c r="B63" s="109" t="s">
        <v>198</v>
      </c>
      <c r="C63" s="108">
        <v>8602</v>
      </c>
      <c r="D63" s="108">
        <v>0</v>
      </c>
      <c r="E63" s="108">
        <v>0</v>
      </c>
      <c r="F63" s="108">
        <v>0</v>
      </c>
      <c r="G63" s="108">
        <v>41</v>
      </c>
      <c r="H63" s="108">
        <v>4076</v>
      </c>
      <c r="I63" s="108">
        <v>12</v>
      </c>
      <c r="J63">
        <v>0</v>
      </c>
      <c r="K63">
        <v>0</v>
      </c>
      <c r="L63">
        <v>0</v>
      </c>
      <c r="M63" s="108">
        <v>0</v>
      </c>
      <c r="N63" s="108">
        <v>0</v>
      </c>
      <c r="O63" s="108">
        <v>0</v>
      </c>
      <c r="P63" s="108">
        <v>0</v>
      </c>
      <c r="Q63" s="108">
        <v>0</v>
      </c>
      <c r="R63" s="108">
        <v>0</v>
      </c>
      <c r="S63">
        <v>46686</v>
      </c>
      <c r="T63">
        <v>1594</v>
      </c>
      <c r="U63">
        <v>0</v>
      </c>
      <c r="V63" s="108">
        <v>188</v>
      </c>
      <c r="W63" s="108">
        <v>29157</v>
      </c>
      <c r="X63" s="108">
        <v>537</v>
      </c>
      <c r="Y63" s="108">
        <v>0</v>
      </c>
      <c r="Z63" s="108">
        <v>329</v>
      </c>
      <c r="AA63" s="108">
        <v>0</v>
      </c>
      <c r="AB63" s="108">
        <v>0</v>
      </c>
      <c r="AC63" s="108">
        <v>0</v>
      </c>
      <c r="AD63" s="108">
        <v>0</v>
      </c>
    </row>
    <row r="64" spans="1:30" ht="15" x14ac:dyDescent="0.25">
      <c r="A64">
        <v>179</v>
      </c>
      <c r="B64" s="109" t="s">
        <v>199</v>
      </c>
      <c r="C64" s="108">
        <v>315008</v>
      </c>
      <c r="D64" s="108">
        <v>0</v>
      </c>
      <c r="E64" s="108">
        <v>0</v>
      </c>
      <c r="F64" s="108">
        <v>0</v>
      </c>
      <c r="G64" s="108">
        <v>2111</v>
      </c>
      <c r="H64" s="108">
        <v>74485</v>
      </c>
      <c r="I64" s="108">
        <v>20103</v>
      </c>
      <c r="J64">
        <v>0</v>
      </c>
      <c r="K64">
        <v>0</v>
      </c>
      <c r="L64">
        <v>0</v>
      </c>
      <c r="M64" s="108">
        <v>0</v>
      </c>
      <c r="N64" s="108">
        <v>0</v>
      </c>
      <c r="O64" s="108">
        <v>0</v>
      </c>
      <c r="P64" s="108">
        <v>0</v>
      </c>
      <c r="Q64" s="108">
        <v>0</v>
      </c>
      <c r="R64" s="108">
        <v>0</v>
      </c>
      <c r="S64">
        <v>934412</v>
      </c>
      <c r="T64">
        <v>54039</v>
      </c>
      <c r="U64">
        <v>0</v>
      </c>
      <c r="V64" s="108">
        <v>24253</v>
      </c>
      <c r="W64" s="108">
        <v>470462</v>
      </c>
      <c r="X64" s="108">
        <v>29402</v>
      </c>
      <c r="Y64" s="108">
        <v>1</v>
      </c>
      <c r="Z64" s="108">
        <v>1838</v>
      </c>
      <c r="AA64" s="108">
        <v>1368</v>
      </c>
      <c r="AB64" s="108">
        <v>0</v>
      </c>
      <c r="AC64" s="108">
        <v>0</v>
      </c>
      <c r="AD64" s="108">
        <v>0</v>
      </c>
    </row>
    <row r="65" spans="1:30" ht="15" x14ac:dyDescent="0.25">
      <c r="A65">
        <v>181</v>
      </c>
      <c r="B65" s="109" t="s">
        <v>200</v>
      </c>
      <c r="C65" s="108">
        <v>1124</v>
      </c>
      <c r="D65" s="108">
        <v>0</v>
      </c>
      <c r="E65" s="108">
        <v>0</v>
      </c>
      <c r="F65" s="108">
        <v>0</v>
      </c>
      <c r="G65" s="108">
        <v>0</v>
      </c>
      <c r="H65" s="108">
        <v>22</v>
      </c>
      <c r="I65" s="108">
        <v>48</v>
      </c>
      <c r="J65">
        <v>0</v>
      </c>
      <c r="K65">
        <v>0</v>
      </c>
      <c r="L65">
        <v>0</v>
      </c>
      <c r="M65" s="108">
        <v>0</v>
      </c>
      <c r="N65" s="108">
        <v>0</v>
      </c>
      <c r="O65" s="108">
        <v>0</v>
      </c>
      <c r="P65" s="108">
        <v>0</v>
      </c>
      <c r="Q65" s="108">
        <v>0</v>
      </c>
      <c r="R65" s="108">
        <v>0</v>
      </c>
      <c r="S65">
        <v>12344</v>
      </c>
      <c r="T65">
        <v>354</v>
      </c>
      <c r="U65">
        <v>0</v>
      </c>
      <c r="V65" s="108">
        <v>55</v>
      </c>
      <c r="W65" s="108">
        <v>7428</v>
      </c>
      <c r="X65" s="108">
        <v>226</v>
      </c>
      <c r="Y65" s="108">
        <v>0</v>
      </c>
      <c r="Z65" s="108">
        <v>0</v>
      </c>
      <c r="AA65" s="108">
        <v>2</v>
      </c>
      <c r="AB65" s="108">
        <v>0</v>
      </c>
      <c r="AC65" s="108">
        <v>0</v>
      </c>
      <c r="AD65" s="108">
        <v>0</v>
      </c>
    </row>
    <row r="66" spans="1:30" ht="15" x14ac:dyDescent="0.25">
      <c r="A66">
        <v>182</v>
      </c>
      <c r="B66" s="109" t="s">
        <v>127</v>
      </c>
      <c r="C66" s="108">
        <v>62287</v>
      </c>
      <c r="D66" s="108">
        <v>0</v>
      </c>
      <c r="E66" s="108">
        <v>381</v>
      </c>
      <c r="F66" s="108">
        <v>876</v>
      </c>
      <c r="G66" s="108">
        <v>220</v>
      </c>
      <c r="H66" s="108">
        <v>28597</v>
      </c>
      <c r="I66" s="108">
        <v>0</v>
      </c>
      <c r="J66">
        <v>0</v>
      </c>
      <c r="K66">
        <v>0</v>
      </c>
      <c r="L66">
        <v>0</v>
      </c>
      <c r="M66" s="108">
        <v>0</v>
      </c>
      <c r="N66" s="108">
        <v>0</v>
      </c>
      <c r="O66" s="108">
        <v>0</v>
      </c>
      <c r="P66" s="108">
        <v>0</v>
      </c>
      <c r="Q66" s="108">
        <v>0</v>
      </c>
      <c r="R66" s="108">
        <v>0</v>
      </c>
      <c r="S66">
        <v>185169</v>
      </c>
      <c r="T66">
        <v>8197</v>
      </c>
      <c r="U66">
        <v>876</v>
      </c>
      <c r="V66" s="108">
        <v>3482</v>
      </c>
      <c r="W66" s="108">
        <v>113103</v>
      </c>
      <c r="X66" s="108">
        <v>1798</v>
      </c>
      <c r="Y66" s="108">
        <v>0</v>
      </c>
      <c r="Z66" s="108">
        <v>243</v>
      </c>
      <c r="AA66" s="108">
        <v>0</v>
      </c>
      <c r="AB66" s="108">
        <v>9</v>
      </c>
      <c r="AC66" s="108">
        <v>9</v>
      </c>
      <c r="AD66" s="108">
        <v>19</v>
      </c>
    </row>
    <row r="67" spans="1:30" ht="15" x14ac:dyDescent="0.25">
      <c r="A67">
        <v>186</v>
      </c>
      <c r="B67" s="109" t="s">
        <v>201</v>
      </c>
      <c r="C67" s="108">
        <v>68434</v>
      </c>
      <c r="D67" s="108">
        <v>0</v>
      </c>
      <c r="E67" s="108">
        <v>1184</v>
      </c>
      <c r="F67" s="108">
        <v>8100</v>
      </c>
      <c r="G67" s="108">
        <v>546</v>
      </c>
      <c r="H67" s="108">
        <v>16094</v>
      </c>
      <c r="I67" s="108">
        <v>0</v>
      </c>
      <c r="J67">
        <v>0</v>
      </c>
      <c r="K67">
        <v>0</v>
      </c>
      <c r="L67">
        <v>0</v>
      </c>
      <c r="M67" s="108">
        <v>0</v>
      </c>
      <c r="N67" s="108">
        <v>0</v>
      </c>
      <c r="O67" s="108">
        <v>0</v>
      </c>
      <c r="P67" s="108">
        <v>0</v>
      </c>
      <c r="Q67" s="108">
        <v>0</v>
      </c>
      <c r="R67" s="108">
        <v>0</v>
      </c>
      <c r="S67">
        <v>259398</v>
      </c>
      <c r="T67">
        <v>15149</v>
      </c>
      <c r="U67">
        <v>8100</v>
      </c>
      <c r="V67" s="108">
        <v>4726</v>
      </c>
      <c r="W67" s="108">
        <v>135870</v>
      </c>
      <c r="X67" s="108">
        <v>2777</v>
      </c>
      <c r="Y67" s="108">
        <v>1</v>
      </c>
      <c r="Z67" s="108">
        <v>121</v>
      </c>
      <c r="AA67" s="108">
        <v>7</v>
      </c>
      <c r="AB67" s="108">
        <v>182</v>
      </c>
      <c r="AC67" s="108">
        <v>3832</v>
      </c>
      <c r="AD67" s="108">
        <v>47</v>
      </c>
    </row>
    <row r="68" spans="1:30" ht="15" x14ac:dyDescent="0.25">
      <c r="A68">
        <v>202</v>
      </c>
      <c r="B68" s="109" t="s">
        <v>202</v>
      </c>
      <c r="C68" s="108">
        <v>54181</v>
      </c>
      <c r="D68" s="108">
        <v>0</v>
      </c>
      <c r="E68" s="108">
        <v>292</v>
      </c>
      <c r="F68" s="108">
        <v>2059</v>
      </c>
      <c r="G68" s="108">
        <v>403</v>
      </c>
      <c r="H68" s="108">
        <v>11626</v>
      </c>
      <c r="I68" s="108">
        <v>0</v>
      </c>
      <c r="J68">
        <v>0</v>
      </c>
      <c r="K68">
        <v>0</v>
      </c>
      <c r="L68">
        <v>0</v>
      </c>
      <c r="M68" s="108">
        <v>0</v>
      </c>
      <c r="N68" s="108">
        <v>0</v>
      </c>
      <c r="O68" s="108">
        <v>0</v>
      </c>
      <c r="P68" s="108">
        <v>127</v>
      </c>
      <c r="Q68" s="108">
        <v>2059</v>
      </c>
      <c r="R68" s="108">
        <v>0</v>
      </c>
      <c r="S68">
        <v>206692</v>
      </c>
      <c r="T68">
        <v>7877</v>
      </c>
      <c r="U68">
        <v>2059</v>
      </c>
      <c r="V68" s="108">
        <v>1791</v>
      </c>
      <c r="W68" s="108">
        <v>102298</v>
      </c>
      <c r="X68" s="108">
        <v>2242</v>
      </c>
      <c r="Y68" s="108">
        <v>0</v>
      </c>
      <c r="Z68" s="108">
        <v>274</v>
      </c>
      <c r="AA68" s="108">
        <v>0</v>
      </c>
      <c r="AB68" s="108">
        <v>0</v>
      </c>
      <c r="AC68" s="108">
        <v>2025</v>
      </c>
      <c r="AD68" s="108">
        <v>0</v>
      </c>
    </row>
    <row r="69" spans="1:30" ht="15" x14ac:dyDescent="0.25">
      <c r="A69">
        <v>204</v>
      </c>
      <c r="B69" s="109" t="s">
        <v>203</v>
      </c>
      <c r="C69" s="108">
        <v>6208</v>
      </c>
      <c r="D69" s="108">
        <v>0</v>
      </c>
      <c r="E69" s="108">
        <v>0</v>
      </c>
      <c r="F69" s="108">
        <v>0</v>
      </c>
      <c r="G69" s="108">
        <v>43</v>
      </c>
      <c r="H69" s="108">
        <v>1270</v>
      </c>
      <c r="I69" s="108">
        <v>0</v>
      </c>
      <c r="J69">
        <v>0</v>
      </c>
      <c r="K69">
        <v>0</v>
      </c>
      <c r="L69">
        <v>0</v>
      </c>
      <c r="M69" s="108">
        <v>0</v>
      </c>
      <c r="N69" s="108">
        <v>0</v>
      </c>
      <c r="O69" s="108">
        <v>0</v>
      </c>
      <c r="P69" s="108">
        <v>0</v>
      </c>
      <c r="Q69" s="108">
        <v>0</v>
      </c>
      <c r="R69" s="108">
        <v>0</v>
      </c>
      <c r="S69">
        <v>27455</v>
      </c>
      <c r="T69">
        <v>709</v>
      </c>
      <c r="U69">
        <v>0</v>
      </c>
      <c r="V69" s="108">
        <v>285</v>
      </c>
      <c r="W69" s="108">
        <v>16661</v>
      </c>
      <c r="X69" s="108">
        <v>273</v>
      </c>
      <c r="Y69" s="108">
        <v>0</v>
      </c>
      <c r="Z69" s="108">
        <v>6</v>
      </c>
      <c r="AA69" s="108">
        <v>0</v>
      </c>
      <c r="AB69" s="108">
        <v>0</v>
      </c>
      <c r="AC69" s="108">
        <v>0</v>
      </c>
      <c r="AD69" s="108">
        <v>0</v>
      </c>
    </row>
    <row r="70" spans="1:30" ht="15" x14ac:dyDescent="0.25">
      <c r="A70">
        <v>205</v>
      </c>
      <c r="B70" s="109" t="s">
        <v>204</v>
      </c>
      <c r="C70" s="108">
        <v>73662</v>
      </c>
      <c r="D70" s="108">
        <v>0</v>
      </c>
      <c r="E70" s="108">
        <v>876</v>
      </c>
      <c r="F70" s="108">
        <v>5787</v>
      </c>
      <c r="G70" s="108">
        <v>0</v>
      </c>
      <c r="H70" s="108">
        <v>4849</v>
      </c>
      <c r="I70" s="108">
        <v>3866</v>
      </c>
      <c r="J70">
        <v>0</v>
      </c>
      <c r="K70">
        <v>0</v>
      </c>
      <c r="L70">
        <v>0</v>
      </c>
      <c r="M70" s="108">
        <v>0</v>
      </c>
      <c r="N70" s="108">
        <v>0</v>
      </c>
      <c r="O70" s="108">
        <v>0</v>
      </c>
      <c r="P70" s="108">
        <v>0</v>
      </c>
      <c r="Q70" s="108">
        <v>0</v>
      </c>
      <c r="R70" s="108">
        <v>0</v>
      </c>
      <c r="S70">
        <v>308074</v>
      </c>
      <c r="T70">
        <v>13353</v>
      </c>
      <c r="U70">
        <v>5787</v>
      </c>
      <c r="V70" s="108">
        <v>512</v>
      </c>
      <c r="W70" s="108">
        <v>132985</v>
      </c>
      <c r="X70" s="108">
        <v>6987</v>
      </c>
      <c r="Y70" s="108">
        <v>0</v>
      </c>
      <c r="Z70" s="108">
        <v>0</v>
      </c>
      <c r="AA70" s="108">
        <v>321</v>
      </c>
      <c r="AB70" s="108">
        <v>0</v>
      </c>
      <c r="AC70" s="108">
        <v>29</v>
      </c>
      <c r="AD70" s="108">
        <v>43</v>
      </c>
    </row>
    <row r="71" spans="1:30" ht="15" x14ac:dyDescent="0.25">
      <c r="A71">
        <v>208</v>
      </c>
      <c r="B71" s="109" t="s">
        <v>205</v>
      </c>
      <c r="C71" s="108">
        <v>21745</v>
      </c>
      <c r="D71" s="108">
        <v>0</v>
      </c>
      <c r="E71" s="108">
        <v>288</v>
      </c>
      <c r="F71" s="108">
        <v>11963</v>
      </c>
      <c r="G71" s="108">
        <v>602</v>
      </c>
      <c r="H71" s="108">
        <v>10410</v>
      </c>
      <c r="I71" s="108">
        <v>46</v>
      </c>
      <c r="J71">
        <v>0</v>
      </c>
      <c r="K71">
        <v>0</v>
      </c>
      <c r="L71">
        <v>0</v>
      </c>
      <c r="M71" s="108">
        <v>0</v>
      </c>
      <c r="N71" s="108">
        <v>0</v>
      </c>
      <c r="O71" s="108">
        <v>0</v>
      </c>
      <c r="P71" s="108">
        <v>402</v>
      </c>
      <c r="Q71" s="108">
        <v>471</v>
      </c>
      <c r="R71" s="108">
        <v>0</v>
      </c>
      <c r="S71">
        <v>83359</v>
      </c>
      <c r="T71">
        <v>5005</v>
      </c>
      <c r="U71">
        <v>11253</v>
      </c>
      <c r="V71" s="108">
        <v>1613</v>
      </c>
      <c r="W71" s="108">
        <v>41222</v>
      </c>
      <c r="X71" s="108">
        <v>1152</v>
      </c>
      <c r="Y71" s="108">
        <v>0</v>
      </c>
      <c r="Z71" s="108">
        <v>102</v>
      </c>
      <c r="AA71" s="108">
        <v>3</v>
      </c>
      <c r="AB71" s="108">
        <v>271</v>
      </c>
      <c r="AC71" s="108">
        <v>2965</v>
      </c>
      <c r="AD71" s="108">
        <v>14</v>
      </c>
    </row>
    <row r="72" spans="1:30" ht="15" x14ac:dyDescent="0.25">
      <c r="A72">
        <v>211</v>
      </c>
      <c r="B72" s="109" t="s">
        <v>206</v>
      </c>
      <c r="C72" s="108">
        <v>73567</v>
      </c>
      <c r="D72" s="108">
        <v>0</v>
      </c>
      <c r="E72" s="108">
        <v>35</v>
      </c>
      <c r="F72" s="108">
        <v>0</v>
      </c>
      <c r="G72" s="108">
        <v>153</v>
      </c>
      <c r="H72" s="108">
        <v>28534</v>
      </c>
      <c r="I72" s="108">
        <v>0</v>
      </c>
      <c r="J72">
        <v>0</v>
      </c>
      <c r="K72">
        <v>0</v>
      </c>
      <c r="L72">
        <v>0</v>
      </c>
      <c r="M72" s="108">
        <v>0</v>
      </c>
      <c r="N72" s="108">
        <v>0</v>
      </c>
      <c r="O72" s="108">
        <v>0</v>
      </c>
      <c r="P72" s="108">
        <v>0</v>
      </c>
      <c r="Q72" s="108">
        <v>0</v>
      </c>
      <c r="R72" s="108">
        <v>0</v>
      </c>
      <c r="S72">
        <v>214111</v>
      </c>
      <c r="T72">
        <v>12707</v>
      </c>
      <c r="U72">
        <v>0</v>
      </c>
      <c r="V72" s="108">
        <v>193</v>
      </c>
      <c r="W72" s="108">
        <v>110086</v>
      </c>
      <c r="X72" s="108">
        <v>2057</v>
      </c>
      <c r="Y72" s="108">
        <v>0</v>
      </c>
      <c r="Z72" s="108">
        <v>183</v>
      </c>
      <c r="AA72" s="108">
        <v>0</v>
      </c>
      <c r="AB72" s="108">
        <v>0</v>
      </c>
      <c r="AC72" s="108">
        <v>0</v>
      </c>
      <c r="AD72" s="108">
        <v>0</v>
      </c>
    </row>
    <row r="73" spans="1:30" ht="15" x14ac:dyDescent="0.25">
      <c r="A73">
        <v>213</v>
      </c>
      <c r="B73" s="109" t="s">
        <v>207</v>
      </c>
      <c r="C73" s="108">
        <v>9259</v>
      </c>
      <c r="D73" s="108">
        <v>0</v>
      </c>
      <c r="E73" s="108">
        <v>0</v>
      </c>
      <c r="F73" s="108">
        <v>638</v>
      </c>
      <c r="G73" s="108">
        <v>36</v>
      </c>
      <c r="H73" s="108">
        <v>2979</v>
      </c>
      <c r="I73" s="108">
        <v>62</v>
      </c>
      <c r="J73">
        <v>0</v>
      </c>
      <c r="K73">
        <v>0</v>
      </c>
      <c r="L73">
        <v>0</v>
      </c>
      <c r="M73" s="108">
        <v>0</v>
      </c>
      <c r="N73" s="108">
        <v>0</v>
      </c>
      <c r="O73" s="108">
        <v>0</v>
      </c>
      <c r="P73" s="108">
        <v>0</v>
      </c>
      <c r="Q73" s="108">
        <v>0</v>
      </c>
      <c r="R73" s="108">
        <v>0</v>
      </c>
      <c r="S73">
        <v>44577</v>
      </c>
      <c r="T73">
        <v>1978</v>
      </c>
      <c r="U73">
        <v>638</v>
      </c>
      <c r="V73" s="108">
        <v>237</v>
      </c>
      <c r="W73" s="108">
        <v>26561</v>
      </c>
      <c r="X73" s="108">
        <v>554</v>
      </c>
      <c r="Y73" s="108">
        <v>0</v>
      </c>
      <c r="Z73" s="108">
        <v>67</v>
      </c>
      <c r="AA73" s="108">
        <v>9</v>
      </c>
      <c r="AB73" s="108">
        <v>0</v>
      </c>
      <c r="AC73" s="108">
        <v>481</v>
      </c>
      <c r="AD73" s="108">
        <v>0</v>
      </c>
    </row>
    <row r="74" spans="1:30" ht="15" x14ac:dyDescent="0.25">
      <c r="A74">
        <v>214</v>
      </c>
      <c r="B74" s="109" t="s">
        <v>208</v>
      </c>
      <c r="C74" s="108">
        <v>14547</v>
      </c>
      <c r="D74" s="108">
        <v>0</v>
      </c>
      <c r="E74" s="108">
        <v>111</v>
      </c>
      <c r="F74" s="108">
        <v>0</v>
      </c>
      <c r="G74" s="108">
        <v>141</v>
      </c>
      <c r="H74" s="108">
        <v>839</v>
      </c>
      <c r="I74" s="108">
        <v>0</v>
      </c>
      <c r="J74">
        <v>0</v>
      </c>
      <c r="K74">
        <v>0</v>
      </c>
      <c r="L74">
        <v>0</v>
      </c>
      <c r="M74" s="108">
        <v>0</v>
      </c>
      <c r="N74" s="108">
        <v>0</v>
      </c>
      <c r="O74" s="108">
        <v>0</v>
      </c>
      <c r="P74" s="108">
        <v>0</v>
      </c>
      <c r="Q74" s="108">
        <v>0</v>
      </c>
      <c r="R74" s="108">
        <v>0</v>
      </c>
      <c r="S74">
        <v>80213</v>
      </c>
      <c r="T74">
        <v>2508</v>
      </c>
      <c r="U74">
        <v>0</v>
      </c>
      <c r="V74" s="108">
        <v>963</v>
      </c>
      <c r="W74" s="108">
        <v>40962</v>
      </c>
      <c r="X74" s="108">
        <v>1153</v>
      </c>
      <c r="Y74" s="108">
        <v>0</v>
      </c>
      <c r="Z74" s="108">
        <v>0</v>
      </c>
      <c r="AA74" s="108">
        <v>0</v>
      </c>
      <c r="AB74" s="108">
        <v>0</v>
      </c>
      <c r="AC74" s="108">
        <v>0</v>
      </c>
      <c r="AD74" s="108">
        <v>0</v>
      </c>
    </row>
    <row r="75" spans="1:30" ht="15" x14ac:dyDescent="0.25">
      <c r="A75">
        <v>216</v>
      </c>
      <c r="B75" s="109" t="s">
        <v>209</v>
      </c>
      <c r="C75" s="108">
        <v>6128</v>
      </c>
      <c r="D75" s="108">
        <v>0</v>
      </c>
      <c r="E75" s="108">
        <v>0</v>
      </c>
      <c r="F75" s="108">
        <v>167</v>
      </c>
      <c r="G75" s="108">
        <v>0</v>
      </c>
      <c r="H75" s="108">
        <v>6</v>
      </c>
      <c r="I75" s="108">
        <v>0</v>
      </c>
      <c r="J75">
        <v>0</v>
      </c>
      <c r="K75">
        <v>0</v>
      </c>
      <c r="L75">
        <v>0</v>
      </c>
      <c r="M75" s="108">
        <v>0</v>
      </c>
      <c r="N75" s="108">
        <v>0</v>
      </c>
      <c r="O75" s="108">
        <v>0</v>
      </c>
      <c r="P75" s="108">
        <v>0</v>
      </c>
      <c r="Q75" s="108">
        <v>0</v>
      </c>
      <c r="R75" s="108">
        <v>0</v>
      </c>
      <c r="S75">
        <v>15235</v>
      </c>
      <c r="T75">
        <v>943</v>
      </c>
      <c r="U75">
        <v>167</v>
      </c>
      <c r="V75" s="108">
        <v>117</v>
      </c>
      <c r="W75" s="108">
        <v>6986</v>
      </c>
      <c r="X75" s="108">
        <v>128</v>
      </c>
      <c r="Y75" s="108">
        <v>0</v>
      </c>
      <c r="Z75" s="108">
        <v>0</v>
      </c>
      <c r="AA75" s="108">
        <v>0</v>
      </c>
      <c r="AB75" s="108">
        <v>0</v>
      </c>
      <c r="AC75" s="108">
        <v>0</v>
      </c>
      <c r="AD75" s="108">
        <v>0</v>
      </c>
    </row>
    <row r="76" spans="1:30" ht="15" x14ac:dyDescent="0.25">
      <c r="A76">
        <v>217</v>
      </c>
      <c r="B76" s="109" t="s">
        <v>210</v>
      </c>
      <c r="C76" s="108">
        <v>6745</v>
      </c>
      <c r="D76" s="108">
        <v>0</v>
      </c>
      <c r="E76" s="108">
        <v>0</v>
      </c>
      <c r="F76" s="108">
        <v>0</v>
      </c>
      <c r="G76" s="108">
        <v>0</v>
      </c>
      <c r="H76" s="108">
        <v>84</v>
      </c>
      <c r="I76" s="108">
        <v>0</v>
      </c>
      <c r="J76">
        <v>0</v>
      </c>
      <c r="K76">
        <v>0</v>
      </c>
      <c r="L76">
        <v>0</v>
      </c>
      <c r="M76" s="108">
        <v>0</v>
      </c>
      <c r="N76" s="108">
        <v>0</v>
      </c>
      <c r="O76" s="108">
        <v>0</v>
      </c>
      <c r="P76" s="108">
        <v>0</v>
      </c>
      <c r="Q76" s="108">
        <v>0</v>
      </c>
      <c r="R76" s="108">
        <v>0</v>
      </c>
      <c r="S76">
        <v>36387</v>
      </c>
      <c r="T76">
        <v>1071</v>
      </c>
      <c r="U76">
        <v>0</v>
      </c>
      <c r="V76" s="108">
        <v>119</v>
      </c>
      <c r="W76" s="108">
        <v>18437</v>
      </c>
      <c r="X76" s="108">
        <v>462</v>
      </c>
      <c r="Y76" s="108">
        <v>0</v>
      </c>
      <c r="Z76" s="108">
        <v>0</v>
      </c>
      <c r="AA76" s="108">
        <v>20</v>
      </c>
      <c r="AB76" s="108">
        <v>0</v>
      </c>
      <c r="AC76" s="108">
        <v>0</v>
      </c>
      <c r="AD76" s="108">
        <v>0</v>
      </c>
    </row>
    <row r="77" spans="1:30" ht="15" x14ac:dyDescent="0.25">
      <c r="A77">
        <v>218</v>
      </c>
      <c r="B77" s="109" t="s">
        <v>211</v>
      </c>
      <c r="C77" s="108">
        <v>1242</v>
      </c>
      <c r="D77" s="108">
        <v>0</v>
      </c>
      <c r="E77" s="108">
        <v>0</v>
      </c>
      <c r="F77" s="108">
        <v>147</v>
      </c>
      <c r="G77" s="108">
        <v>0</v>
      </c>
      <c r="H77" s="108">
        <v>40</v>
      </c>
      <c r="I77" s="108">
        <v>0</v>
      </c>
      <c r="J77">
        <v>0</v>
      </c>
      <c r="K77">
        <v>0</v>
      </c>
      <c r="L77">
        <v>0</v>
      </c>
      <c r="M77" s="108">
        <v>0</v>
      </c>
      <c r="N77" s="108">
        <v>0</v>
      </c>
      <c r="O77" s="108">
        <v>0</v>
      </c>
      <c r="P77" s="108">
        <v>0</v>
      </c>
      <c r="Q77" s="108">
        <v>0</v>
      </c>
      <c r="R77" s="108">
        <v>0</v>
      </c>
      <c r="S77">
        <v>9288</v>
      </c>
      <c r="T77">
        <v>249</v>
      </c>
      <c r="U77">
        <v>147</v>
      </c>
      <c r="V77" s="108">
        <v>12</v>
      </c>
      <c r="W77" s="108">
        <v>5635</v>
      </c>
      <c r="X77" s="108">
        <v>124</v>
      </c>
      <c r="Y77" s="108">
        <v>0</v>
      </c>
      <c r="Z77" s="108">
        <v>0</v>
      </c>
      <c r="AA77" s="108">
        <v>0</v>
      </c>
      <c r="AB77" s="108">
        <v>0</v>
      </c>
      <c r="AC77" s="108">
        <v>0</v>
      </c>
      <c r="AD77" s="108">
        <v>0</v>
      </c>
    </row>
    <row r="78" spans="1:30" ht="15" x14ac:dyDescent="0.25">
      <c r="A78">
        <v>224</v>
      </c>
      <c r="B78" s="109" t="s">
        <v>212</v>
      </c>
      <c r="C78" s="108">
        <v>13798</v>
      </c>
      <c r="D78" s="108">
        <v>0</v>
      </c>
      <c r="E78" s="108">
        <v>0</v>
      </c>
      <c r="F78" s="108">
        <v>0</v>
      </c>
      <c r="G78" s="108">
        <v>8</v>
      </c>
      <c r="H78" s="108">
        <v>468</v>
      </c>
      <c r="I78" s="108">
        <v>0</v>
      </c>
      <c r="J78">
        <v>0</v>
      </c>
      <c r="K78">
        <v>0</v>
      </c>
      <c r="L78">
        <v>0</v>
      </c>
      <c r="M78" s="108">
        <v>0</v>
      </c>
      <c r="N78" s="108">
        <v>0</v>
      </c>
      <c r="O78" s="108">
        <v>0</v>
      </c>
      <c r="P78" s="108">
        <v>0</v>
      </c>
      <c r="Q78" s="108">
        <v>0</v>
      </c>
      <c r="R78" s="108">
        <v>0</v>
      </c>
      <c r="S78">
        <v>58880</v>
      </c>
      <c r="T78">
        <v>2013</v>
      </c>
      <c r="U78">
        <v>0</v>
      </c>
      <c r="V78" s="108">
        <v>660</v>
      </c>
      <c r="W78" s="108">
        <v>30999</v>
      </c>
      <c r="X78" s="108">
        <v>604</v>
      </c>
      <c r="Y78" s="108">
        <v>0</v>
      </c>
      <c r="Z78" s="108">
        <v>0</v>
      </c>
      <c r="AA78" s="108">
        <v>0</v>
      </c>
      <c r="AB78" s="108">
        <v>0</v>
      </c>
      <c r="AC78" s="108">
        <v>0</v>
      </c>
      <c r="AD78" s="108">
        <v>0</v>
      </c>
    </row>
    <row r="79" spans="1:30" ht="15" x14ac:dyDescent="0.25">
      <c r="A79">
        <v>226</v>
      </c>
      <c r="B79" s="109" t="s">
        <v>213</v>
      </c>
      <c r="C79" s="108">
        <v>11358</v>
      </c>
      <c r="D79" s="108">
        <v>0</v>
      </c>
      <c r="E79" s="108">
        <v>0</v>
      </c>
      <c r="F79" s="108">
        <v>0</v>
      </c>
      <c r="G79" s="108">
        <v>30</v>
      </c>
      <c r="H79" s="108">
        <v>99</v>
      </c>
      <c r="I79" s="108">
        <v>0</v>
      </c>
      <c r="J79">
        <v>0</v>
      </c>
      <c r="K79">
        <v>0</v>
      </c>
      <c r="L79">
        <v>0</v>
      </c>
      <c r="M79" s="108">
        <v>0</v>
      </c>
      <c r="N79" s="108">
        <v>0</v>
      </c>
      <c r="O79" s="108">
        <v>0</v>
      </c>
      <c r="P79" s="108">
        <v>0</v>
      </c>
      <c r="Q79" s="108">
        <v>0</v>
      </c>
      <c r="R79" s="108">
        <v>0</v>
      </c>
      <c r="S79">
        <v>36119</v>
      </c>
      <c r="T79">
        <v>1892</v>
      </c>
      <c r="U79">
        <v>0</v>
      </c>
      <c r="V79" s="108">
        <v>117</v>
      </c>
      <c r="W79" s="108">
        <v>16657</v>
      </c>
      <c r="X79" s="108">
        <v>353</v>
      </c>
      <c r="Y79" s="108">
        <v>0</v>
      </c>
      <c r="Z79" s="108">
        <v>6</v>
      </c>
      <c r="AA79" s="108">
        <v>0</v>
      </c>
      <c r="AB79" s="108">
        <v>0</v>
      </c>
      <c r="AC79" s="108">
        <v>0</v>
      </c>
      <c r="AD79" s="108">
        <v>0</v>
      </c>
    </row>
    <row r="80" spans="1:30" ht="15" x14ac:dyDescent="0.25">
      <c r="A80">
        <v>230</v>
      </c>
      <c r="B80" s="109" t="s">
        <v>214</v>
      </c>
      <c r="C80" s="108">
        <v>1556</v>
      </c>
      <c r="D80" s="108">
        <v>0</v>
      </c>
      <c r="E80" s="108">
        <v>0</v>
      </c>
      <c r="F80" s="108">
        <v>881</v>
      </c>
      <c r="G80" s="108">
        <v>0</v>
      </c>
      <c r="H80" s="108">
        <v>46</v>
      </c>
      <c r="I80" s="108">
        <v>0</v>
      </c>
      <c r="J80">
        <v>0</v>
      </c>
      <c r="K80">
        <v>0</v>
      </c>
      <c r="L80">
        <v>0</v>
      </c>
      <c r="M80" s="108">
        <v>0</v>
      </c>
      <c r="N80" s="108">
        <v>0</v>
      </c>
      <c r="O80" s="108">
        <v>0</v>
      </c>
      <c r="P80" s="108">
        <v>0</v>
      </c>
      <c r="Q80" s="108">
        <v>13</v>
      </c>
      <c r="R80" s="108">
        <v>0</v>
      </c>
      <c r="S80">
        <v>16067</v>
      </c>
      <c r="T80">
        <v>830</v>
      </c>
      <c r="U80">
        <v>883</v>
      </c>
      <c r="V80" s="108">
        <v>149</v>
      </c>
      <c r="W80" s="108">
        <v>9355</v>
      </c>
      <c r="X80" s="108">
        <v>387</v>
      </c>
      <c r="Y80" s="108">
        <v>0</v>
      </c>
      <c r="Z80" s="108">
        <v>0</v>
      </c>
      <c r="AA80" s="108">
        <v>0</v>
      </c>
      <c r="AB80" s="108">
        <v>0</v>
      </c>
      <c r="AC80" s="108">
        <v>22</v>
      </c>
      <c r="AD80" s="108">
        <v>1</v>
      </c>
    </row>
    <row r="81" spans="1:30" ht="15" x14ac:dyDescent="0.25">
      <c r="A81">
        <v>231</v>
      </c>
      <c r="B81" s="109" t="s">
        <v>215</v>
      </c>
      <c r="C81" s="108">
        <v>4154</v>
      </c>
      <c r="D81" s="108">
        <v>0</v>
      </c>
      <c r="E81" s="108">
        <v>0</v>
      </c>
      <c r="F81" s="108">
        <v>0</v>
      </c>
      <c r="G81" s="108">
        <v>0</v>
      </c>
      <c r="H81" s="108">
        <v>449</v>
      </c>
      <c r="I81" s="108">
        <v>25</v>
      </c>
      <c r="J81">
        <v>0</v>
      </c>
      <c r="K81">
        <v>0</v>
      </c>
      <c r="L81">
        <v>0</v>
      </c>
      <c r="M81" s="108">
        <v>0</v>
      </c>
      <c r="N81" s="108">
        <v>0</v>
      </c>
      <c r="O81" s="108">
        <v>0</v>
      </c>
      <c r="P81" s="108">
        <v>0</v>
      </c>
      <c r="Q81" s="108">
        <v>0</v>
      </c>
      <c r="R81" s="108">
        <v>0</v>
      </c>
      <c r="S81">
        <v>11884</v>
      </c>
      <c r="T81">
        <v>900</v>
      </c>
      <c r="U81">
        <v>0</v>
      </c>
      <c r="V81" s="108">
        <v>0</v>
      </c>
      <c r="W81" s="108">
        <v>5718</v>
      </c>
      <c r="X81" s="108">
        <v>95</v>
      </c>
      <c r="Y81" s="108">
        <v>0</v>
      </c>
      <c r="Z81" s="108">
        <v>6</v>
      </c>
      <c r="AA81" s="108">
        <v>0</v>
      </c>
      <c r="AB81" s="108">
        <v>0</v>
      </c>
      <c r="AC81" s="108">
        <v>0</v>
      </c>
      <c r="AD81" s="108">
        <v>0</v>
      </c>
    </row>
    <row r="82" spans="1:30" ht="15" x14ac:dyDescent="0.25">
      <c r="A82">
        <v>232</v>
      </c>
      <c r="B82" s="109" t="s">
        <v>216</v>
      </c>
      <c r="C82" s="108">
        <v>50860</v>
      </c>
      <c r="D82" s="108">
        <v>0</v>
      </c>
      <c r="E82" s="108">
        <v>150</v>
      </c>
      <c r="F82" s="108">
        <v>2356</v>
      </c>
      <c r="G82" s="108">
        <v>126</v>
      </c>
      <c r="H82" s="108">
        <v>38067</v>
      </c>
      <c r="I82" s="108">
        <v>0</v>
      </c>
      <c r="J82">
        <v>0</v>
      </c>
      <c r="K82">
        <v>0</v>
      </c>
      <c r="L82">
        <v>0</v>
      </c>
      <c r="M82" s="108">
        <v>0</v>
      </c>
      <c r="N82" s="108">
        <v>0</v>
      </c>
      <c r="O82" s="108">
        <v>0</v>
      </c>
      <c r="P82" s="108">
        <v>0</v>
      </c>
      <c r="Q82" s="108">
        <v>0</v>
      </c>
      <c r="R82" s="108">
        <v>0</v>
      </c>
      <c r="S82">
        <v>133243</v>
      </c>
      <c r="T82">
        <v>4317</v>
      </c>
      <c r="U82">
        <v>2354</v>
      </c>
      <c r="V82" s="108">
        <v>707</v>
      </c>
      <c r="W82" s="108">
        <v>91530</v>
      </c>
      <c r="X82" s="108">
        <v>1188</v>
      </c>
      <c r="Y82" s="108">
        <v>0</v>
      </c>
      <c r="Z82" s="108">
        <v>0</v>
      </c>
      <c r="AA82" s="108">
        <v>1</v>
      </c>
      <c r="AB82" s="108">
        <v>0</v>
      </c>
      <c r="AC82" s="108">
        <v>4</v>
      </c>
      <c r="AD82" s="108">
        <v>0</v>
      </c>
    </row>
    <row r="83" spans="1:30" ht="15" x14ac:dyDescent="0.25">
      <c r="A83">
        <v>233</v>
      </c>
      <c r="B83" s="109" t="s">
        <v>217</v>
      </c>
      <c r="C83" s="108">
        <v>22213</v>
      </c>
      <c r="D83" s="108">
        <v>0</v>
      </c>
      <c r="E83" s="108">
        <v>0</v>
      </c>
      <c r="F83" s="108">
        <v>376</v>
      </c>
      <c r="G83" s="108">
        <v>0</v>
      </c>
      <c r="H83" s="108">
        <v>181</v>
      </c>
      <c r="I83" s="108">
        <v>0</v>
      </c>
      <c r="J83">
        <v>0</v>
      </c>
      <c r="K83">
        <v>0</v>
      </c>
      <c r="L83">
        <v>0</v>
      </c>
      <c r="M83" s="108">
        <v>0</v>
      </c>
      <c r="N83" s="108">
        <v>0</v>
      </c>
      <c r="O83" s="108">
        <v>0</v>
      </c>
      <c r="P83" s="108">
        <v>0</v>
      </c>
      <c r="Q83" s="108">
        <v>0</v>
      </c>
      <c r="R83" s="108">
        <v>0</v>
      </c>
      <c r="S83">
        <v>118345</v>
      </c>
      <c r="T83">
        <v>3941</v>
      </c>
      <c r="U83">
        <v>376</v>
      </c>
      <c r="V83" s="108">
        <v>575</v>
      </c>
      <c r="W83" s="108">
        <v>60293</v>
      </c>
      <c r="X83" s="108">
        <v>1426</v>
      </c>
      <c r="Y83" s="108">
        <v>0</v>
      </c>
      <c r="Z83" s="108">
        <v>0</v>
      </c>
      <c r="AA83" s="108">
        <v>3</v>
      </c>
      <c r="AB83" s="108">
        <v>0</v>
      </c>
      <c r="AC83" s="108">
        <v>5</v>
      </c>
      <c r="AD83" s="108">
        <v>0</v>
      </c>
    </row>
    <row r="84" spans="1:30" ht="15" x14ac:dyDescent="0.25">
      <c r="A84">
        <v>235</v>
      </c>
      <c r="B84" s="109" t="s">
        <v>218</v>
      </c>
      <c r="C84" s="108">
        <v>31164</v>
      </c>
      <c r="D84" s="108">
        <v>0</v>
      </c>
      <c r="E84" s="108">
        <v>0</v>
      </c>
      <c r="F84" s="108">
        <v>0</v>
      </c>
      <c r="G84" s="108">
        <v>0</v>
      </c>
      <c r="H84" s="108">
        <v>4098</v>
      </c>
      <c r="I84" s="108">
        <v>0</v>
      </c>
      <c r="J84">
        <v>0</v>
      </c>
      <c r="K84">
        <v>0</v>
      </c>
      <c r="L84">
        <v>0</v>
      </c>
      <c r="M84" s="108">
        <v>0</v>
      </c>
      <c r="N84" s="108">
        <v>0</v>
      </c>
      <c r="O84" s="108">
        <v>0</v>
      </c>
      <c r="P84" s="108">
        <v>0</v>
      </c>
      <c r="Q84" s="108">
        <v>0</v>
      </c>
      <c r="R84" s="108">
        <v>0</v>
      </c>
      <c r="S84">
        <v>83352</v>
      </c>
      <c r="T84">
        <v>6882</v>
      </c>
      <c r="U84">
        <v>0</v>
      </c>
      <c r="V84" s="108">
        <v>278</v>
      </c>
      <c r="W84" s="108">
        <v>31872</v>
      </c>
      <c r="X84" s="108">
        <v>828</v>
      </c>
      <c r="Y84" s="108">
        <v>0</v>
      </c>
      <c r="Z84" s="108">
        <v>5</v>
      </c>
      <c r="AA84" s="108">
        <v>0</v>
      </c>
      <c r="AB84" s="108">
        <v>0</v>
      </c>
      <c r="AC84" s="108">
        <v>0</v>
      </c>
      <c r="AD84" s="108">
        <v>0</v>
      </c>
    </row>
    <row r="85" spans="1:30" ht="15" x14ac:dyDescent="0.25">
      <c r="A85">
        <v>236</v>
      </c>
      <c r="B85" s="109" t="s">
        <v>219</v>
      </c>
      <c r="C85" s="108">
        <v>9117</v>
      </c>
      <c r="D85" s="108">
        <v>0</v>
      </c>
      <c r="E85" s="108">
        <v>0</v>
      </c>
      <c r="F85" s="108">
        <v>502</v>
      </c>
      <c r="G85" s="108">
        <v>0</v>
      </c>
      <c r="H85" s="108">
        <v>5</v>
      </c>
      <c r="I85" s="108">
        <v>11</v>
      </c>
      <c r="J85">
        <v>0</v>
      </c>
      <c r="K85">
        <v>0</v>
      </c>
      <c r="L85">
        <v>0</v>
      </c>
      <c r="M85" s="108">
        <v>0</v>
      </c>
      <c r="N85" s="108">
        <v>0</v>
      </c>
      <c r="O85" s="108">
        <v>0</v>
      </c>
      <c r="P85" s="108">
        <v>0</v>
      </c>
      <c r="Q85" s="108">
        <v>0</v>
      </c>
      <c r="R85" s="108">
        <v>0</v>
      </c>
      <c r="S85">
        <v>31486</v>
      </c>
      <c r="T85">
        <v>1113</v>
      </c>
      <c r="U85">
        <v>502</v>
      </c>
      <c r="V85" s="108">
        <v>119</v>
      </c>
      <c r="W85" s="108">
        <v>13208</v>
      </c>
      <c r="X85" s="108">
        <v>288</v>
      </c>
      <c r="Y85" s="108">
        <v>0</v>
      </c>
      <c r="Z85" s="108">
        <v>0</v>
      </c>
      <c r="AA85" s="108">
        <v>22</v>
      </c>
      <c r="AB85" s="108">
        <v>0</v>
      </c>
      <c r="AC85" s="108">
        <v>3</v>
      </c>
      <c r="AD85" s="108">
        <v>2</v>
      </c>
    </row>
    <row r="86" spans="1:30" ht="15" x14ac:dyDescent="0.25">
      <c r="A86">
        <v>239</v>
      </c>
      <c r="B86" s="109" t="s">
        <v>220</v>
      </c>
      <c r="C86" s="108">
        <v>3978</v>
      </c>
      <c r="D86" s="108">
        <v>0</v>
      </c>
      <c r="E86" s="108">
        <v>0</v>
      </c>
      <c r="F86" s="108">
        <v>0</v>
      </c>
      <c r="G86" s="108">
        <v>15</v>
      </c>
      <c r="H86" s="108">
        <v>1570</v>
      </c>
      <c r="I86" s="108">
        <v>68</v>
      </c>
      <c r="J86">
        <v>0</v>
      </c>
      <c r="K86">
        <v>0</v>
      </c>
      <c r="L86">
        <v>0</v>
      </c>
      <c r="M86" s="108">
        <v>0</v>
      </c>
      <c r="N86" s="108">
        <v>0</v>
      </c>
      <c r="O86" s="108">
        <v>0</v>
      </c>
      <c r="P86" s="108">
        <v>0</v>
      </c>
      <c r="Q86" s="108">
        <v>0</v>
      </c>
      <c r="R86" s="108">
        <v>0</v>
      </c>
      <c r="S86">
        <v>18089</v>
      </c>
      <c r="T86">
        <v>557</v>
      </c>
      <c r="U86">
        <v>0</v>
      </c>
      <c r="V86" s="108">
        <v>124</v>
      </c>
      <c r="W86" s="108">
        <v>11147</v>
      </c>
      <c r="X86" s="108">
        <v>231</v>
      </c>
      <c r="Y86" s="108">
        <v>0</v>
      </c>
      <c r="Z86" s="108">
        <v>51</v>
      </c>
      <c r="AA86" s="108">
        <v>12</v>
      </c>
      <c r="AB86" s="108">
        <v>0</v>
      </c>
      <c r="AC86" s="108">
        <v>0</v>
      </c>
      <c r="AD86" s="108">
        <v>0</v>
      </c>
    </row>
    <row r="87" spans="1:30" ht="15" x14ac:dyDescent="0.25">
      <c r="A87">
        <v>240</v>
      </c>
      <c r="B87" s="109" t="s">
        <v>221</v>
      </c>
      <c r="C87" s="108">
        <v>40129</v>
      </c>
      <c r="D87" s="108">
        <v>0</v>
      </c>
      <c r="E87" s="108">
        <v>294</v>
      </c>
      <c r="F87" s="108">
        <v>185</v>
      </c>
      <c r="G87" s="108">
        <v>947</v>
      </c>
      <c r="H87" s="108">
        <v>13229</v>
      </c>
      <c r="I87" s="108">
        <v>0</v>
      </c>
      <c r="J87">
        <v>0</v>
      </c>
      <c r="K87">
        <v>0</v>
      </c>
      <c r="L87">
        <v>0</v>
      </c>
      <c r="M87" s="108">
        <v>0</v>
      </c>
      <c r="N87" s="108">
        <v>0</v>
      </c>
      <c r="O87" s="108">
        <v>0</v>
      </c>
      <c r="P87" s="108">
        <v>0</v>
      </c>
      <c r="Q87" s="108">
        <v>5</v>
      </c>
      <c r="R87" s="108">
        <v>0</v>
      </c>
      <c r="S87">
        <v>169950</v>
      </c>
      <c r="T87">
        <v>4579</v>
      </c>
      <c r="U87">
        <v>185</v>
      </c>
      <c r="V87" s="108">
        <v>4061</v>
      </c>
      <c r="W87" s="108">
        <v>98649</v>
      </c>
      <c r="X87" s="108">
        <v>2274</v>
      </c>
      <c r="Y87" s="108">
        <v>0</v>
      </c>
      <c r="Z87" s="108">
        <v>178</v>
      </c>
      <c r="AA87" s="108">
        <v>0</v>
      </c>
      <c r="AB87" s="108">
        <v>0</v>
      </c>
      <c r="AC87" s="108">
        <v>5</v>
      </c>
      <c r="AD87" s="108">
        <v>0</v>
      </c>
    </row>
    <row r="88" spans="1:30" ht="15" x14ac:dyDescent="0.25">
      <c r="A88">
        <v>241</v>
      </c>
      <c r="B88" s="109" t="s">
        <v>223</v>
      </c>
      <c r="C88" s="108">
        <v>9707</v>
      </c>
      <c r="D88" s="108">
        <v>0</v>
      </c>
      <c r="E88" s="108">
        <v>0</v>
      </c>
      <c r="F88" s="108">
        <v>1055</v>
      </c>
      <c r="G88" s="108">
        <v>33</v>
      </c>
      <c r="H88" s="108">
        <v>3938</v>
      </c>
      <c r="I88" s="108">
        <v>0</v>
      </c>
      <c r="J88">
        <v>0</v>
      </c>
      <c r="K88">
        <v>0</v>
      </c>
      <c r="L88">
        <v>0</v>
      </c>
      <c r="M88" s="108">
        <v>0</v>
      </c>
      <c r="N88" s="108">
        <v>0</v>
      </c>
      <c r="O88" s="108">
        <v>0</v>
      </c>
      <c r="P88" s="108">
        <v>0</v>
      </c>
      <c r="Q88" s="108">
        <v>229</v>
      </c>
      <c r="R88" s="108">
        <v>0</v>
      </c>
      <c r="S88">
        <v>55812</v>
      </c>
      <c r="T88">
        <v>1870</v>
      </c>
      <c r="U88">
        <v>1055</v>
      </c>
      <c r="V88" s="108">
        <v>503</v>
      </c>
      <c r="W88" s="108">
        <v>31773</v>
      </c>
      <c r="X88" s="108">
        <v>573</v>
      </c>
      <c r="Y88" s="108">
        <v>0</v>
      </c>
      <c r="Z88" s="108">
        <v>432</v>
      </c>
      <c r="AA88" s="108">
        <v>0</v>
      </c>
      <c r="AB88" s="108">
        <v>2</v>
      </c>
      <c r="AC88" s="108">
        <v>768</v>
      </c>
      <c r="AD88" s="108">
        <v>9</v>
      </c>
    </row>
    <row r="89" spans="1:30" ht="15" x14ac:dyDescent="0.25">
      <c r="A89">
        <v>244</v>
      </c>
      <c r="B89" s="109" t="s">
        <v>224</v>
      </c>
      <c r="C89" s="108">
        <v>21087</v>
      </c>
      <c r="D89" s="108">
        <v>0</v>
      </c>
      <c r="E89" s="108">
        <v>283</v>
      </c>
      <c r="F89" s="108">
        <v>3803</v>
      </c>
      <c r="G89" s="108">
        <v>412</v>
      </c>
      <c r="H89" s="108">
        <v>4245</v>
      </c>
      <c r="I89" s="108">
        <v>0</v>
      </c>
      <c r="J89">
        <v>0</v>
      </c>
      <c r="K89">
        <v>0</v>
      </c>
      <c r="L89">
        <v>0</v>
      </c>
      <c r="M89" s="108">
        <v>0</v>
      </c>
      <c r="N89" s="108">
        <v>0</v>
      </c>
      <c r="O89" s="108">
        <v>0</v>
      </c>
      <c r="P89" s="108">
        <v>901</v>
      </c>
      <c r="Q89" s="108">
        <v>1237</v>
      </c>
      <c r="R89" s="108">
        <v>0</v>
      </c>
      <c r="S89">
        <v>100000</v>
      </c>
      <c r="T89">
        <v>5078</v>
      </c>
      <c r="U89">
        <v>3803</v>
      </c>
      <c r="V89" s="108">
        <v>2006</v>
      </c>
      <c r="W89" s="108">
        <v>46042</v>
      </c>
      <c r="X89" s="108">
        <v>1043</v>
      </c>
      <c r="Y89" s="108">
        <v>0</v>
      </c>
      <c r="Z89" s="108">
        <v>76</v>
      </c>
      <c r="AA89" s="108">
        <v>0</v>
      </c>
      <c r="AB89" s="108">
        <v>412</v>
      </c>
      <c r="AC89" s="108">
        <v>1498</v>
      </c>
      <c r="AD89" s="108">
        <v>42</v>
      </c>
    </row>
    <row r="90" spans="1:30" ht="15" x14ac:dyDescent="0.25">
      <c r="A90">
        <v>245</v>
      </c>
      <c r="B90" s="109" t="s">
        <v>225</v>
      </c>
      <c r="C90" s="108">
        <v>65584</v>
      </c>
      <c r="D90" s="108">
        <v>0</v>
      </c>
      <c r="E90" s="108">
        <v>226</v>
      </c>
      <c r="F90" s="108">
        <v>0</v>
      </c>
      <c r="G90" s="108">
        <v>914</v>
      </c>
      <c r="H90" s="108">
        <v>13530</v>
      </c>
      <c r="I90" s="108">
        <v>0</v>
      </c>
      <c r="J90">
        <v>0</v>
      </c>
      <c r="K90">
        <v>0</v>
      </c>
      <c r="L90">
        <v>0</v>
      </c>
      <c r="M90" s="108">
        <v>0</v>
      </c>
      <c r="N90" s="108">
        <v>0</v>
      </c>
      <c r="O90" s="108">
        <v>0</v>
      </c>
      <c r="P90" s="108">
        <v>0</v>
      </c>
      <c r="Q90" s="108">
        <v>0</v>
      </c>
      <c r="R90" s="108">
        <v>0</v>
      </c>
      <c r="S90">
        <v>220710</v>
      </c>
      <c r="T90">
        <v>11138</v>
      </c>
      <c r="U90">
        <v>0</v>
      </c>
      <c r="V90" s="108">
        <v>1699</v>
      </c>
      <c r="W90" s="108">
        <v>109798</v>
      </c>
      <c r="X90" s="108">
        <v>2708</v>
      </c>
      <c r="Y90" s="108">
        <v>14</v>
      </c>
      <c r="Z90" s="108">
        <v>810</v>
      </c>
      <c r="AA90" s="108">
        <v>21</v>
      </c>
      <c r="AB90" s="108">
        <v>0</v>
      </c>
      <c r="AC90" s="108">
        <v>0</v>
      </c>
      <c r="AD90" s="108">
        <v>0</v>
      </c>
    </row>
    <row r="91" spans="1:30" ht="15" x14ac:dyDescent="0.25">
      <c r="A91">
        <v>249</v>
      </c>
      <c r="B91" s="109" t="s">
        <v>226</v>
      </c>
      <c r="C91" s="108">
        <v>25538</v>
      </c>
      <c r="D91" s="108">
        <v>0</v>
      </c>
      <c r="E91" s="108">
        <v>0</v>
      </c>
      <c r="F91" s="108">
        <v>886</v>
      </c>
      <c r="G91" s="108">
        <v>583</v>
      </c>
      <c r="H91" s="108">
        <v>5501</v>
      </c>
      <c r="I91" s="108">
        <v>0</v>
      </c>
      <c r="J91">
        <v>0</v>
      </c>
      <c r="K91">
        <v>0</v>
      </c>
      <c r="L91">
        <v>0</v>
      </c>
      <c r="M91" s="108">
        <v>0</v>
      </c>
      <c r="N91" s="108">
        <v>0</v>
      </c>
      <c r="O91" s="108">
        <v>0</v>
      </c>
      <c r="P91" s="108">
        <v>0</v>
      </c>
      <c r="Q91" s="108">
        <v>0</v>
      </c>
      <c r="R91" s="108">
        <v>0</v>
      </c>
      <c r="S91">
        <v>79898</v>
      </c>
      <c r="T91">
        <v>4119</v>
      </c>
      <c r="U91">
        <v>880</v>
      </c>
      <c r="V91" s="108">
        <v>1318</v>
      </c>
      <c r="W91" s="108">
        <v>40802</v>
      </c>
      <c r="X91" s="108">
        <v>837</v>
      </c>
      <c r="Y91" s="108">
        <v>5</v>
      </c>
      <c r="Z91" s="108">
        <v>59</v>
      </c>
      <c r="AA91" s="108">
        <v>0</v>
      </c>
      <c r="AB91" s="108">
        <v>38</v>
      </c>
      <c r="AC91" s="108">
        <v>335</v>
      </c>
      <c r="AD91" s="108">
        <v>0</v>
      </c>
    </row>
    <row r="92" spans="1:30" ht="15" x14ac:dyDescent="0.25">
      <c r="A92">
        <v>250</v>
      </c>
      <c r="B92" s="109" t="s">
        <v>227</v>
      </c>
      <c r="C92" s="108">
        <v>2517</v>
      </c>
      <c r="D92" s="108">
        <v>0</v>
      </c>
      <c r="E92" s="108">
        <v>0</v>
      </c>
      <c r="F92" s="108">
        <v>0</v>
      </c>
      <c r="G92" s="108">
        <v>13</v>
      </c>
      <c r="H92" s="108">
        <v>586</v>
      </c>
      <c r="I92" s="108">
        <v>0</v>
      </c>
      <c r="J92">
        <v>0</v>
      </c>
      <c r="K92">
        <v>0</v>
      </c>
      <c r="L92">
        <v>0</v>
      </c>
      <c r="M92" s="108">
        <v>0</v>
      </c>
      <c r="N92" s="108">
        <v>0</v>
      </c>
      <c r="O92" s="108">
        <v>0</v>
      </c>
      <c r="P92" s="108">
        <v>0</v>
      </c>
      <c r="Q92" s="108">
        <v>0</v>
      </c>
      <c r="R92" s="108">
        <v>0</v>
      </c>
      <c r="S92">
        <v>14868</v>
      </c>
      <c r="T92">
        <v>807</v>
      </c>
      <c r="U92">
        <v>0</v>
      </c>
      <c r="V92" s="108">
        <v>29</v>
      </c>
      <c r="W92" s="108">
        <v>9146</v>
      </c>
      <c r="X92" s="108">
        <v>148</v>
      </c>
      <c r="Y92" s="108">
        <v>0</v>
      </c>
      <c r="Z92" s="108">
        <v>111</v>
      </c>
      <c r="AA92" s="108">
        <v>0</v>
      </c>
      <c r="AB92" s="108">
        <v>0</v>
      </c>
      <c r="AC92" s="108">
        <v>0</v>
      </c>
      <c r="AD92" s="108">
        <v>0</v>
      </c>
    </row>
    <row r="93" spans="1:30" ht="15" x14ac:dyDescent="0.25">
      <c r="A93">
        <v>256</v>
      </c>
      <c r="B93" s="109" t="s">
        <v>228</v>
      </c>
      <c r="C93" s="108">
        <v>4272</v>
      </c>
      <c r="D93" s="108">
        <v>0</v>
      </c>
      <c r="E93" s="108">
        <v>1</v>
      </c>
      <c r="F93" s="108">
        <v>328</v>
      </c>
      <c r="G93" s="108">
        <v>0</v>
      </c>
      <c r="H93" s="108">
        <v>1023</v>
      </c>
      <c r="I93" s="108">
        <v>41</v>
      </c>
      <c r="J93">
        <v>0</v>
      </c>
      <c r="K93">
        <v>0</v>
      </c>
      <c r="L93">
        <v>0</v>
      </c>
      <c r="M93" s="108">
        <v>0</v>
      </c>
      <c r="N93" s="108">
        <v>0</v>
      </c>
      <c r="O93" s="108">
        <v>0</v>
      </c>
      <c r="P93" s="108">
        <v>0</v>
      </c>
      <c r="Q93" s="108">
        <v>77</v>
      </c>
      <c r="R93" s="108">
        <v>0</v>
      </c>
      <c r="S93">
        <v>15141</v>
      </c>
      <c r="T93">
        <v>793</v>
      </c>
      <c r="U93">
        <v>326</v>
      </c>
      <c r="V93" s="108">
        <v>0</v>
      </c>
      <c r="W93" s="108">
        <v>7954</v>
      </c>
      <c r="X93" s="108">
        <v>164</v>
      </c>
      <c r="Y93" s="108">
        <v>0</v>
      </c>
      <c r="Z93" s="108">
        <v>7</v>
      </c>
      <c r="AA93" s="108">
        <v>9</v>
      </c>
      <c r="AB93" s="108">
        <v>0</v>
      </c>
      <c r="AC93" s="108">
        <v>138</v>
      </c>
      <c r="AD93" s="108">
        <v>2</v>
      </c>
    </row>
    <row r="94" spans="1:30" ht="15" x14ac:dyDescent="0.25">
      <c r="A94">
        <v>257</v>
      </c>
      <c r="B94" s="109" t="s">
        <v>229</v>
      </c>
      <c r="C94" s="108">
        <v>62677</v>
      </c>
      <c r="D94" s="108">
        <v>0</v>
      </c>
      <c r="E94" s="108">
        <v>0</v>
      </c>
      <c r="F94" s="108">
        <v>6642</v>
      </c>
      <c r="G94" s="108">
        <v>441</v>
      </c>
      <c r="H94" s="108">
        <v>9975</v>
      </c>
      <c r="I94" s="108">
        <v>0</v>
      </c>
      <c r="J94">
        <v>0</v>
      </c>
      <c r="K94">
        <v>0</v>
      </c>
      <c r="L94">
        <v>0</v>
      </c>
      <c r="M94" s="108">
        <v>0</v>
      </c>
      <c r="N94" s="108">
        <v>0</v>
      </c>
      <c r="O94" s="108">
        <v>0</v>
      </c>
      <c r="P94" s="108">
        <v>59</v>
      </c>
      <c r="Q94" s="108">
        <v>1657</v>
      </c>
      <c r="R94" s="108">
        <v>0</v>
      </c>
      <c r="S94">
        <v>249329</v>
      </c>
      <c r="T94">
        <v>12953</v>
      </c>
      <c r="U94">
        <v>6644</v>
      </c>
      <c r="V94" s="108">
        <v>3397</v>
      </c>
      <c r="W94" s="108">
        <v>108784</v>
      </c>
      <c r="X94" s="108">
        <v>2453</v>
      </c>
      <c r="Y94" s="108">
        <v>2</v>
      </c>
      <c r="Z94" s="108">
        <v>226</v>
      </c>
      <c r="AA94" s="108">
        <v>-9</v>
      </c>
      <c r="AB94" s="108">
        <v>44</v>
      </c>
      <c r="AC94" s="108">
        <v>2108</v>
      </c>
      <c r="AD94" s="108">
        <v>173</v>
      </c>
    </row>
    <row r="95" spans="1:30" ht="15" x14ac:dyDescent="0.25">
      <c r="A95">
        <v>260</v>
      </c>
      <c r="B95" s="109" t="s">
        <v>230</v>
      </c>
      <c r="C95" s="108">
        <v>20654</v>
      </c>
      <c r="D95" s="108">
        <v>0</v>
      </c>
      <c r="E95" s="108">
        <v>0</v>
      </c>
      <c r="F95" s="108">
        <v>0</v>
      </c>
      <c r="G95" s="108">
        <v>90</v>
      </c>
      <c r="H95" s="108">
        <v>6100</v>
      </c>
      <c r="I95" s="108">
        <v>0</v>
      </c>
      <c r="J95">
        <v>0</v>
      </c>
      <c r="K95">
        <v>0</v>
      </c>
      <c r="L95">
        <v>0</v>
      </c>
      <c r="M95" s="108">
        <v>0</v>
      </c>
      <c r="N95" s="108">
        <v>0</v>
      </c>
      <c r="O95" s="108">
        <v>0</v>
      </c>
      <c r="P95" s="108">
        <v>0</v>
      </c>
      <c r="Q95" s="108">
        <v>0</v>
      </c>
      <c r="R95" s="108">
        <v>0</v>
      </c>
      <c r="S95">
        <v>84504</v>
      </c>
      <c r="T95">
        <v>2890</v>
      </c>
      <c r="U95">
        <v>0</v>
      </c>
      <c r="V95" s="108">
        <v>867</v>
      </c>
      <c r="W95" s="108">
        <v>49955</v>
      </c>
      <c r="X95" s="108">
        <v>834</v>
      </c>
      <c r="Y95" s="108">
        <v>0</v>
      </c>
      <c r="Z95" s="108">
        <v>119</v>
      </c>
      <c r="AA95" s="108">
        <v>0</v>
      </c>
      <c r="AB95" s="108">
        <v>0</v>
      </c>
      <c r="AC95" s="108">
        <v>0</v>
      </c>
      <c r="AD95" s="108">
        <v>0</v>
      </c>
    </row>
    <row r="96" spans="1:30" ht="15" x14ac:dyDescent="0.25">
      <c r="A96">
        <v>261</v>
      </c>
      <c r="B96" s="109" t="s">
        <v>231</v>
      </c>
      <c r="C96" s="108">
        <v>13697</v>
      </c>
      <c r="D96" s="108">
        <v>0</v>
      </c>
      <c r="E96" s="108">
        <v>0</v>
      </c>
      <c r="F96" s="108">
        <v>677</v>
      </c>
      <c r="G96" s="108">
        <v>181</v>
      </c>
      <c r="H96" s="108">
        <v>2572</v>
      </c>
      <c r="I96" s="108">
        <v>0</v>
      </c>
      <c r="J96">
        <v>0</v>
      </c>
      <c r="K96">
        <v>0</v>
      </c>
      <c r="L96">
        <v>0</v>
      </c>
      <c r="M96" s="108">
        <v>0</v>
      </c>
      <c r="N96" s="108">
        <v>0</v>
      </c>
      <c r="O96" s="108">
        <v>0</v>
      </c>
      <c r="P96" s="108">
        <v>0</v>
      </c>
      <c r="Q96" s="108">
        <v>0</v>
      </c>
      <c r="R96" s="108">
        <v>0</v>
      </c>
      <c r="S96">
        <v>59283</v>
      </c>
      <c r="T96">
        <v>2595</v>
      </c>
      <c r="U96">
        <v>677</v>
      </c>
      <c r="V96" s="108">
        <v>758</v>
      </c>
      <c r="W96" s="108">
        <v>28755</v>
      </c>
      <c r="X96" s="108">
        <v>833</v>
      </c>
      <c r="Y96" s="108">
        <v>0</v>
      </c>
      <c r="Z96" s="108">
        <v>144</v>
      </c>
      <c r="AA96" s="108">
        <v>0</v>
      </c>
      <c r="AB96" s="108">
        <v>0</v>
      </c>
      <c r="AC96" s="108">
        <v>252</v>
      </c>
      <c r="AD96" s="108">
        <v>0</v>
      </c>
    </row>
    <row r="97" spans="1:30" ht="15" x14ac:dyDescent="0.25">
      <c r="A97">
        <v>263</v>
      </c>
      <c r="B97" s="109" t="s">
        <v>232</v>
      </c>
      <c r="C97" s="108">
        <v>10805</v>
      </c>
      <c r="D97" s="108">
        <v>0</v>
      </c>
      <c r="E97" s="108">
        <v>61</v>
      </c>
      <c r="F97" s="108">
        <v>564</v>
      </c>
      <c r="G97" s="108">
        <v>0</v>
      </c>
      <c r="H97" s="108">
        <v>186</v>
      </c>
      <c r="I97" s="108">
        <v>0</v>
      </c>
      <c r="J97">
        <v>0</v>
      </c>
      <c r="K97">
        <v>0</v>
      </c>
      <c r="L97">
        <v>0</v>
      </c>
      <c r="M97" s="108">
        <v>0</v>
      </c>
      <c r="N97" s="108">
        <v>0</v>
      </c>
      <c r="O97" s="108">
        <v>0</v>
      </c>
      <c r="P97" s="108">
        <v>0</v>
      </c>
      <c r="Q97" s="108">
        <v>0</v>
      </c>
      <c r="R97" s="108">
        <v>0</v>
      </c>
      <c r="S97">
        <v>63422</v>
      </c>
      <c r="T97">
        <v>3801</v>
      </c>
      <c r="U97">
        <v>563</v>
      </c>
      <c r="V97" s="108">
        <v>124</v>
      </c>
      <c r="W97" s="108">
        <v>35043</v>
      </c>
      <c r="X97" s="108">
        <v>678</v>
      </c>
      <c r="Y97" s="108">
        <v>0</v>
      </c>
      <c r="Z97" s="108">
        <v>4</v>
      </c>
      <c r="AA97" s="108">
        <v>0</v>
      </c>
      <c r="AB97" s="108">
        <v>0</v>
      </c>
      <c r="AC97" s="108">
        <v>3</v>
      </c>
      <c r="AD97" s="108">
        <v>0</v>
      </c>
    </row>
    <row r="98" spans="1:30" ht="15" x14ac:dyDescent="0.25">
      <c r="A98">
        <v>265</v>
      </c>
      <c r="B98" s="109" t="s">
        <v>233</v>
      </c>
      <c r="C98" s="108">
        <v>2386</v>
      </c>
      <c r="D98" s="108">
        <v>0</v>
      </c>
      <c r="E98" s="108">
        <v>0</v>
      </c>
      <c r="F98" s="108">
        <v>0</v>
      </c>
      <c r="G98" s="108">
        <v>0</v>
      </c>
      <c r="H98" s="108">
        <v>19</v>
      </c>
      <c r="I98" s="108">
        <v>1</v>
      </c>
      <c r="J98">
        <v>0</v>
      </c>
      <c r="K98">
        <v>0</v>
      </c>
      <c r="L98">
        <v>0</v>
      </c>
      <c r="M98" s="108">
        <v>0</v>
      </c>
      <c r="N98" s="108">
        <v>0</v>
      </c>
      <c r="O98" s="108">
        <v>0</v>
      </c>
      <c r="P98" s="108">
        <v>0</v>
      </c>
      <c r="Q98" s="108">
        <v>0</v>
      </c>
      <c r="R98" s="108">
        <v>0</v>
      </c>
      <c r="S98">
        <v>10700</v>
      </c>
      <c r="T98">
        <v>476</v>
      </c>
      <c r="U98">
        <v>0</v>
      </c>
      <c r="V98" s="108">
        <v>53</v>
      </c>
      <c r="W98" s="108">
        <v>6055</v>
      </c>
      <c r="X98" s="108">
        <v>108</v>
      </c>
      <c r="Y98" s="108">
        <v>0</v>
      </c>
      <c r="Z98" s="108">
        <v>0</v>
      </c>
      <c r="AA98" s="108">
        <v>1</v>
      </c>
      <c r="AB98" s="108">
        <v>0</v>
      </c>
      <c r="AC98" s="108">
        <v>0</v>
      </c>
      <c r="AD98" s="108">
        <v>0</v>
      </c>
    </row>
    <row r="99" spans="1:30" ht="15" x14ac:dyDescent="0.25">
      <c r="A99">
        <v>271</v>
      </c>
      <c r="B99" s="109" t="s">
        <v>234</v>
      </c>
      <c r="C99" s="108">
        <v>5866</v>
      </c>
      <c r="D99" s="108">
        <v>0</v>
      </c>
      <c r="E99" s="108">
        <v>0</v>
      </c>
      <c r="F99" s="108">
        <v>574</v>
      </c>
      <c r="G99" s="108">
        <v>141</v>
      </c>
      <c r="H99" s="108">
        <v>2294</v>
      </c>
      <c r="I99" s="108">
        <v>246</v>
      </c>
      <c r="J99">
        <v>0</v>
      </c>
      <c r="K99">
        <v>0</v>
      </c>
      <c r="L99">
        <v>0</v>
      </c>
      <c r="M99" s="108">
        <v>0</v>
      </c>
      <c r="N99" s="108">
        <v>0</v>
      </c>
      <c r="O99" s="108">
        <v>0</v>
      </c>
      <c r="P99" s="108">
        <v>0</v>
      </c>
      <c r="Q99" s="108">
        <v>0</v>
      </c>
      <c r="R99" s="108">
        <v>0</v>
      </c>
      <c r="S99">
        <v>49023</v>
      </c>
      <c r="T99">
        <v>1677</v>
      </c>
      <c r="U99">
        <v>574</v>
      </c>
      <c r="V99" s="108">
        <v>1259</v>
      </c>
      <c r="W99" s="108">
        <v>30334</v>
      </c>
      <c r="X99" s="108">
        <v>872</v>
      </c>
      <c r="Y99" s="108">
        <v>1</v>
      </c>
      <c r="Z99" s="108">
        <v>68</v>
      </c>
      <c r="AA99" s="108">
        <v>28</v>
      </c>
      <c r="AB99" s="108">
        <v>6</v>
      </c>
      <c r="AC99" s="108">
        <v>179</v>
      </c>
      <c r="AD99" s="108">
        <v>0</v>
      </c>
    </row>
    <row r="100" spans="1:30" ht="15" x14ac:dyDescent="0.25">
      <c r="A100">
        <v>272</v>
      </c>
      <c r="B100" s="109" t="s">
        <v>235</v>
      </c>
      <c r="C100" s="108">
        <v>148533</v>
      </c>
      <c r="D100" s="108">
        <v>0</v>
      </c>
      <c r="E100" s="108">
        <v>1528</v>
      </c>
      <c r="F100" s="108">
        <v>3106</v>
      </c>
      <c r="G100" s="108">
        <v>656</v>
      </c>
      <c r="H100" s="108">
        <v>53295</v>
      </c>
      <c r="I100" s="108">
        <v>8938</v>
      </c>
      <c r="J100">
        <v>0</v>
      </c>
      <c r="K100">
        <v>0</v>
      </c>
      <c r="L100">
        <v>0</v>
      </c>
      <c r="M100" s="108">
        <v>0</v>
      </c>
      <c r="N100" s="108">
        <v>0</v>
      </c>
      <c r="O100" s="108">
        <v>0</v>
      </c>
      <c r="P100" s="108">
        <v>0</v>
      </c>
      <c r="Q100" s="108">
        <v>0</v>
      </c>
      <c r="R100" s="108">
        <v>0</v>
      </c>
      <c r="S100">
        <v>402248</v>
      </c>
      <c r="T100">
        <v>15319</v>
      </c>
      <c r="U100">
        <v>3106</v>
      </c>
      <c r="V100" s="108">
        <v>1155</v>
      </c>
      <c r="W100" s="108">
        <v>209478</v>
      </c>
      <c r="X100" s="108">
        <v>12149</v>
      </c>
      <c r="Y100" s="108">
        <v>0</v>
      </c>
      <c r="Z100" s="108">
        <v>710</v>
      </c>
      <c r="AA100" s="108">
        <v>213</v>
      </c>
      <c r="AB100" s="108">
        <v>11</v>
      </c>
      <c r="AC100" s="108">
        <v>1348</v>
      </c>
      <c r="AD100" s="108">
        <v>137</v>
      </c>
    </row>
    <row r="101" spans="1:30" ht="15" x14ac:dyDescent="0.25">
      <c r="A101">
        <v>273</v>
      </c>
      <c r="B101" s="109" t="s">
        <v>236</v>
      </c>
      <c r="C101" s="108">
        <v>9396</v>
      </c>
      <c r="D101" s="108">
        <v>0</v>
      </c>
      <c r="E101" s="108">
        <v>0</v>
      </c>
      <c r="F101" s="108">
        <v>0</v>
      </c>
      <c r="G101" s="108">
        <v>14</v>
      </c>
      <c r="H101" s="108">
        <v>2077</v>
      </c>
      <c r="I101" s="108">
        <v>0</v>
      </c>
      <c r="J101">
        <v>0</v>
      </c>
      <c r="K101">
        <v>0</v>
      </c>
      <c r="L101">
        <v>0</v>
      </c>
      <c r="M101" s="108">
        <v>0</v>
      </c>
      <c r="N101" s="108">
        <v>0</v>
      </c>
      <c r="O101" s="108">
        <v>0</v>
      </c>
      <c r="P101" s="108">
        <v>0</v>
      </c>
      <c r="Q101" s="108">
        <v>0</v>
      </c>
      <c r="R101" s="108">
        <v>0</v>
      </c>
      <c r="S101">
        <v>32592</v>
      </c>
      <c r="T101">
        <v>1609</v>
      </c>
      <c r="U101">
        <v>0</v>
      </c>
      <c r="V101" s="108">
        <v>197</v>
      </c>
      <c r="W101" s="108">
        <v>17078</v>
      </c>
      <c r="X101" s="108">
        <v>477</v>
      </c>
      <c r="Y101" s="108">
        <v>0</v>
      </c>
      <c r="Z101" s="108">
        <v>334</v>
      </c>
      <c r="AA101" s="108">
        <v>0</v>
      </c>
      <c r="AB101" s="108">
        <v>0</v>
      </c>
      <c r="AC101" s="108">
        <v>0</v>
      </c>
      <c r="AD101" s="108">
        <v>0</v>
      </c>
    </row>
    <row r="102" spans="1:30" ht="15" x14ac:dyDescent="0.25">
      <c r="A102">
        <v>275</v>
      </c>
      <c r="B102" s="109" t="s">
        <v>237</v>
      </c>
      <c r="C102" s="108">
        <v>4049</v>
      </c>
      <c r="D102" s="108">
        <v>0</v>
      </c>
      <c r="E102" s="108">
        <v>0</v>
      </c>
      <c r="F102" s="108">
        <v>846</v>
      </c>
      <c r="G102" s="108">
        <v>17</v>
      </c>
      <c r="H102" s="108">
        <v>1078</v>
      </c>
      <c r="I102" s="108">
        <v>0</v>
      </c>
      <c r="J102">
        <v>0</v>
      </c>
      <c r="K102">
        <v>0</v>
      </c>
      <c r="L102">
        <v>0</v>
      </c>
      <c r="M102" s="108">
        <v>0</v>
      </c>
      <c r="N102" s="108">
        <v>0</v>
      </c>
      <c r="O102" s="108">
        <v>0</v>
      </c>
      <c r="P102" s="108">
        <v>0</v>
      </c>
      <c r="Q102" s="108">
        <v>0</v>
      </c>
      <c r="R102" s="108">
        <v>0</v>
      </c>
      <c r="S102">
        <v>23333</v>
      </c>
      <c r="T102">
        <v>702</v>
      </c>
      <c r="U102">
        <v>846</v>
      </c>
      <c r="V102" s="108">
        <v>156</v>
      </c>
      <c r="W102" s="108">
        <v>14409</v>
      </c>
      <c r="X102" s="108">
        <v>235</v>
      </c>
      <c r="Y102" s="108">
        <v>0</v>
      </c>
      <c r="Z102" s="108">
        <v>0</v>
      </c>
      <c r="AA102" s="108">
        <v>0</v>
      </c>
      <c r="AB102" s="108">
        <v>3</v>
      </c>
      <c r="AC102" s="108">
        <v>76</v>
      </c>
      <c r="AD102" s="108">
        <v>0</v>
      </c>
    </row>
    <row r="103" spans="1:30" ht="15" x14ac:dyDescent="0.25">
      <c r="A103">
        <v>276</v>
      </c>
      <c r="B103" s="109" t="s">
        <v>238</v>
      </c>
      <c r="C103" s="108">
        <v>22737</v>
      </c>
      <c r="D103" s="108">
        <v>0</v>
      </c>
      <c r="E103" s="108">
        <v>0</v>
      </c>
      <c r="F103" s="108">
        <v>279</v>
      </c>
      <c r="G103" s="108">
        <v>0</v>
      </c>
      <c r="H103" s="108">
        <v>1231</v>
      </c>
      <c r="I103" s="108">
        <v>0</v>
      </c>
      <c r="J103">
        <v>0</v>
      </c>
      <c r="K103">
        <v>0</v>
      </c>
      <c r="L103">
        <v>0</v>
      </c>
      <c r="M103" s="108">
        <v>0</v>
      </c>
      <c r="N103" s="108">
        <v>0</v>
      </c>
      <c r="O103" s="108">
        <v>0</v>
      </c>
      <c r="P103" s="108">
        <v>0</v>
      </c>
      <c r="Q103" s="108">
        <v>0</v>
      </c>
      <c r="R103" s="108">
        <v>0</v>
      </c>
      <c r="S103">
        <v>87971</v>
      </c>
      <c r="T103">
        <v>4213</v>
      </c>
      <c r="U103">
        <v>277</v>
      </c>
      <c r="V103" s="108">
        <v>912</v>
      </c>
      <c r="W103" s="108">
        <v>38353</v>
      </c>
      <c r="X103" s="108">
        <v>1087</v>
      </c>
      <c r="Y103" s="108">
        <v>0</v>
      </c>
      <c r="Z103" s="108">
        <v>57</v>
      </c>
      <c r="AA103" s="108">
        <v>0</v>
      </c>
      <c r="AB103" s="108">
        <v>0</v>
      </c>
      <c r="AC103" s="108">
        <v>8</v>
      </c>
      <c r="AD103" s="108">
        <v>0</v>
      </c>
    </row>
    <row r="104" spans="1:30" ht="15" x14ac:dyDescent="0.25">
      <c r="A104">
        <v>280</v>
      </c>
      <c r="B104" s="109" t="s">
        <v>239</v>
      </c>
      <c r="C104" s="108">
        <v>3356</v>
      </c>
      <c r="D104" s="108">
        <v>0</v>
      </c>
      <c r="E104" s="108">
        <v>0</v>
      </c>
      <c r="F104" s="108">
        <v>221</v>
      </c>
      <c r="G104" s="108">
        <v>1</v>
      </c>
      <c r="H104" s="108">
        <v>943</v>
      </c>
      <c r="I104" s="108">
        <v>1</v>
      </c>
      <c r="J104">
        <v>0</v>
      </c>
      <c r="K104">
        <v>0</v>
      </c>
      <c r="L104">
        <v>0</v>
      </c>
      <c r="M104" s="108">
        <v>0</v>
      </c>
      <c r="N104" s="108">
        <v>0</v>
      </c>
      <c r="O104" s="108">
        <v>0</v>
      </c>
      <c r="P104" s="108">
        <v>0</v>
      </c>
      <c r="Q104" s="108">
        <v>0</v>
      </c>
      <c r="R104" s="108">
        <v>0</v>
      </c>
      <c r="S104">
        <v>15981</v>
      </c>
      <c r="T104">
        <v>937</v>
      </c>
      <c r="U104">
        <v>221</v>
      </c>
      <c r="V104" s="108">
        <v>29</v>
      </c>
      <c r="W104" s="108">
        <v>8618</v>
      </c>
      <c r="X104" s="108">
        <v>157</v>
      </c>
      <c r="Y104" s="108">
        <v>0</v>
      </c>
      <c r="Z104" s="108">
        <v>113</v>
      </c>
      <c r="AA104" s="108">
        <v>0</v>
      </c>
      <c r="AB104" s="108">
        <v>0</v>
      </c>
      <c r="AC104" s="108">
        <v>38</v>
      </c>
      <c r="AD104" s="108">
        <v>0</v>
      </c>
    </row>
    <row r="105" spans="1:30" ht="15" x14ac:dyDescent="0.25">
      <c r="A105">
        <v>283</v>
      </c>
      <c r="B105" s="109" t="s">
        <v>518</v>
      </c>
      <c r="C105" s="108">
        <v>2322</v>
      </c>
      <c r="D105" s="108">
        <v>0</v>
      </c>
      <c r="E105" s="108">
        <v>0</v>
      </c>
      <c r="F105" s="108">
        <v>0</v>
      </c>
      <c r="G105" s="108">
        <v>0</v>
      </c>
      <c r="H105" s="108">
        <v>43</v>
      </c>
      <c r="I105" s="108">
        <v>0</v>
      </c>
      <c r="J105">
        <v>0</v>
      </c>
      <c r="K105">
        <v>0</v>
      </c>
      <c r="L105">
        <v>0</v>
      </c>
      <c r="M105" s="108">
        <v>0</v>
      </c>
      <c r="N105" s="108">
        <v>0</v>
      </c>
      <c r="O105" s="108">
        <v>0</v>
      </c>
      <c r="P105" s="108">
        <v>0</v>
      </c>
      <c r="Q105" s="108">
        <v>0</v>
      </c>
      <c r="R105" s="108">
        <v>0</v>
      </c>
      <c r="S105">
        <v>13669</v>
      </c>
      <c r="T105">
        <v>992</v>
      </c>
      <c r="U105">
        <v>0</v>
      </c>
      <c r="V105" s="108">
        <v>137</v>
      </c>
      <c r="W105" s="108">
        <v>7609</v>
      </c>
      <c r="X105" s="108">
        <v>178</v>
      </c>
      <c r="Y105" s="108">
        <v>0</v>
      </c>
      <c r="Z105" s="108">
        <v>0</v>
      </c>
      <c r="AA105" s="108">
        <v>0</v>
      </c>
      <c r="AB105" s="108">
        <v>0</v>
      </c>
      <c r="AC105" s="108">
        <v>0</v>
      </c>
      <c r="AD105" s="108">
        <v>0</v>
      </c>
    </row>
    <row r="106" spans="1:30" ht="15" x14ac:dyDescent="0.25">
      <c r="A106">
        <v>284</v>
      </c>
      <c r="B106" s="109" t="s">
        <v>240</v>
      </c>
      <c r="C106" s="108">
        <v>3276</v>
      </c>
      <c r="D106" s="108">
        <v>0</v>
      </c>
      <c r="E106" s="108">
        <v>0</v>
      </c>
      <c r="F106" s="108">
        <v>1538</v>
      </c>
      <c r="G106" s="108">
        <v>52</v>
      </c>
      <c r="H106" s="108">
        <v>873</v>
      </c>
      <c r="I106" s="108">
        <v>0</v>
      </c>
      <c r="J106">
        <v>0</v>
      </c>
      <c r="K106">
        <v>0</v>
      </c>
      <c r="L106">
        <v>0</v>
      </c>
      <c r="M106" s="108">
        <v>0</v>
      </c>
      <c r="N106" s="108">
        <v>0</v>
      </c>
      <c r="O106" s="108">
        <v>0</v>
      </c>
      <c r="P106" s="108">
        <v>0</v>
      </c>
      <c r="Q106" s="108">
        <v>50</v>
      </c>
      <c r="R106" s="108">
        <v>0</v>
      </c>
      <c r="S106">
        <v>16689</v>
      </c>
      <c r="T106">
        <v>629</v>
      </c>
      <c r="U106">
        <v>1538</v>
      </c>
      <c r="V106" s="108">
        <v>237</v>
      </c>
      <c r="W106" s="108">
        <v>8823</v>
      </c>
      <c r="X106" s="108">
        <v>170</v>
      </c>
      <c r="Y106" s="108">
        <v>0</v>
      </c>
      <c r="Z106" s="108">
        <v>114</v>
      </c>
      <c r="AA106" s="108">
        <v>0</v>
      </c>
      <c r="AB106" s="108">
        <v>3</v>
      </c>
      <c r="AC106" s="108">
        <v>357</v>
      </c>
      <c r="AD106" s="108">
        <v>0</v>
      </c>
    </row>
    <row r="107" spans="1:30" ht="15" x14ac:dyDescent="0.25">
      <c r="A107">
        <v>285</v>
      </c>
      <c r="B107" s="109" t="s">
        <v>241</v>
      </c>
      <c r="C107" s="108">
        <v>139084</v>
      </c>
      <c r="D107" s="108">
        <v>0</v>
      </c>
      <c r="E107" s="108">
        <v>1642</v>
      </c>
      <c r="F107" s="108">
        <v>112</v>
      </c>
      <c r="G107" s="108">
        <v>298</v>
      </c>
      <c r="H107" s="108">
        <v>34682</v>
      </c>
      <c r="I107" s="108">
        <v>15379</v>
      </c>
      <c r="J107">
        <v>0</v>
      </c>
      <c r="K107">
        <v>0</v>
      </c>
      <c r="L107">
        <v>0</v>
      </c>
      <c r="M107" s="108">
        <v>0</v>
      </c>
      <c r="N107" s="108">
        <v>0</v>
      </c>
      <c r="O107" s="108">
        <v>0</v>
      </c>
      <c r="P107" s="108">
        <v>0</v>
      </c>
      <c r="Q107" s="108">
        <v>0</v>
      </c>
      <c r="R107" s="108">
        <v>0</v>
      </c>
      <c r="S107">
        <v>440926</v>
      </c>
      <c r="T107">
        <v>18684</v>
      </c>
      <c r="U107">
        <v>112</v>
      </c>
      <c r="V107" s="108">
        <v>10391</v>
      </c>
      <c r="W107" s="108">
        <v>246524</v>
      </c>
      <c r="X107" s="108">
        <v>18025</v>
      </c>
      <c r="Y107" s="108">
        <v>0</v>
      </c>
      <c r="Z107" s="108">
        <v>351</v>
      </c>
      <c r="AA107" s="108">
        <v>1074</v>
      </c>
      <c r="AB107" s="108">
        <v>0</v>
      </c>
      <c r="AC107" s="108">
        <v>0</v>
      </c>
      <c r="AD107" s="108">
        <v>0</v>
      </c>
    </row>
    <row r="108" spans="1:30" ht="15" x14ac:dyDescent="0.25">
      <c r="A108">
        <v>286</v>
      </c>
      <c r="B108" s="109" t="s">
        <v>242</v>
      </c>
      <c r="C108" s="108">
        <v>173560</v>
      </c>
      <c r="D108" s="108">
        <v>61</v>
      </c>
      <c r="E108" s="108">
        <v>2378</v>
      </c>
      <c r="F108" s="108">
        <v>0</v>
      </c>
      <c r="G108" s="108">
        <v>368</v>
      </c>
      <c r="H108" s="108">
        <v>39076</v>
      </c>
      <c r="I108" s="108">
        <v>0</v>
      </c>
      <c r="J108">
        <v>0</v>
      </c>
      <c r="K108">
        <v>0</v>
      </c>
      <c r="L108">
        <v>0</v>
      </c>
      <c r="M108" s="108">
        <v>0</v>
      </c>
      <c r="N108" s="108">
        <v>0</v>
      </c>
      <c r="O108" s="108">
        <v>0</v>
      </c>
      <c r="P108" s="108">
        <v>0</v>
      </c>
      <c r="Q108" s="108">
        <v>0</v>
      </c>
      <c r="R108" s="108">
        <v>0</v>
      </c>
      <c r="S108">
        <v>669462</v>
      </c>
      <c r="T108">
        <v>20923</v>
      </c>
      <c r="U108">
        <v>0</v>
      </c>
      <c r="V108" s="108">
        <v>2520</v>
      </c>
      <c r="W108" s="108">
        <v>340555</v>
      </c>
      <c r="X108" s="108">
        <v>6970</v>
      </c>
      <c r="Y108" s="108">
        <v>2</v>
      </c>
      <c r="Z108" s="108">
        <v>895</v>
      </c>
      <c r="AA108" s="108">
        <v>0</v>
      </c>
      <c r="AB108" s="108">
        <v>0</v>
      </c>
      <c r="AC108" s="108">
        <v>0</v>
      </c>
      <c r="AD108" s="108">
        <v>0</v>
      </c>
    </row>
    <row r="109" spans="1:30" ht="15" x14ac:dyDescent="0.25">
      <c r="A109">
        <v>287</v>
      </c>
      <c r="B109" s="109" t="s">
        <v>243</v>
      </c>
      <c r="C109" s="108">
        <v>11790</v>
      </c>
      <c r="D109" s="108">
        <v>0</v>
      </c>
      <c r="E109" s="108">
        <v>0</v>
      </c>
      <c r="F109" s="108">
        <v>0</v>
      </c>
      <c r="G109" s="108">
        <v>217</v>
      </c>
      <c r="H109" s="108">
        <v>2799</v>
      </c>
      <c r="I109" s="108">
        <v>0</v>
      </c>
      <c r="J109">
        <v>0</v>
      </c>
      <c r="K109">
        <v>0</v>
      </c>
      <c r="L109">
        <v>0</v>
      </c>
      <c r="M109" s="108">
        <v>0</v>
      </c>
      <c r="N109" s="108">
        <v>0</v>
      </c>
      <c r="O109" s="108">
        <v>0</v>
      </c>
      <c r="P109" s="108">
        <v>0</v>
      </c>
      <c r="Q109" s="108">
        <v>0</v>
      </c>
      <c r="R109" s="108">
        <v>0</v>
      </c>
      <c r="S109">
        <v>50785</v>
      </c>
      <c r="T109">
        <v>2279</v>
      </c>
      <c r="U109">
        <v>1824</v>
      </c>
      <c r="V109" s="108">
        <v>247</v>
      </c>
      <c r="W109" s="108">
        <v>27063</v>
      </c>
      <c r="X109" s="108">
        <v>494</v>
      </c>
      <c r="Y109" s="108">
        <v>0</v>
      </c>
      <c r="Z109" s="108">
        <v>127</v>
      </c>
      <c r="AA109" s="108">
        <v>0</v>
      </c>
      <c r="AB109" s="108">
        <v>0</v>
      </c>
      <c r="AC109" s="108">
        <v>0</v>
      </c>
      <c r="AD109" s="108">
        <v>0</v>
      </c>
    </row>
    <row r="110" spans="1:30" ht="15" x14ac:dyDescent="0.25">
      <c r="A110">
        <v>288</v>
      </c>
      <c r="B110" s="109" t="s">
        <v>244</v>
      </c>
      <c r="C110" s="108">
        <v>4170</v>
      </c>
      <c r="D110" s="108">
        <v>0</v>
      </c>
      <c r="E110" s="108">
        <v>0</v>
      </c>
      <c r="F110" s="108">
        <v>0</v>
      </c>
      <c r="G110" s="108">
        <v>0</v>
      </c>
      <c r="H110" s="108">
        <v>179</v>
      </c>
      <c r="I110" s="108">
        <v>0</v>
      </c>
      <c r="J110">
        <v>0</v>
      </c>
      <c r="K110">
        <v>0</v>
      </c>
      <c r="L110">
        <v>0</v>
      </c>
      <c r="M110" s="108">
        <v>0</v>
      </c>
      <c r="N110" s="108">
        <v>0</v>
      </c>
      <c r="O110" s="108">
        <v>0</v>
      </c>
      <c r="P110" s="108">
        <v>0</v>
      </c>
      <c r="Q110" s="108">
        <v>0</v>
      </c>
      <c r="R110" s="108">
        <v>0</v>
      </c>
      <c r="S110">
        <v>41923</v>
      </c>
      <c r="T110">
        <v>1090</v>
      </c>
      <c r="U110">
        <v>0</v>
      </c>
      <c r="V110" s="108">
        <v>210</v>
      </c>
      <c r="W110" s="108">
        <v>22436</v>
      </c>
      <c r="X110" s="108">
        <v>510</v>
      </c>
      <c r="Y110" s="108">
        <v>0</v>
      </c>
      <c r="Z110" s="108">
        <v>2</v>
      </c>
      <c r="AA110" s="108">
        <v>98</v>
      </c>
      <c r="AB110" s="108">
        <v>0</v>
      </c>
      <c r="AC110" s="108">
        <v>0</v>
      </c>
      <c r="AD110" s="108">
        <v>0</v>
      </c>
    </row>
    <row r="111" spans="1:30" ht="15" x14ac:dyDescent="0.25">
      <c r="A111">
        <v>290</v>
      </c>
      <c r="B111" s="109" t="s">
        <v>245</v>
      </c>
      <c r="C111" s="108">
        <v>10963</v>
      </c>
      <c r="D111" s="108">
        <v>0</v>
      </c>
      <c r="E111" s="108">
        <v>0</v>
      </c>
      <c r="F111" s="108">
        <v>444</v>
      </c>
      <c r="G111" s="108">
        <v>533</v>
      </c>
      <c r="H111" s="108">
        <v>533</v>
      </c>
      <c r="I111" s="108">
        <v>0</v>
      </c>
      <c r="J111">
        <v>0</v>
      </c>
      <c r="K111">
        <v>0</v>
      </c>
      <c r="L111">
        <v>0</v>
      </c>
      <c r="M111" s="108">
        <v>0</v>
      </c>
      <c r="N111" s="108">
        <v>0</v>
      </c>
      <c r="O111" s="108">
        <v>0</v>
      </c>
      <c r="P111" s="108">
        <v>0</v>
      </c>
      <c r="Q111" s="108">
        <v>0</v>
      </c>
      <c r="R111" s="108">
        <v>0</v>
      </c>
      <c r="S111">
        <v>71408</v>
      </c>
      <c r="T111">
        <v>1920</v>
      </c>
      <c r="U111">
        <v>444</v>
      </c>
      <c r="V111" s="108">
        <v>828</v>
      </c>
      <c r="W111" s="108">
        <v>38662</v>
      </c>
      <c r="X111" s="108">
        <v>763</v>
      </c>
      <c r="Y111" s="108">
        <v>0</v>
      </c>
      <c r="Z111" s="108">
        <v>0</v>
      </c>
      <c r="AA111" s="108">
        <v>0</v>
      </c>
      <c r="AB111" s="108">
        <v>0</v>
      </c>
      <c r="AC111" s="108">
        <v>0</v>
      </c>
      <c r="AD111" s="108">
        <v>0</v>
      </c>
    </row>
    <row r="112" spans="1:30" ht="15" x14ac:dyDescent="0.25">
      <c r="A112">
        <v>291</v>
      </c>
      <c r="B112" s="109" t="s">
        <v>246</v>
      </c>
      <c r="C112" s="108">
        <v>3439</v>
      </c>
      <c r="D112" s="108">
        <v>0</v>
      </c>
      <c r="E112" s="108">
        <v>0</v>
      </c>
      <c r="F112" s="108">
        <v>384</v>
      </c>
      <c r="G112" s="108">
        <v>0</v>
      </c>
      <c r="H112" s="108">
        <v>34</v>
      </c>
      <c r="I112" s="108">
        <v>30</v>
      </c>
      <c r="J112">
        <v>0</v>
      </c>
      <c r="K112">
        <v>0</v>
      </c>
      <c r="L112">
        <v>0</v>
      </c>
      <c r="M112" s="108">
        <v>0</v>
      </c>
      <c r="N112" s="108">
        <v>0</v>
      </c>
      <c r="O112" s="108">
        <v>0</v>
      </c>
      <c r="P112" s="108">
        <v>0</v>
      </c>
      <c r="Q112" s="108">
        <v>0</v>
      </c>
      <c r="R112" s="108">
        <v>0</v>
      </c>
      <c r="S112">
        <v>18900</v>
      </c>
      <c r="T112">
        <v>1113</v>
      </c>
      <c r="U112">
        <v>383</v>
      </c>
      <c r="V112" s="108">
        <v>73</v>
      </c>
      <c r="W112" s="108">
        <v>10356</v>
      </c>
      <c r="X112" s="108">
        <v>233</v>
      </c>
      <c r="Y112" s="108">
        <v>0</v>
      </c>
      <c r="Z112" s="108">
        <v>0</v>
      </c>
      <c r="AA112" s="108">
        <v>14</v>
      </c>
      <c r="AB112" s="108">
        <v>0</v>
      </c>
      <c r="AC112" s="108">
        <v>0</v>
      </c>
      <c r="AD112" s="108">
        <v>6</v>
      </c>
    </row>
    <row r="113" spans="1:30" ht="15" x14ac:dyDescent="0.25">
      <c r="A113">
        <v>297</v>
      </c>
      <c r="B113" s="109" t="s">
        <v>247</v>
      </c>
      <c r="C113" s="108">
        <v>274398</v>
      </c>
      <c r="D113" s="108">
        <v>0</v>
      </c>
      <c r="E113" s="108">
        <v>15845</v>
      </c>
      <c r="F113" s="108">
        <v>2689</v>
      </c>
      <c r="G113" s="108">
        <v>1317</v>
      </c>
      <c r="H113" s="108">
        <v>51090</v>
      </c>
      <c r="I113" s="108">
        <v>17878</v>
      </c>
      <c r="J113">
        <v>0</v>
      </c>
      <c r="K113">
        <v>0</v>
      </c>
      <c r="L113">
        <v>0</v>
      </c>
      <c r="M113" s="108">
        <v>0</v>
      </c>
      <c r="N113" s="108">
        <v>0</v>
      </c>
      <c r="O113" s="108">
        <v>0</v>
      </c>
      <c r="P113" s="108">
        <v>0</v>
      </c>
      <c r="Q113" s="108">
        <v>0</v>
      </c>
      <c r="R113" s="108">
        <v>0</v>
      </c>
      <c r="S113">
        <v>852954</v>
      </c>
      <c r="T113">
        <v>50470</v>
      </c>
      <c r="U113">
        <v>2689</v>
      </c>
      <c r="V113" s="108">
        <v>14459</v>
      </c>
      <c r="W113" s="108">
        <v>432767</v>
      </c>
      <c r="X113" s="108">
        <v>23393</v>
      </c>
      <c r="Y113" s="108">
        <v>0</v>
      </c>
      <c r="Z113" s="108">
        <v>571</v>
      </c>
      <c r="AA113" s="108">
        <v>792</v>
      </c>
      <c r="AB113" s="108">
        <v>26</v>
      </c>
      <c r="AC113" s="108">
        <v>1865</v>
      </c>
      <c r="AD113" s="108">
        <v>0</v>
      </c>
    </row>
    <row r="114" spans="1:30" ht="15" x14ac:dyDescent="0.25">
      <c r="A114">
        <v>300</v>
      </c>
      <c r="B114" s="109" t="s">
        <v>248</v>
      </c>
      <c r="C114" s="108">
        <v>6753</v>
      </c>
      <c r="D114" s="108">
        <v>0</v>
      </c>
      <c r="E114" s="108">
        <v>0</v>
      </c>
      <c r="F114" s="108">
        <v>0</v>
      </c>
      <c r="G114" s="108">
        <v>19</v>
      </c>
      <c r="H114" s="108">
        <v>1622</v>
      </c>
      <c r="I114" s="108">
        <v>0</v>
      </c>
      <c r="J114">
        <v>0</v>
      </c>
      <c r="K114">
        <v>0</v>
      </c>
      <c r="L114">
        <v>0</v>
      </c>
      <c r="M114" s="108">
        <v>0</v>
      </c>
      <c r="N114" s="108">
        <v>0</v>
      </c>
      <c r="O114" s="108">
        <v>0</v>
      </c>
      <c r="P114" s="108">
        <v>0</v>
      </c>
      <c r="Q114" s="108">
        <v>0</v>
      </c>
      <c r="R114" s="108">
        <v>0</v>
      </c>
      <c r="S114">
        <v>29437</v>
      </c>
      <c r="T114">
        <v>1142</v>
      </c>
      <c r="U114">
        <v>0</v>
      </c>
      <c r="V114" s="108">
        <v>34</v>
      </c>
      <c r="W114" s="108">
        <v>15764</v>
      </c>
      <c r="X114" s="108">
        <v>314</v>
      </c>
      <c r="Y114" s="108">
        <v>0</v>
      </c>
      <c r="Z114" s="108">
        <v>26</v>
      </c>
      <c r="AA114" s="108">
        <v>0</v>
      </c>
      <c r="AB114" s="108">
        <v>0</v>
      </c>
      <c r="AC114" s="108">
        <v>0</v>
      </c>
      <c r="AD114" s="108">
        <v>0</v>
      </c>
    </row>
    <row r="115" spans="1:30" ht="15" x14ac:dyDescent="0.25">
      <c r="A115">
        <v>301</v>
      </c>
      <c r="B115" s="109" t="s">
        <v>249</v>
      </c>
      <c r="C115" s="108">
        <v>9965</v>
      </c>
      <c r="D115" s="108">
        <v>0</v>
      </c>
      <c r="E115" s="108">
        <v>0</v>
      </c>
      <c r="F115" s="108">
        <v>3772</v>
      </c>
      <c r="G115" s="108">
        <v>76</v>
      </c>
      <c r="H115" s="108">
        <v>527</v>
      </c>
      <c r="I115" s="108">
        <v>0</v>
      </c>
      <c r="J115">
        <v>0</v>
      </c>
      <c r="K115">
        <v>0</v>
      </c>
      <c r="L115">
        <v>0</v>
      </c>
      <c r="M115" s="108">
        <v>0</v>
      </c>
      <c r="N115" s="108">
        <v>0</v>
      </c>
      <c r="O115" s="108">
        <v>0</v>
      </c>
      <c r="P115" s="108">
        <v>43</v>
      </c>
      <c r="Q115" s="108">
        <v>43</v>
      </c>
      <c r="R115" s="108">
        <v>0</v>
      </c>
      <c r="S115">
        <v>91937</v>
      </c>
      <c r="T115">
        <v>4155</v>
      </c>
      <c r="U115">
        <v>3772</v>
      </c>
      <c r="V115" s="108">
        <v>673</v>
      </c>
      <c r="W115" s="108">
        <v>51678</v>
      </c>
      <c r="X115" s="108">
        <v>1218</v>
      </c>
      <c r="Y115" s="108">
        <v>0</v>
      </c>
      <c r="Z115" s="108">
        <v>8</v>
      </c>
      <c r="AA115" s="108">
        <v>0</v>
      </c>
      <c r="AB115" s="108">
        <v>33</v>
      </c>
      <c r="AC115" s="108">
        <v>33</v>
      </c>
      <c r="AD115" s="108">
        <v>0</v>
      </c>
    </row>
    <row r="116" spans="1:30" ht="15" x14ac:dyDescent="0.25">
      <c r="A116">
        <v>304</v>
      </c>
      <c r="B116" s="109" t="s">
        <v>250</v>
      </c>
      <c r="C116" s="108">
        <v>1761</v>
      </c>
      <c r="D116" s="108">
        <v>0</v>
      </c>
      <c r="E116" s="108">
        <v>0</v>
      </c>
      <c r="F116" s="108">
        <v>0</v>
      </c>
      <c r="G116" s="108">
        <v>0</v>
      </c>
      <c r="H116" s="108">
        <v>384</v>
      </c>
      <c r="I116" s="108">
        <v>20</v>
      </c>
      <c r="J116">
        <v>0</v>
      </c>
      <c r="K116">
        <v>0</v>
      </c>
      <c r="L116">
        <v>0</v>
      </c>
      <c r="M116" s="108">
        <v>0</v>
      </c>
      <c r="N116" s="108">
        <v>0</v>
      </c>
      <c r="O116" s="108">
        <v>0</v>
      </c>
      <c r="P116" s="108">
        <v>0</v>
      </c>
      <c r="Q116" s="108">
        <v>0</v>
      </c>
      <c r="R116" s="108">
        <v>0</v>
      </c>
      <c r="S116">
        <v>7661</v>
      </c>
      <c r="T116">
        <v>271</v>
      </c>
      <c r="U116">
        <v>0</v>
      </c>
      <c r="V116" s="108">
        <v>67</v>
      </c>
      <c r="W116" s="108">
        <v>4465</v>
      </c>
      <c r="X116" s="108">
        <v>86</v>
      </c>
      <c r="Y116" s="108">
        <v>0</v>
      </c>
      <c r="Z116" s="108">
        <v>9</v>
      </c>
      <c r="AA116" s="108">
        <v>0</v>
      </c>
      <c r="AB116" s="108">
        <v>0</v>
      </c>
      <c r="AC116" s="108">
        <v>0</v>
      </c>
      <c r="AD116" s="108">
        <v>0</v>
      </c>
    </row>
    <row r="117" spans="1:30" ht="15" x14ac:dyDescent="0.25">
      <c r="A117">
        <v>305</v>
      </c>
      <c r="B117" s="109" t="s">
        <v>251</v>
      </c>
      <c r="C117" s="108">
        <v>38571</v>
      </c>
      <c r="D117" s="108">
        <v>0</v>
      </c>
      <c r="E117" s="108">
        <v>497</v>
      </c>
      <c r="F117" s="108">
        <v>0</v>
      </c>
      <c r="G117" s="108">
        <v>333</v>
      </c>
      <c r="H117" s="108">
        <v>10743</v>
      </c>
      <c r="I117" s="108">
        <v>0</v>
      </c>
      <c r="J117">
        <v>0</v>
      </c>
      <c r="K117">
        <v>0</v>
      </c>
      <c r="L117">
        <v>0</v>
      </c>
      <c r="M117" s="108">
        <v>0</v>
      </c>
      <c r="N117" s="108">
        <v>0</v>
      </c>
      <c r="O117" s="108">
        <v>0</v>
      </c>
      <c r="P117" s="108">
        <v>0</v>
      </c>
      <c r="Q117" s="108">
        <v>0</v>
      </c>
      <c r="R117" s="108">
        <v>0</v>
      </c>
      <c r="S117">
        <v>132424</v>
      </c>
      <c r="T117">
        <v>5147</v>
      </c>
      <c r="U117">
        <v>0</v>
      </c>
      <c r="V117" s="108">
        <v>1838</v>
      </c>
      <c r="W117" s="108">
        <v>73615</v>
      </c>
      <c r="X117" s="108">
        <v>1077</v>
      </c>
      <c r="Y117" s="108">
        <v>0</v>
      </c>
      <c r="Z117" s="108">
        <v>380</v>
      </c>
      <c r="AA117" s="108">
        <v>0</v>
      </c>
      <c r="AB117" s="108">
        <v>0</v>
      </c>
      <c r="AC117" s="108">
        <v>0</v>
      </c>
      <c r="AD117" s="108">
        <v>0</v>
      </c>
    </row>
    <row r="118" spans="1:30" ht="15" x14ac:dyDescent="0.25">
      <c r="A118">
        <v>309</v>
      </c>
      <c r="B118" s="109" t="s">
        <v>311</v>
      </c>
      <c r="C118" s="108">
        <v>12051</v>
      </c>
      <c r="D118" s="108">
        <v>0</v>
      </c>
      <c r="E118" s="108">
        <v>0</v>
      </c>
      <c r="F118" s="108">
        <v>0</v>
      </c>
      <c r="G118" s="108">
        <v>227</v>
      </c>
      <c r="H118" s="108">
        <v>310</v>
      </c>
      <c r="I118" s="108">
        <v>0</v>
      </c>
      <c r="J118">
        <v>0</v>
      </c>
      <c r="K118">
        <v>0</v>
      </c>
      <c r="L118">
        <v>0</v>
      </c>
      <c r="M118" s="108">
        <v>0</v>
      </c>
      <c r="N118" s="108">
        <v>0</v>
      </c>
      <c r="O118" s="108">
        <v>0</v>
      </c>
      <c r="P118" s="108">
        <v>0</v>
      </c>
      <c r="Q118" s="108">
        <v>0</v>
      </c>
      <c r="R118" s="108">
        <v>0</v>
      </c>
      <c r="S118">
        <v>51511</v>
      </c>
      <c r="T118">
        <v>1733</v>
      </c>
      <c r="U118">
        <v>0</v>
      </c>
      <c r="V118" s="108">
        <v>636</v>
      </c>
      <c r="W118" s="108">
        <v>27537</v>
      </c>
      <c r="X118" s="108">
        <v>523</v>
      </c>
      <c r="Y118" s="108">
        <v>0</v>
      </c>
      <c r="Z118" s="108">
        <v>23</v>
      </c>
      <c r="AA118" s="108">
        <v>0</v>
      </c>
      <c r="AB118" s="108">
        <v>0</v>
      </c>
      <c r="AC118" s="108">
        <v>0</v>
      </c>
      <c r="AD118" s="108">
        <v>0</v>
      </c>
    </row>
    <row r="119" spans="1:30" ht="15" x14ac:dyDescent="0.25">
      <c r="A119">
        <v>312</v>
      </c>
      <c r="B119" s="109" t="s">
        <v>252</v>
      </c>
      <c r="C119" s="108">
        <v>2395</v>
      </c>
      <c r="D119" s="108">
        <v>0</v>
      </c>
      <c r="E119" s="108">
        <v>0</v>
      </c>
      <c r="F119" s="108">
        <v>174</v>
      </c>
      <c r="G119" s="108">
        <v>52</v>
      </c>
      <c r="H119" s="108">
        <v>65</v>
      </c>
      <c r="I119" s="108">
        <v>0</v>
      </c>
      <c r="J119">
        <v>0</v>
      </c>
      <c r="K119">
        <v>0</v>
      </c>
      <c r="L119">
        <v>0</v>
      </c>
      <c r="M119" s="108">
        <v>0</v>
      </c>
      <c r="N119" s="108">
        <v>0</v>
      </c>
      <c r="O119" s="108">
        <v>0</v>
      </c>
      <c r="P119" s="108">
        <v>0</v>
      </c>
      <c r="Q119" s="108">
        <v>6</v>
      </c>
      <c r="R119" s="108">
        <v>0</v>
      </c>
      <c r="S119">
        <v>11004</v>
      </c>
      <c r="T119">
        <v>523</v>
      </c>
      <c r="U119">
        <v>174</v>
      </c>
      <c r="V119" s="108">
        <v>130</v>
      </c>
      <c r="W119" s="108">
        <v>5944</v>
      </c>
      <c r="X119" s="108">
        <v>119</v>
      </c>
      <c r="Y119" s="108">
        <v>0</v>
      </c>
      <c r="Z119" s="108">
        <v>0</v>
      </c>
      <c r="AA119" s="108">
        <v>0</v>
      </c>
      <c r="AB119" s="108">
        <v>3</v>
      </c>
      <c r="AC119" s="108">
        <v>9</v>
      </c>
      <c r="AD119" s="108">
        <v>0</v>
      </c>
    </row>
    <row r="120" spans="1:30" ht="15" x14ac:dyDescent="0.25">
      <c r="A120">
        <v>316</v>
      </c>
      <c r="B120" s="109" t="s">
        <v>253</v>
      </c>
      <c r="C120" s="108">
        <v>5627</v>
      </c>
      <c r="D120" s="108">
        <v>0</v>
      </c>
      <c r="E120" s="108">
        <v>0</v>
      </c>
      <c r="F120" s="108">
        <v>0</v>
      </c>
      <c r="G120" s="108">
        <v>0</v>
      </c>
      <c r="H120" s="108">
        <v>213</v>
      </c>
      <c r="I120" s="108">
        <v>0</v>
      </c>
      <c r="J120">
        <v>0</v>
      </c>
      <c r="K120">
        <v>0</v>
      </c>
      <c r="L120">
        <v>0</v>
      </c>
      <c r="M120" s="108">
        <v>0</v>
      </c>
      <c r="N120" s="108">
        <v>0</v>
      </c>
      <c r="O120" s="108">
        <v>0</v>
      </c>
      <c r="P120" s="108">
        <v>0</v>
      </c>
      <c r="Q120" s="108">
        <v>0</v>
      </c>
      <c r="R120" s="108">
        <v>0</v>
      </c>
      <c r="S120">
        <v>29466</v>
      </c>
      <c r="T120">
        <v>1304</v>
      </c>
      <c r="U120">
        <v>0</v>
      </c>
      <c r="V120" s="108">
        <v>175</v>
      </c>
      <c r="W120" s="108">
        <v>16098</v>
      </c>
      <c r="X120" s="108">
        <v>422</v>
      </c>
      <c r="Y120" s="108">
        <v>0</v>
      </c>
      <c r="Z120" s="108">
        <v>0</v>
      </c>
      <c r="AA120" s="108">
        <v>0</v>
      </c>
      <c r="AB120" s="108">
        <v>0</v>
      </c>
      <c r="AC120" s="108">
        <v>0</v>
      </c>
      <c r="AD120" s="108">
        <v>0</v>
      </c>
    </row>
    <row r="121" spans="1:30" ht="15" x14ac:dyDescent="0.25">
      <c r="A121">
        <v>317</v>
      </c>
      <c r="B121" s="109" t="s">
        <v>254</v>
      </c>
      <c r="C121" s="108">
        <v>3867</v>
      </c>
      <c r="D121" s="108">
        <v>0</v>
      </c>
      <c r="E121" s="108">
        <v>0</v>
      </c>
      <c r="F121" s="108">
        <v>0</v>
      </c>
      <c r="G121" s="108">
        <v>58</v>
      </c>
      <c r="H121" s="108">
        <v>1701</v>
      </c>
      <c r="I121" s="108">
        <v>0</v>
      </c>
      <c r="J121">
        <v>0</v>
      </c>
      <c r="K121">
        <v>0</v>
      </c>
      <c r="L121">
        <v>0</v>
      </c>
      <c r="M121" s="108">
        <v>0</v>
      </c>
      <c r="N121" s="108">
        <v>0</v>
      </c>
      <c r="O121" s="108">
        <v>0</v>
      </c>
      <c r="P121" s="108">
        <v>0</v>
      </c>
      <c r="Q121" s="108">
        <v>0</v>
      </c>
      <c r="R121" s="108">
        <v>0</v>
      </c>
      <c r="S121">
        <v>21056</v>
      </c>
      <c r="T121">
        <v>506</v>
      </c>
      <c r="U121">
        <v>0</v>
      </c>
      <c r="V121" s="108">
        <v>124</v>
      </c>
      <c r="W121" s="108">
        <v>11456</v>
      </c>
      <c r="X121" s="108">
        <v>229</v>
      </c>
      <c r="Y121" s="108">
        <v>0</v>
      </c>
      <c r="Z121" s="108">
        <v>10</v>
      </c>
      <c r="AA121" s="108">
        <v>1</v>
      </c>
      <c r="AB121" s="108">
        <v>0</v>
      </c>
      <c r="AC121" s="108">
        <v>0</v>
      </c>
      <c r="AD121" s="108">
        <v>0</v>
      </c>
    </row>
    <row r="122" spans="1:30" ht="15" x14ac:dyDescent="0.25">
      <c r="A122">
        <v>319</v>
      </c>
      <c r="B122" s="109" t="s">
        <v>519</v>
      </c>
      <c r="C122" s="108">
        <v>1814</v>
      </c>
      <c r="D122" s="108">
        <v>0</v>
      </c>
      <c r="E122" s="108">
        <v>0</v>
      </c>
      <c r="F122" s="108">
        <v>0</v>
      </c>
      <c r="G122" s="108">
        <v>0</v>
      </c>
      <c r="H122" s="108">
        <v>530</v>
      </c>
      <c r="I122" s="108">
        <v>0</v>
      </c>
      <c r="J122">
        <v>0</v>
      </c>
      <c r="K122">
        <v>0</v>
      </c>
      <c r="L122">
        <v>0</v>
      </c>
      <c r="M122" s="108">
        <v>0</v>
      </c>
      <c r="N122" s="108">
        <v>0</v>
      </c>
      <c r="O122" s="108">
        <v>0</v>
      </c>
      <c r="P122" s="108">
        <v>0</v>
      </c>
      <c r="Q122" s="108">
        <v>0</v>
      </c>
      <c r="R122" s="108">
        <v>0</v>
      </c>
      <c r="S122">
        <v>15702</v>
      </c>
      <c r="T122">
        <v>378</v>
      </c>
      <c r="U122">
        <v>0</v>
      </c>
      <c r="V122" s="108">
        <v>64</v>
      </c>
      <c r="W122" s="108">
        <v>9515</v>
      </c>
      <c r="X122" s="108">
        <v>269</v>
      </c>
      <c r="Y122" s="108">
        <v>0</v>
      </c>
      <c r="Z122" s="108">
        <v>12</v>
      </c>
      <c r="AA122" s="108">
        <v>0</v>
      </c>
      <c r="AB122" s="108">
        <v>0</v>
      </c>
      <c r="AC122" s="108">
        <v>0</v>
      </c>
      <c r="AD122" s="108">
        <v>0</v>
      </c>
    </row>
    <row r="123" spans="1:30" ht="15" x14ac:dyDescent="0.25">
      <c r="A123">
        <v>320</v>
      </c>
      <c r="B123" s="109" t="s">
        <v>222</v>
      </c>
      <c r="C123" s="108">
        <v>22887</v>
      </c>
      <c r="D123" s="108">
        <v>0</v>
      </c>
      <c r="E123" s="108">
        <v>0</v>
      </c>
      <c r="F123" s="108">
        <v>2477</v>
      </c>
      <c r="G123" s="108">
        <v>191</v>
      </c>
      <c r="H123" s="108">
        <v>5457</v>
      </c>
      <c r="I123" s="108">
        <v>0</v>
      </c>
      <c r="J123">
        <v>0</v>
      </c>
      <c r="K123">
        <v>0</v>
      </c>
      <c r="L123">
        <v>0</v>
      </c>
      <c r="M123" s="108">
        <v>0</v>
      </c>
      <c r="N123" s="108">
        <v>0</v>
      </c>
      <c r="O123" s="108">
        <v>0</v>
      </c>
      <c r="P123" s="108">
        <v>0</v>
      </c>
      <c r="Q123" s="108">
        <v>0</v>
      </c>
      <c r="R123" s="108">
        <v>0</v>
      </c>
      <c r="S123">
        <v>77835</v>
      </c>
      <c r="T123">
        <v>2627</v>
      </c>
      <c r="U123">
        <v>2477</v>
      </c>
      <c r="V123" s="108">
        <v>1318</v>
      </c>
      <c r="W123" s="108">
        <v>43206</v>
      </c>
      <c r="X123" s="108">
        <v>788</v>
      </c>
      <c r="Y123" s="108">
        <v>0</v>
      </c>
      <c r="Z123" s="108">
        <v>67</v>
      </c>
      <c r="AA123" s="108">
        <v>27</v>
      </c>
      <c r="AB123" s="108">
        <v>51</v>
      </c>
      <c r="AC123" s="108">
        <v>1037</v>
      </c>
      <c r="AD123" s="108">
        <v>5</v>
      </c>
    </row>
    <row r="124" spans="1:30" ht="15" x14ac:dyDescent="0.25">
      <c r="A124">
        <v>322</v>
      </c>
      <c r="B124" s="109" t="s">
        <v>128</v>
      </c>
      <c r="C124" s="108">
        <v>15104</v>
      </c>
      <c r="D124" s="108">
        <v>0</v>
      </c>
      <c r="E124" s="108">
        <v>120</v>
      </c>
      <c r="F124" s="108">
        <v>0</v>
      </c>
      <c r="G124" s="108">
        <v>6</v>
      </c>
      <c r="H124" s="108">
        <v>3426</v>
      </c>
      <c r="I124" s="108">
        <v>4</v>
      </c>
      <c r="J124">
        <v>0</v>
      </c>
      <c r="K124">
        <v>0</v>
      </c>
      <c r="L124">
        <v>0</v>
      </c>
      <c r="M124" s="108">
        <v>0</v>
      </c>
      <c r="N124" s="108">
        <v>0</v>
      </c>
      <c r="O124" s="108">
        <v>0</v>
      </c>
      <c r="P124" s="108">
        <v>0</v>
      </c>
      <c r="Q124" s="108">
        <v>0</v>
      </c>
      <c r="R124" s="108">
        <v>0</v>
      </c>
      <c r="S124">
        <v>56490</v>
      </c>
      <c r="T124">
        <v>2765</v>
      </c>
      <c r="U124">
        <v>0</v>
      </c>
      <c r="V124" s="108">
        <v>250</v>
      </c>
      <c r="W124" s="108">
        <v>29419</v>
      </c>
      <c r="X124" s="108">
        <v>549</v>
      </c>
      <c r="Y124" s="108">
        <v>0</v>
      </c>
      <c r="Z124" s="108">
        <v>215</v>
      </c>
      <c r="AA124" s="108">
        <v>4</v>
      </c>
      <c r="AB124" s="108">
        <v>0</v>
      </c>
      <c r="AC124" s="108">
        <v>0</v>
      </c>
      <c r="AD124" s="108">
        <v>0</v>
      </c>
    </row>
    <row r="125" spans="1:30" ht="15" x14ac:dyDescent="0.25">
      <c r="A125">
        <v>398</v>
      </c>
      <c r="B125" s="109" t="s">
        <v>255</v>
      </c>
      <c r="C125" s="108">
        <v>203540</v>
      </c>
      <c r="D125" s="108">
        <v>0</v>
      </c>
      <c r="E125" s="108">
        <v>475</v>
      </c>
      <c r="F125" s="108">
        <v>0</v>
      </c>
      <c r="G125" s="108">
        <v>3963</v>
      </c>
      <c r="H125" s="108">
        <v>57565</v>
      </c>
      <c r="I125" s="108">
        <v>0</v>
      </c>
      <c r="J125">
        <v>0</v>
      </c>
      <c r="K125">
        <v>0</v>
      </c>
      <c r="L125">
        <v>0</v>
      </c>
      <c r="M125" s="108">
        <v>0</v>
      </c>
      <c r="N125" s="108">
        <v>0</v>
      </c>
      <c r="O125" s="108">
        <v>0</v>
      </c>
      <c r="P125" s="108">
        <v>0</v>
      </c>
      <c r="Q125" s="108">
        <v>0</v>
      </c>
      <c r="R125" s="108">
        <v>0</v>
      </c>
      <c r="S125">
        <v>735515</v>
      </c>
      <c r="T125">
        <v>37728</v>
      </c>
      <c r="U125">
        <v>0</v>
      </c>
      <c r="V125" s="108">
        <v>26729</v>
      </c>
      <c r="W125" s="108">
        <v>392945</v>
      </c>
      <c r="X125" s="108">
        <v>8602</v>
      </c>
      <c r="Y125" s="108">
        <v>1</v>
      </c>
      <c r="Z125" s="108">
        <v>990</v>
      </c>
      <c r="AA125" s="108">
        <v>0</v>
      </c>
      <c r="AB125" s="108">
        <v>0</v>
      </c>
      <c r="AC125" s="108">
        <v>0</v>
      </c>
      <c r="AD125" s="108">
        <v>0</v>
      </c>
    </row>
    <row r="126" spans="1:30" ht="15" x14ac:dyDescent="0.25">
      <c r="A126">
        <v>399</v>
      </c>
      <c r="B126" s="109" t="s">
        <v>256</v>
      </c>
      <c r="C126" s="108">
        <v>9725</v>
      </c>
      <c r="D126" s="108">
        <v>0</v>
      </c>
      <c r="E126" s="108">
        <v>0</v>
      </c>
      <c r="F126" s="108">
        <v>0</v>
      </c>
      <c r="G126" s="108">
        <v>9</v>
      </c>
      <c r="H126" s="108">
        <v>2971</v>
      </c>
      <c r="I126" s="108">
        <v>0</v>
      </c>
      <c r="J126">
        <v>0</v>
      </c>
      <c r="K126">
        <v>0</v>
      </c>
      <c r="L126">
        <v>0</v>
      </c>
      <c r="M126" s="108">
        <v>0</v>
      </c>
      <c r="N126" s="108">
        <v>0</v>
      </c>
      <c r="O126" s="108">
        <v>0</v>
      </c>
      <c r="P126" s="108">
        <v>0</v>
      </c>
      <c r="Q126" s="108">
        <v>0</v>
      </c>
      <c r="R126" s="108">
        <v>0</v>
      </c>
      <c r="S126">
        <v>52070</v>
      </c>
      <c r="T126">
        <v>1976</v>
      </c>
      <c r="U126">
        <v>0</v>
      </c>
      <c r="V126" s="108">
        <v>100</v>
      </c>
      <c r="W126" s="108">
        <v>30048</v>
      </c>
      <c r="X126" s="108">
        <v>583</v>
      </c>
      <c r="Y126" s="108">
        <v>0</v>
      </c>
      <c r="Z126" s="108">
        <v>68</v>
      </c>
      <c r="AA126" s="108">
        <v>0</v>
      </c>
      <c r="AB126" s="108">
        <v>0</v>
      </c>
      <c r="AC126" s="108">
        <v>0</v>
      </c>
      <c r="AD126" s="108">
        <v>0</v>
      </c>
    </row>
    <row r="127" spans="1:30" ht="15" x14ac:dyDescent="0.25">
      <c r="A127">
        <v>400</v>
      </c>
      <c r="B127" s="109" t="s">
        <v>257</v>
      </c>
      <c r="C127" s="108">
        <v>12327</v>
      </c>
      <c r="D127" s="108">
        <v>0</v>
      </c>
      <c r="E127" s="108">
        <v>0</v>
      </c>
      <c r="F127" s="108">
        <v>2641</v>
      </c>
      <c r="G127" s="108">
        <v>399</v>
      </c>
      <c r="H127" s="108">
        <v>5084</v>
      </c>
      <c r="I127" s="108">
        <v>80</v>
      </c>
      <c r="J127">
        <v>0</v>
      </c>
      <c r="K127">
        <v>0</v>
      </c>
      <c r="L127">
        <v>0</v>
      </c>
      <c r="M127" s="108">
        <v>0</v>
      </c>
      <c r="N127" s="108">
        <v>0</v>
      </c>
      <c r="O127" s="108">
        <v>0</v>
      </c>
      <c r="P127" s="108">
        <v>0</v>
      </c>
      <c r="Q127" s="108">
        <v>0</v>
      </c>
      <c r="R127" s="108">
        <v>0</v>
      </c>
      <c r="S127">
        <v>58203</v>
      </c>
      <c r="T127">
        <v>2250</v>
      </c>
      <c r="U127">
        <v>2640</v>
      </c>
      <c r="V127" s="108">
        <v>549</v>
      </c>
      <c r="W127" s="108">
        <v>32072</v>
      </c>
      <c r="X127" s="108">
        <v>644</v>
      </c>
      <c r="Y127" s="108">
        <v>23</v>
      </c>
      <c r="Z127" s="108">
        <v>271</v>
      </c>
      <c r="AA127" s="108">
        <v>15</v>
      </c>
      <c r="AB127" s="108">
        <v>36</v>
      </c>
      <c r="AC127" s="108">
        <v>820</v>
      </c>
      <c r="AD127" s="108">
        <v>2</v>
      </c>
    </row>
    <row r="128" spans="1:30" ht="15" x14ac:dyDescent="0.25">
      <c r="A128">
        <v>402</v>
      </c>
      <c r="B128" s="109" t="s">
        <v>259</v>
      </c>
      <c r="C128" s="108">
        <v>14370</v>
      </c>
      <c r="D128" s="108">
        <v>0</v>
      </c>
      <c r="E128" s="108">
        <v>0</v>
      </c>
      <c r="F128" s="108">
        <v>0</v>
      </c>
      <c r="G128" s="108">
        <v>116</v>
      </c>
      <c r="H128" s="108">
        <v>5277</v>
      </c>
      <c r="I128" s="108">
        <v>0</v>
      </c>
      <c r="J128">
        <v>0</v>
      </c>
      <c r="K128">
        <v>0</v>
      </c>
      <c r="L128">
        <v>0</v>
      </c>
      <c r="M128" s="108">
        <v>0</v>
      </c>
      <c r="N128" s="108">
        <v>0</v>
      </c>
      <c r="O128" s="108">
        <v>0</v>
      </c>
      <c r="P128" s="108">
        <v>0</v>
      </c>
      <c r="Q128" s="108">
        <v>0</v>
      </c>
      <c r="R128" s="108">
        <v>0</v>
      </c>
      <c r="S128">
        <v>73310</v>
      </c>
      <c r="T128">
        <v>2989</v>
      </c>
      <c r="U128">
        <v>0</v>
      </c>
      <c r="V128" s="108">
        <v>1119</v>
      </c>
      <c r="W128" s="108">
        <v>44118</v>
      </c>
      <c r="X128" s="108">
        <v>667</v>
      </c>
      <c r="Y128" s="108">
        <v>0</v>
      </c>
      <c r="Z128" s="108">
        <v>801</v>
      </c>
      <c r="AA128" s="108">
        <v>0</v>
      </c>
      <c r="AB128" s="108">
        <v>0</v>
      </c>
      <c r="AC128" s="108">
        <v>0</v>
      </c>
      <c r="AD128" s="108">
        <v>0</v>
      </c>
    </row>
    <row r="129" spans="1:30" ht="15" x14ac:dyDescent="0.25">
      <c r="A129">
        <v>403</v>
      </c>
      <c r="B129" s="109" t="s">
        <v>260</v>
      </c>
      <c r="C129" s="108">
        <v>2653</v>
      </c>
      <c r="D129" s="108">
        <v>0</v>
      </c>
      <c r="E129" s="108">
        <v>0</v>
      </c>
      <c r="F129" s="108">
        <v>99</v>
      </c>
      <c r="G129" s="108">
        <v>0</v>
      </c>
      <c r="H129" s="108">
        <v>3</v>
      </c>
      <c r="I129" s="108">
        <v>0</v>
      </c>
      <c r="J129">
        <v>0</v>
      </c>
      <c r="K129">
        <v>0</v>
      </c>
      <c r="L129">
        <v>0</v>
      </c>
      <c r="M129" s="108">
        <v>0</v>
      </c>
      <c r="N129" s="108">
        <v>0</v>
      </c>
      <c r="O129" s="108">
        <v>0</v>
      </c>
      <c r="P129" s="108">
        <v>0</v>
      </c>
      <c r="Q129" s="108">
        <v>0</v>
      </c>
      <c r="R129" s="108">
        <v>0</v>
      </c>
      <c r="S129">
        <v>21383</v>
      </c>
      <c r="T129">
        <v>1120</v>
      </c>
      <c r="U129">
        <v>100</v>
      </c>
      <c r="V129" s="108">
        <v>53</v>
      </c>
      <c r="W129" s="108">
        <v>12565</v>
      </c>
      <c r="X129" s="108">
        <v>273</v>
      </c>
      <c r="Y129" s="108">
        <v>0</v>
      </c>
      <c r="Z129" s="108">
        <v>0</v>
      </c>
      <c r="AA129" s="108">
        <v>0</v>
      </c>
      <c r="AB129" s="108">
        <v>0</v>
      </c>
      <c r="AC129" s="108">
        <v>2</v>
      </c>
      <c r="AD129" s="108">
        <v>0</v>
      </c>
    </row>
    <row r="130" spans="1:30" ht="15" x14ac:dyDescent="0.25">
      <c r="A130">
        <v>405</v>
      </c>
      <c r="B130" s="109" t="s">
        <v>261</v>
      </c>
      <c r="C130" s="108">
        <v>74391</v>
      </c>
      <c r="D130" s="108">
        <v>0</v>
      </c>
      <c r="E130" s="108">
        <v>21631</v>
      </c>
      <c r="F130" s="108">
        <v>0</v>
      </c>
      <c r="G130" s="108">
        <v>0</v>
      </c>
      <c r="H130" s="108">
        <v>331</v>
      </c>
      <c r="I130" s="108">
        <v>4556</v>
      </c>
      <c r="J130">
        <v>0</v>
      </c>
      <c r="K130">
        <v>0</v>
      </c>
      <c r="L130">
        <v>0</v>
      </c>
      <c r="M130" s="108">
        <v>0</v>
      </c>
      <c r="N130" s="108">
        <v>0</v>
      </c>
      <c r="O130" s="108">
        <v>0</v>
      </c>
      <c r="P130" s="108">
        <v>0</v>
      </c>
      <c r="Q130" s="108">
        <v>0</v>
      </c>
      <c r="R130" s="108">
        <v>0</v>
      </c>
      <c r="S130">
        <v>477642</v>
      </c>
      <c r="T130">
        <v>22089</v>
      </c>
      <c r="U130">
        <v>0</v>
      </c>
      <c r="V130" s="108">
        <v>2326</v>
      </c>
      <c r="W130" s="108">
        <v>243233</v>
      </c>
      <c r="X130" s="108">
        <v>10156</v>
      </c>
      <c r="Y130" s="108">
        <v>0</v>
      </c>
      <c r="Z130" s="108">
        <v>7</v>
      </c>
      <c r="AA130" s="108">
        <v>430</v>
      </c>
      <c r="AB130" s="108">
        <v>0</v>
      </c>
      <c r="AC130" s="108">
        <v>0</v>
      </c>
      <c r="AD130" s="108">
        <v>0</v>
      </c>
    </row>
    <row r="131" spans="1:30" ht="15" x14ac:dyDescent="0.25">
      <c r="A131">
        <v>407</v>
      </c>
      <c r="B131" s="109" t="s">
        <v>258</v>
      </c>
      <c r="C131" s="108">
        <v>4972</v>
      </c>
      <c r="D131" s="108">
        <v>0</v>
      </c>
      <c r="E131" s="108">
        <v>8</v>
      </c>
      <c r="F131" s="108">
        <v>0</v>
      </c>
      <c r="G131" s="108">
        <v>0</v>
      </c>
      <c r="H131" s="108">
        <v>546</v>
      </c>
      <c r="I131" s="108">
        <v>0</v>
      </c>
      <c r="J131">
        <v>0</v>
      </c>
      <c r="K131">
        <v>0</v>
      </c>
      <c r="L131">
        <v>0</v>
      </c>
      <c r="M131" s="108">
        <v>0</v>
      </c>
      <c r="N131" s="108">
        <v>0</v>
      </c>
      <c r="O131" s="108">
        <v>0</v>
      </c>
      <c r="P131" s="108">
        <v>0</v>
      </c>
      <c r="Q131" s="108">
        <v>0</v>
      </c>
      <c r="R131" s="108">
        <v>0</v>
      </c>
      <c r="S131">
        <v>19900</v>
      </c>
      <c r="T131">
        <v>733</v>
      </c>
      <c r="U131">
        <v>0</v>
      </c>
      <c r="V131" s="108">
        <v>0</v>
      </c>
      <c r="W131" s="108">
        <v>9686</v>
      </c>
      <c r="X131" s="108">
        <v>268</v>
      </c>
      <c r="Y131" s="108">
        <v>0</v>
      </c>
      <c r="Z131" s="108">
        <v>32</v>
      </c>
      <c r="AA131" s="108">
        <v>0</v>
      </c>
      <c r="AB131" s="108">
        <v>0</v>
      </c>
      <c r="AC131" s="108">
        <v>0</v>
      </c>
      <c r="AD131" s="108">
        <v>0</v>
      </c>
    </row>
    <row r="132" spans="1:30" ht="15" x14ac:dyDescent="0.25">
      <c r="A132">
        <v>408</v>
      </c>
      <c r="B132" s="109" t="s">
        <v>262</v>
      </c>
      <c r="C132" s="108">
        <v>13764</v>
      </c>
      <c r="D132" s="108">
        <v>0</v>
      </c>
      <c r="E132" s="108">
        <v>421</v>
      </c>
      <c r="F132" s="108">
        <v>7388</v>
      </c>
      <c r="G132" s="108">
        <v>45</v>
      </c>
      <c r="H132" s="108">
        <v>5045</v>
      </c>
      <c r="I132" s="108">
        <v>0</v>
      </c>
      <c r="J132">
        <v>0</v>
      </c>
      <c r="K132">
        <v>0</v>
      </c>
      <c r="L132">
        <v>0</v>
      </c>
      <c r="M132" s="108">
        <v>0</v>
      </c>
      <c r="N132" s="108">
        <v>0</v>
      </c>
      <c r="O132" s="108">
        <v>0</v>
      </c>
      <c r="P132" s="108">
        <v>0</v>
      </c>
      <c r="Q132" s="108">
        <v>0</v>
      </c>
      <c r="R132" s="108">
        <v>0</v>
      </c>
      <c r="S132">
        <v>91064</v>
      </c>
      <c r="T132">
        <v>4590</v>
      </c>
      <c r="U132">
        <v>7390</v>
      </c>
      <c r="V132" s="108">
        <v>108</v>
      </c>
      <c r="W132" s="108">
        <v>49090</v>
      </c>
      <c r="X132" s="108">
        <v>1285</v>
      </c>
      <c r="Y132" s="108">
        <v>0</v>
      </c>
      <c r="Z132" s="108">
        <v>188</v>
      </c>
      <c r="AA132" s="108">
        <v>1</v>
      </c>
      <c r="AB132" s="108">
        <v>1</v>
      </c>
      <c r="AC132" s="108">
        <v>1658</v>
      </c>
      <c r="AD132" s="108">
        <v>92</v>
      </c>
    </row>
    <row r="133" spans="1:30" ht="15" x14ac:dyDescent="0.25">
      <c r="A133">
        <v>410</v>
      </c>
      <c r="B133" s="109" t="s">
        <v>263</v>
      </c>
      <c r="C133" s="108">
        <v>27149</v>
      </c>
      <c r="D133" s="108">
        <v>0</v>
      </c>
      <c r="E133" s="108">
        <v>0</v>
      </c>
      <c r="F133" s="108">
        <v>907</v>
      </c>
      <c r="G133" s="108">
        <v>63</v>
      </c>
      <c r="H133" s="108">
        <v>4108</v>
      </c>
      <c r="I133" s="108">
        <v>0</v>
      </c>
      <c r="J133">
        <v>0</v>
      </c>
      <c r="K133">
        <v>0</v>
      </c>
      <c r="L133">
        <v>0</v>
      </c>
      <c r="M133" s="108">
        <v>0</v>
      </c>
      <c r="N133" s="108">
        <v>0</v>
      </c>
      <c r="O133" s="108">
        <v>0</v>
      </c>
      <c r="P133" s="108">
        <v>0</v>
      </c>
      <c r="Q133" s="108">
        <v>0</v>
      </c>
      <c r="R133" s="108">
        <v>0</v>
      </c>
      <c r="S133">
        <v>120717</v>
      </c>
      <c r="T133">
        <v>7411</v>
      </c>
      <c r="U133">
        <v>907</v>
      </c>
      <c r="V133" s="108">
        <v>1130</v>
      </c>
      <c r="W133" s="108">
        <v>59072</v>
      </c>
      <c r="X133" s="108">
        <v>1536</v>
      </c>
      <c r="Y133" s="108">
        <v>0</v>
      </c>
      <c r="Z133" s="108">
        <v>35</v>
      </c>
      <c r="AA133" s="108">
        <v>0</v>
      </c>
      <c r="AB133" s="108">
        <v>0</v>
      </c>
      <c r="AC133" s="108">
        <v>127</v>
      </c>
      <c r="AD133" s="108">
        <v>0</v>
      </c>
    </row>
    <row r="134" spans="1:30" ht="15" x14ac:dyDescent="0.25">
      <c r="A134">
        <v>416</v>
      </c>
      <c r="B134" s="109" t="s">
        <v>264</v>
      </c>
      <c r="C134" s="108">
        <v>3155</v>
      </c>
      <c r="D134" s="108">
        <v>0</v>
      </c>
      <c r="E134" s="108">
        <v>0</v>
      </c>
      <c r="F134" s="108">
        <v>0</v>
      </c>
      <c r="G134" s="108">
        <v>0</v>
      </c>
      <c r="H134" s="108">
        <v>169</v>
      </c>
      <c r="I134" s="108">
        <v>0</v>
      </c>
      <c r="J134">
        <v>0</v>
      </c>
      <c r="K134">
        <v>0</v>
      </c>
      <c r="L134">
        <v>0</v>
      </c>
      <c r="M134" s="108">
        <v>0</v>
      </c>
      <c r="N134" s="108">
        <v>0</v>
      </c>
      <c r="O134" s="108">
        <v>0</v>
      </c>
      <c r="P134" s="108">
        <v>0</v>
      </c>
      <c r="Q134" s="108">
        <v>0</v>
      </c>
      <c r="R134" s="108">
        <v>0</v>
      </c>
      <c r="S134">
        <v>18708</v>
      </c>
      <c r="T134">
        <v>629</v>
      </c>
      <c r="U134">
        <v>0</v>
      </c>
      <c r="V134" s="108">
        <v>71</v>
      </c>
      <c r="W134" s="108">
        <v>9278</v>
      </c>
      <c r="X134" s="108">
        <v>276</v>
      </c>
      <c r="Y134" s="108">
        <v>0</v>
      </c>
      <c r="Z134" s="108">
        <v>0</v>
      </c>
      <c r="AA134" s="108">
        <v>10</v>
      </c>
      <c r="AB134" s="108">
        <v>0</v>
      </c>
      <c r="AC134" s="108">
        <v>0</v>
      </c>
      <c r="AD134" s="108">
        <v>0</v>
      </c>
    </row>
    <row r="135" spans="1:30" ht="15" x14ac:dyDescent="0.25">
      <c r="A135">
        <v>418</v>
      </c>
      <c r="B135" s="109" t="s">
        <v>265</v>
      </c>
      <c r="C135" s="108">
        <v>43447</v>
      </c>
      <c r="D135" s="108">
        <v>0</v>
      </c>
      <c r="E135" s="108">
        <v>420</v>
      </c>
      <c r="F135" s="108">
        <v>0</v>
      </c>
      <c r="G135" s="108">
        <v>422</v>
      </c>
      <c r="H135" s="108">
        <v>5480</v>
      </c>
      <c r="I135" s="108">
        <v>109</v>
      </c>
      <c r="J135">
        <v>0</v>
      </c>
      <c r="K135">
        <v>0</v>
      </c>
      <c r="L135">
        <v>0</v>
      </c>
      <c r="M135" s="108">
        <v>0</v>
      </c>
      <c r="N135" s="108">
        <v>0</v>
      </c>
      <c r="O135" s="108">
        <v>0</v>
      </c>
      <c r="P135" s="108">
        <v>0</v>
      </c>
      <c r="Q135" s="108">
        <v>0</v>
      </c>
      <c r="R135" s="108">
        <v>0</v>
      </c>
      <c r="S135">
        <v>151584</v>
      </c>
      <c r="T135">
        <v>10285</v>
      </c>
      <c r="U135">
        <v>0</v>
      </c>
      <c r="V135" s="108">
        <v>955</v>
      </c>
      <c r="W135" s="108">
        <v>64814</v>
      </c>
      <c r="X135" s="108">
        <v>1631</v>
      </c>
      <c r="Y135" s="108">
        <v>0</v>
      </c>
      <c r="Z135" s="108">
        <v>460</v>
      </c>
      <c r="AA135" s="108">
        <v>0</v>
      </c>
      <c r="AB135" s="108">
        <v>0</v>
      </c>
      <c r="AC135" s="108">
        <v>0</v>
      </c>
      <c r="AD135" s="108">
        <v>0</v>
      </c>
    </row>
    <row r="136" spans="1:30" ht="15" x14ac:dyDescent="0.25">
      <c r="A136">
        <v>420</v>
      </c>
      <c r="B136" s="109" t="s">
        <v>266</v>
      </c>
      <c r="C136" s="108">
        <v>13956</v>
      </c>
      <c r="D136" s="108">
        <v>0</v>
      </c>
      <c r="E136" s="108">
        <v>6</v>
      </c>
      <c r="F136" s="108">
        <v>353</v>
      </c>
      <c r="G136" s="108">
        <v>39</v>
      </c>
      <c r="H136" s="108">
        <v>3405</v>
      </c>
      <c r="I136" s="108">
        <v>31</v>
      </c>
      <c r="J136">
        <v>0</v>
      </c>
      <c r="K136">
        <v>0</v>
      </c>
      <c r="L136">
        <v>0</v>
      </c>
      <c r="M136" s="108">
        <v>0</v>
      </c>
      <c r="N136" s="108">
        <v>0</v>
      </c>
      <c r="O136" s="108">
        <v>0</v>
      </c>
      <c r="P136" s="108">
        <v>0</v>
      </c>
      <c r="Q136" s="108">
        <v>0</v>
      </c>
      <c r="R136" s="108">
        <v>0</v>
      </c>
      <c r="S136">
        <v>67255</v>
      </c>
      <c r="T136">
        <v>4235</v>
      </c>
      <c r="U136">
        <v>343</v>
      </c>
      <c r="V136" s="108">
        <v>1101</v>
      </c>
      <c r="W136" s="108">
        <v>39857</v>
      </c>
      <c r="X136" s="108">
        <v>560</v>
      </c>
      <c r="Y136" s="108">
        <v>0</v>
      </c>
      <c r="Z136" s="108">
        <v>59</v>
      </c>
      <c r="AA136" s="108">
        <v>0</v>
      </c>
      <c r="AB136" s="108">
        <v>0</v>
      </c>
      <c r="AC136" s="108">
        <v>84</v>
      </c>
      <c r="AD136" s="108">
        <v>0</v>
      </c>
    </row>
    <row r="137" spans="1:30" ht="15" x14ac:dyDescent="0.25">
      <c r="A137">
        <v>421</v>
      </c>
      <c r="B137" s="109" t="s">
        <v>267</v>
      </c>
      <c r="C137" s="108">
        <v>1775</v>
      </c>
      <c r="D137" s="108">
        <v>0</v>
      </c>
      <c r="E137" s="108">
        <v>0</v>
      </c>
      <c r="F137" s="108">
        <v>8</v>
      </c>
      <c r="G137" s="108">
        <v>0</v>
      </c>
      <c r="H137" s="108">
        <v>101</v>
      </c>
      <c r="I137" s="108">
        <v>0</v>
      </c>
      <c r="J137">
        <v>0</v>
      </c>
      <c r="K137">
        <v>0</v>
      </c>
      <c r="L137">
        <v>0</v>
      </c>
      <c r="M137" s="108">
        <v>0</v>
      </c>
      <c r="N137" s="108">
        <v>0</v>
      </c>
      <c r="O137" s="108">
        <v>0</v>
      </c>
      <c r="P137" s="108">
        <v>0</v>
      </c>
      <c r="Q137" s="108">
        <v>0</v>
      </c>
      <c r="R137" s="108">
        <v>0</v>
      </c>
      <c r="S137">
        <v>6922</v>
      </c>
      <c r="T137">
        <v>285</v>
      </c>
      <c r="U137">
        <v>8</v>
      </c>
      <c r="V137" s="108">
        <v>13</v>
      </c>
      <c r="W137" s="108">
        <v>3179</v>
      </c>
      <c r="X137" s="108">
        <v>135</v>
      </c>
      <c r="Y137" s="108">
        <v>0</v>
      </c>
      <c r="Z137" s="108">
        <v>60</v>
      </c>
      <c r="AA137" s="108">
        <v>5</v>
      </c>
      <c r="AB137" s="108">
        <v>0</v>
      </c>
      <c r="AC137" s="108">
        <v>0</v>
      </c>
      <c r="AD137" s="108">
        <v>0</v>
      </c>
    </row>
    <row r="138" spans="1:30" ht="15" x14ac:dyDescent="0.25">
      <c r="A138">
        <v>422</v>
      </c>
      <c r="B138" s="109" t="s">
        <v>268</v>
      </c>
      <c r="C138" s="108">
        <v>22341</v>
      </c>
      <c r="D138" s="108">
        <v>0</v>
      </c>
      <c r="E138" s="108">
        <v>151</v>
      </c>
      <c r="F138" s="108">
        <v>0</v>
      </c>
      <c r="G138" s="108">
        <v>202</v>
      </c>
      <c r="H138" s="108">
        <v>7111</v>
      </c>
      <c r="I138" s="108">
        <v>0</v>
      </c>
      <c r="J138">
        <v>0</v>
      </c>
      <c r="K138">
        <v>0</v>
      </c>
      <c r="L138">
        <v>0</v>
      </c>
      <c r="M138" s="108">
        <v>0</v>
      </c>
      <c r="N138" s="108">
        <v>0</v>
      </c>
      <c r="O138" s="108">
        <v>0</v>
      </c>
      <c r="P138" s="108">
        <v>0</v>
      </c>
      <c r="Q138" s="108">
        <v>0</v>
      </c>
      <c r="R138" s="108">
        <v>0</v>
      </c>
      <c r="S138">
        <v>95094</v>
      </c>
      <c r="T138">
        <v>4696</v>
      </c>
      <c r="U138">
        <v>0</v>
      </c>
      <c r="V138" s="108">
        <v>1714</v>
      </c>
      <c r="W138" s="108">
        <v>58693</v>
      </c>
      <c r="X138" s="108">
        <v>949</v>
      </c>
      <c r="Y138" s="108">
        <v>0</v>
      </c>
      <c r="Z138" s="108">
        <v>84</v>
      </c>
      <c r="AA138" s="108">
        <v>0</v>
      </c>
      <c r="AB138" s="108">
        <v>0</v>
      </c>
      <c r="AC138" s="108">
        <v>0</v>
      </c>
      <c r="AD138" s="108">
        <v>0</v>
      </c>
    </row>
    <row r="139" spans="1:30" ht="15" x14ac:dyDescent="0.25">
      <c r="A139">
        <v>423</v>
      </c>
      <c r="B139" s="109" t="s">
        <v>269</v>
      </c>
      <c r="C139" s="108">
        <v>47918</v>
      </c>
      <c r="D139" s="108">
        <v>0</v>
      </c>
      <c r="E139" s="108">
        <v>0</v>
      </c>
      <c r="F139" s="108">
        <v>2371</v>
      </c>
      <c r="G139" s="108">
        <v>419</v>
      </c>
      <c r="H139" s="108">
        <v>17163</v>
      </c>
      <c r="I139" s="108">
        <v>0</v>
      </c>
      <c r="J139">
        <v>0</v>
      </c>
      <c r="K139">
        <v>0</v>
      </c>
      <c r="L139">
        <v>0</v>
      </c>
      <c r="M139" s="108">
        <v>0</v>
      </c>
      <c r="N139" s="108">
        <v>0</v>
      </c>
      <c r="O139" s="108">
        <v>0</v>
      </c>
      <c r="P139" s="108">
        <v>0</v>
      </c>
      <c r="Q139" s="108">
        <v>0</v>
      </c>
      <c r="R139" s="108">
        <v>0</v>
      </c>
      <c r="S139">
        <v>135552</v>
      </c>
      <c r="T139">
        <v>5486</v>
      </c>
      <c r="U139">
        <v>2371</v>
      </c>
      <c r="V139" s="108">
        <v>1261</v>
      </c>
      <c r="W139" s="108">
        <v>68442</v>
      </c>
      <c r="X139" s="108">
        <v>1351</v>
      </c>
      <c r="Y139" s="108">
        <v>0</v>
      </c>
      <c r="Z139" s="108">
        <v>79</v>
      </c>
      <c r="AA139" s="108">
        <v>4</v>
      </c>
      <c r="AB139" s="108">
        <v>0</v>
      </c>
      <c r="AC139" s="108">
        <v>1887</v>
      </c>
      <c r="AD139" s="108">
        <v>0</v>
      </c>
    </row>
    <row r="140" spans="1:30" ht="15" x14ac:dyDescent="0.25">
      <c r="A140">
        <v>425</v>
      </c>
      <c r="B140" s="109" t="s">
        <v>270</v>
      </c>
      <c r="C140" s="108">
        <v>16397</v>
      </c>
      <c r="D140" s="108">
        <v>0</v>
      </c>
      <c r="E140" s="108">
        <v>0</v>
      </c>
      <c r="F140" s="108">
        <v>757</v>
      </c>
      <c r="G140" s="108">
        <v>159</v>
      </c>
      <c r="H140" s="108">
        <v>3746</v>
      </c>
      <c r="I140" s="108">
        <v>0</v>
      </c>
      <c r="J140">
        <v>0</v>
      </c>
      <c r="K140">
        <v>0</v>
      </c>
      <c r="L140">
        <v>0</v>
      </c>
      <c r="M140" s="108">
        <v>0</v>
      </c>
      <c r="N140" s="108">
        <v>0</v>
      </c>
      <c r="O140" s="108">
        <v>0</v>
      </c>
      <c r="P140" s="108">
        <v>0</v>
      </c>
      <c r="Q140" s="108">
        <v>0</v>
      </c>
      <c r="R140" s="108">
        <v>0</v>
      </c>
      <c r="S140">
        <v>63998</v>
      </c>
      <c r="T140">
        <v>4043</v>
      </c>
      <c r="U140">
        <v>757</v>
      </c>
      <c r="V140" s="108">
        <v>300</v>
      </c>
      <c r="W140" s="108">
        <v>27372</v>
      </c>
      <c r="X140" s="108">
        <v>601</v>
      </c>
      <c r="Y140" s="108">
        <v>1</v>
      </c>
      <c r="Z140" s="108">
        <v>151</v>
      </c>
      <c r="AA140" s="108">
        <v>0</v>
      </c>
      <c r="AB140" s="108">
        <v>1</v>
      </c>
      <c r="AC140" s="108">
        <v>226</v>
      </c>
      <c r="AD140" s="108">
        <v>0</v>
      </c>
    </row>
    <row r="141" spans="1:30" ht="15" x14ac:dyDescent="0.25">
      <c r="A141">
        <v>426</v>
      </c>
      <c r="B141" s="109" t="s">
        <v>271</v>
      </c>
      <c r="C141" s="108">
        <v>23873</v>
      </c>
      <c r="D141" s="108">
        <v>0</v>
      </c>
      <c r="E141" s="108">
        <v>0</v>
      </c>
      <c r="F141" s="108">
        <v>0</v>
      </c>
      <c r="G141" s="108">
        <v>239</v>
      </c>
      <c r="H141" s="108">
        <v>4626</v>
      </c>
      <c r="I141" s="108">
        <v>9</v>
      </c>
      <c r="J141">
        <v>0</v>
      </c>
      <c r="K141">
        <v>0</v>
      </c>
      <c r="L141">
        <v>0</v>
      </c>
      <c r="M141" s="108">
        <v>0</v>
      </c>
      <c r="N141" s="108">
        <v>0</v>
      </c>
      <c r="O141" s="108">
        <v>0</v>
      </c>
      <c r="P141" s="108">
        <v>0</v>
      </c>
      <c r="Q141" s="108">
        <v>0</v>
      </c>
      <c r="R141" s="108">
        <v>0</v>
      </c>
      <c r="S141">
        <v>85847</v>
      </c>
      <c r="T141">
        <v>2440</v>
      </c>
      <c r="U141">
        <v>0</v>
      </c>
      <c r="V141" s="108">
        <v>457</v>
      </c>
      <c r="W141" s="108">
        <v>45413</v>
      </c>
      <c r="X141" s="108">
        <v>936</v>
      </c>
      <c r="Y141" s="108">
        <v>0</v>
      </c>
      <c r="Z141" s="108">
        <v>52</v>
      </c>
      <c r="AA141" s="108">
        <v>11</v>
      </c>
      <c r="AB141" s="108">
        <v>0</v>
      </c>
      <c r="AC141" s="108">
        <v>0</v>
      </c>
      <c r="AD141" s="108">
        <v>0</v>
      </c>
    </row>
    <row r="142" spans="1:30" ht="15" x14ac:dyDescent="0.25">
      <c r="A142">
        <v>430</v>
      </c>
      <c r="B142" s="109" t="s">
        <v>273</v>
      </c>
      <c r="C142" s="108">
        <v>31047</v>
      </c>
      <c r="D142" s="108">
        <v>0</v>
      </c>
      <c r="E142" s="108">
        <v>2</v>
      </c>
      <c r="F142" s="108">
        <v>0</v>
      </c>
      <c r="G142" s="108">
        <v>198</v>
      </c>
      <c r="H142" s="108">
        <v>9592</v>
      </c>
      <c r="I142" s="108">
        <v>0</v>
      </c>
      <c r="J142">
        <v>0</v>
      </c>
      <c r="K142">
        <v>0</v>
      </c>
      <c r="L142">
        <v>0</v>
      </c>
      <c r="M142" s="108">
        <v>0</v>
      </c>
      <c r="N142" s="108">
        <v>0</v>
      </c>
      <c r="O142" s="108">
        <v>0</v>
      </c>
      <c r="P142" s="108">
        <v>0</v>
      </c>
      <c r="Q142" s="108">
        <v>0</v>
      </c>
      <c r="R142" s="108">
        <v>0</v>
      </c>
      <c r="S142">
        <v>121531</v>
      </c>
      <c r="T142">
        <v>4051</v>
      </c>
      <c r="U142">
        <v>0</v>
      </c>
      <c r="V142" s="108">
        <v>526</v>
      </c>
      <c r="W142" s="108">
        <v>71065</v>
      </c>
      <c r="X142" s="108">
        <v>1173</v>
      </c>
      <c r="Y142" s="108">
        <v>0</v>
      </c>
      <c r="Z142" s="108">
        <v>52</v>
      </c>
      <c r="AA142" s="108">
        <v>0</v>
      </c>
      <c r="AB142" s="108">
        <v>0</v>
      </c>
      <c r="AC142" s="108">
        <v>0</v>
      </c>
      <c r="AD142" s="108">
        <v>0</v>
      </c>
    </row>
    <row r="143" spans="1:30" ht="15" x14ac:dyDescent="0.25">
      <c r="A143">
        <v>433</v>
      </c>
      <c r="B143" s="109" t="s">
        <v>274</v>
      </c>
      <c r="C143" s="108">
        <v>9096</v>
      </c>
      <c r="D143" s="108">
        <v>0</v>
      </c>
      <c r="E143" s="108">
        <v>68</v>
      </c>
      <c r="F143" s="108">
        <v>96</v>
      </c>
      <c r="G143" s="108">
        <v>52</v>
      </c>
      <c r="H143" s="108">
        <v>2672</v>
      </c>
      <c r="I143" s="108">
        <v>0</v>
      </c>
      <c r="J143">
        <v>0</v>
      </c>
      <c r="K143">
        <v>0</v>
      </c>
      <c r="L143">
        <v>0</v>
      </c>
      <c r="M143" s="108">
        <v>0</v>
      </c>
      <c r="N143" s="108">
        <v>0</v>
      </c>
      <c r="O143" s="108">
        <v>0</v>
      </c>
      <c r="P143" s="108">
        <v>0</v>
      </c>
      <c r="Q143" s="108">
        <v>0</v>
      </c>
      <c r="R143" s="108">
        <v>0</v>
      </c>
      <c r="S143">
        <v>49396</v>
      </c>
      <c r="T143">
        <v>1770</v>
      </c>
      <c r="U143">
        <v>96</v>
      </c>
      <c r="V143" s="108">
        <v>495</v>
      </c>
      <c r="W143" s="108">
        <v>26601</v>
      </c>
      <c r="X143" s="108">
        <v>419</v>
      </c>
      <c r="Y143" s="108">
        <v>0</v>
      </c>
      <c r="Z143" s="108">
        <v>111</v>
      </c>
      <c r="AA143" s="108">
        <v>0</v>
      </c>
      <c r="AB143" s="108">
        <v>0</v>
      </c>
      <c r="AC143" s="108">
        <v>0</v>
      </c>
      <c r="AD143" s="108">
        <v>0</v>
      </c>
    </row>
    <row r="144" spans="1:30" ht="15" x14ac:dyDescent="0.25">
      <c r="A144">
        <v>434</v>
      </c>
      <c r="B144" s="109" t="s">
        <v>275</v>
      </c>
      <c r="C144" s="108">
        <v>44668</v>
      </c>
      <c r="D144" s="108">
        <v>0</v>
      </c>
      <c r="E144" s="108">
        <v>0</v>
      </c>
      <c r="F144" s="108">
        <v>0</v>
      </c>
      <c r="G144" s="108">
        <v>92</v>
      </c>
      <c r="H144" s="108">
        <v>9040</v>
      </c>
      <c r="I144" s="108">
        <v>0</v>
      </c>
      <c r="J144">
        <v>0</v>
      </c>
      <c r="K144">
        <v>0</v>
      </c>
      <c r="L144">
        <v>0</v>
      </c>
      <c r="M144" s="108">
        <v>0</v>
      </c>
      <c r="N144" s="108">
        <v>0</v>
      </c>
      <c r="O144" s="108">
        <v>0</v>
      </c>
      <c r="P144" s="108">
        <v>0</v>
      </c>
      <c r="Q144" s="108">
        <v>0</v>
      </c>
      <c r="R144" s="108">
        <v>0</v>
      </c>
      <c r="S144">
        <v>131898</v>
      </c>
      <c r="T144">
        <v>4070</v>
      </c>
      <c r="U144">
        <v>0</v>
      </c>
      <c r="V144" s="108">
        <v>1609</v>
      </c>
      <c r="W144" s="108">
        <v>60967</v>
      </c>
      <c r="X144" s="108">
        <v>1979</v>
      </c>
      <c r="Y144" s="108">
        <v>0</v>
      </c>
      <c r="Z144" s="108">
        <v>37</v>
      </c>
      <c r="AA144" s="108">
        <v>0</v>
      </c>
      <c r="AB144" s="108">
        <v>0</v>
      </c>
      <c r="AC144" s="108">
        <v>0</v>
      </c>
      <c r="AD144" s="108">
        <v>0</v>
      </c>
    </row>
    <row r="145" spans="1:30" ht="15" x14ac:dyDescent="0.25">
      <c r="A145">
        <v>435</v>
      </c>
      <c r="B145" s="109" t="s">
        <v>276</v>
      </c>
      <c r="C145" s="108">
        <v>1204</v>
      </c>
      <c r="D145" s="108">
        <v>0</v>
      </c>
      <c r="E145" s="108">
        <v>0</v>
      </c>
      <c r="F145" s="108">
        <v>0</v>
      </c>
      <c r="G145" s="108">
        <v>1</v>
      </c>
      <c r="H145" s="108">
        <v>380</v>
      </c>
      <c r="I145" s="108">
        <v>0</v>
      </c>
      <c r="J145">
        <v>0</v>
      </c>
      <c r="K145">
        <v>0</v>
      </c>
      <c r="L145">
        <v>0</v>
      </c>
      <c r="M145" s="108">
        <v>0</v>
      </c>
      <c r="N145" s="108">
        <v>0</v>
      </c>
      <c r="O145" s="108">
        <v>0</v>
      </c>
      <c r="P145" s="108">
        <v>0</v>
      </c>
      <c r="Q145" s="108">
        <v>0</v>
      </c>
      <c r="R145" s="108">
        <v>0</v>
      </c>
      <c r="S145">
        <v>5848</v>
      </c>
      <c r="T145">
        <v>199</v>
      </c>
      <c r="U145">
        <v>0</v>
      </c>
      <c r="V145" s="108">
        <v>54</v>
      </c>
      <c r="W145" s="108">
        <v>3404</v>
      </c>
      <c r="X145" s="108">
        <v>56</v>
      </c>
      <c r="Y145" s="108">
        <v>0</v>
      </c>
      <c r="Z145" s="108">
        <v>0</v>
      </c>
      <c r="AA145" s="108">
        <v>0</v>
      </c>
      <c r="AB145" s="108">
        <v>0</v>
      </c>
      <c r="AC145" s="108">
        <v>0</v>
      </c>
      <c r="AD145" s="108">
        <v>0</v>
      </c>
    </row>
    <row r="146" spans="1:30" ht="15" x14ac:dyDescent="0.25">
      <c r="A146">
        <v>436</v>
      </c>
      <c r="B146" s="109" t="s">
        <v>277</v>
      </c>
      <c r="C146" s="108">
        <v>3818</v>
      </c>
      <c r="D146" s="108">
        <v>0</v>
      </c>
      <c r="E146" s="108">
        <v>9</v>
      </c>
      <c r="F146" s="108">
        <v>0</v>
      </c>
      <c r="G146" s="108">
        <v>2</v>
      </c>
      <c r="H146" s="108">
        <v>1041</v>
      </c>
      <c r="I146" s="108">
        <v>4</v>
      </c>
      <c r="J146">
        <v>0</v>
      </c>
      <c r="K146">
        <v>0</v>
      </c>
      <c r="L146">
        <v>0</v>
      </c>
      <c r="M146" s="108">
        <v>0</v>
      </c>
      <c r="N146" s="108">
        <v>0</v>
      </c>
      <c r="O146" s="108">
        <v>0</v>
      </c>
      <c r="P146" s="108">
        <v>0</v>
      </c>
      <c r="Q146" s="108">
        <v>0</v>
      </c>
      <c r="R146" s="108">
        <v>0</v>
      </c>
      <c r="S146">
        <v>14491</v>
      </c>
      <c r="T146">
        <v>623</v>
      </c>
      <c r="U146">
        <v>419</v>
      </c>
      <c r="V146" s="108">
        <v>104</v>
      </c>
      <c r="W146" s="108">
        <v>6873</v>
      </c>
      <c r="X146" s="108">
        <v>11</v>
      </c>
      <c r="Y146" s="108">
        <v>0</v>
      </c>
      <c r="Z146" s="108">
        <v>21</v>
      </c>
      <c r="AA146" s="108">
        <v>1</v>
      </c>
      <c r="AB146" s="108">
        <v>0</v>
      </c>
      <c r="AC146" s="108">
        <v>168</v>
      </c>
      <c r="AD146" s="108">
        <v>0</v>
      </c>
    </row>
    <row r="147" spans="1:30" ht="15" x14ac:dyDescent="0.25">
      <c r="A147">
        <v>440</v>
      </c>
      <c r="B147" s="109" t="s">
        <v>278</v>
      </c>
      <c r="C147" s="108">
        <v>7137</v>
      </c>
      <c r="D147" s="108">
        <v>0</v>
      </c>
      <c r="E147" s="108">
        <v>0</v>
      </c>
      <c r="F147" s="108">
        <v>0</v>
      </c>
      <c r="G147" s="108">
        <v>0</v>
      </c>
      <c r="H147" s="108">
        <v>106</v>
      </c>
      <c r="I147" s="108">
        <v>0</v>
      </c>
      <c r="J147">
        <v>0</v>
      </c>
      <c r="K147">
        <v>0</v>
      </c>
      <c r="L147">
        <v>0</v>
      </c>
      <c r="M147" s="108">
        <v>0</v>
      </c>
      <c r="N147" s="108">
        <v>0</v>
      </c>
      <c r="O147" s="108">
        <v>0</v>
      </c>
      <c r="P147" s="108">
        <v>0</v>
      </c>
      <c r="Q147" s="108">
        <v>0</v>
      </c>
      <c r="R147" s="108">
        <v>0</v>
      </c>
      <c r="S147">
        <v>31966</v>
      </c>
      <c r="T147">
        <v>1125</v>
      </c>
      <c r="U147">
        <v>0</v>
      </c>
      <c r="V147" s="108">
        <v>21</v>
      </c>
      <c r="W147" s="108">
        <v>13071</v>
      </c>
      <c r="X147" s="108">
        <v>310</v>
      </c>
      <c r="Y147" s="108">
        <v>0</v>
      </c>
      <c r="Z147" s="108">
        <v>0</v>
      </c>
      <c r="AA147" s="108">
        <v>10</v>
      </c>
      <c r="AB147" s="108">
        <v>0</v>
      </c>
      <c r="AC147" s="108">
        <v>0</v>
      </c>
      <c r="AD147" s="108">
        <v>0</v>
      </c>
    </row>
    <row r="148" spans="1:30" ht="15" x14ac:dyDescent="0.25">
      <c r="A148">
        <v>441</v>
      </c>
      <c r="B148" s="109" t="s">
        <v>279</v>
      </c>
      <c r="C148" s="108">
        <v>6114</v>
      </c>
      <c r="D148" s="108">
        <v>0</v>
      </c>
      <c r="E148" s="108">
        <v>7</v>
      </c>
      <c r="F148" s="108">
        <v>0</v>
      </c>
      <c r="G148" s="108">
        <v>152</v>
      </c>
      <c r="H148" s="108">
        <v>242</v>
      </c>
      <c r="I148" s="108">
        <v>0</v>
      </c>
      <c r="J148">
        <v>0</v>
      </c>
      <c r="K148">
        <v>0</v>
      </c>
      <c r="L148">
        <v>0</v>
      </c>
      <c r="M148" s="108">
        <v>0</v>
      </c>
      <c r="N148" s="108">
        <v>0</v>
      </c>
      <c r="O148" s="108">
        <v>0</v>
      </c>
      <c r="P148" s="108">
        <v>0</v>
      </c>
      <c r="Q148" s="108">
        <v>0</v>
      </c>
      <c r="R148" s="108">
        <v>0</v>
      </c>
      <c r="S148">
        <v>34322</v>
      </c>
      <c r="T148">
        <v>1819</v>
      </c>
      <c r="U148">
        <v>0</v>
      </c>
      <c r="V148" s="108">
        <v>365</v>
      </c>
      <c r="W148" s="108">
        <v>19296</v>
      </c>
      <c r="X148" s="108">
        <v>431</v>
      </c>
      <c r="Y148" s="108">
        <v>0</v>
      </c>
      <c r="Z148" s="108">
        <v>0</v>
      </c>
      <c r="AA148" s="108">
        <v>0</v>
      </c>
      <c r="AB148" s="108">
        <v>0</v>
      </c>
      <c r="AC148" s="108">
        <v>0</v>
      </c>
      <c r="AD148" s="108">
        <v>0</v>
      </c>
    </row>
    <row r="149" spans="1:30" ht="15" x14ac:dyDescent="0.25">
      <c r="A149">
        <v>442</v>
      </c>
      <c r="B149" s="109" t="s">
        <v>280</v>
      </c>
      <c r="C149" s="108">
        <v>4158</v>
      </c>
      <c r="D149" s="108">
        <v>0</v>
      </c>
      <c r="E149" s="108">
        <v>0</v>
      </c>
      <c r="F149" s="108">
        <v>358</v>
      </c>
      <c r="G149" s="108">
        <v>0</v>
      </c>
      <c r="H149" s="108">
        <v>698</v>
      </c>
      <c r="I149" s="108">
        <v>1</v>
      </c>
      <c r="J149">
        <v>0</v>
      </c>
      <c r="K149">
        <v>0</v>
      </c>
      <c r="L149">
        <v>0</v>
      </c>
      <c r="M149" s="108">
        <v>0</v>
      </c>
      <c r="N149" s="108">
        <v>0</v>
      </c>
      <c r="O149" s="108">
        <v>0</v>
      </c>
      <c r="P149" s="108">
        <v>0</v>
      </c>
      <c r="Q149" s="108">
        <v>0</v>
      </c>
      <c r="R149" s="108">
        <v>0</v>
      </c>
      <c r="S149">
        <v>20782</v>
      </c>
      <c r="T149">
        <v>770</v>
      </c>
      <c r="U149">
        <v>358</v>
      </c>
      <c r="V149" s="108">
        <v>50</v>
      </c>
      <c r="W149" s="108">
        <v>10705</v>
      </c>
      <c r="X149" s="108">
        <v>294</v>
      </c>
      <c r="Y149" s="108">
        <v>0</v>
      </c>
      <c r="Z149" s="108">
        <v>8</v>
      </c>
      <c r="AA149" s="108">
        <v>0</v>
      </c>
      <c r="AB149" s="108">
        <v>0</v>
      </c>
      <c r="AC149" s="108">
        <v>101</v>
      </c>
      <c r="AD149" s="108">
        <v>1</v>
      </c>
    </row>
    <row r="150" spans="1:30" ht="15" x14ac:dyDescent="0.25">
      <c r="A150">
        <v>444</v>
      </c>
      <c r="B150" s="109" t="s">
        <v>272</v>
      </c>
      <c r="C150" s="108">
        <v>81062</v>
      </c>
      <c r="D150" s="108">
        <v>0</v>
      </c>
      <c r="E150" s="108">
        <v>0</v>
      </c>
      <c r="F150" s="108">
        <v>20937</v>
      </c>
      <c r="G150" s="108">
        <v>0</v>
      </c>
      <c r="H150" s="108">
        <v>21964</v>
      </c>
      <c r="I150" s="108">
        <v>0</v>
      </c>
      <c r="J150">
        <v>0</v>
      </c>
      <c r="K150">
        <v>0</v>
      </c>
      <c r="L150">
        <v>0</v>
      </c>
      <c r="M150" s="108">
        <v>0</v>
      </c>
      <c r="N150" s="108">
        <v>0</v>
      </c>
      <c r="O150" s="108">
        <v>0</v>
      </c>
      <c r="P150" s="108">
        <v>0</v>
      </c>
      <c r="Q150" s="108">
        <v>5356</v>
      </c>
      <c r="R150" s="108">
        <v>0</v>
      </c>
      <c r="S150">
        <v>321496</v>
      </c>
      <c r="T150">
        <v>13632</v>
      </c>
      <c r="U150">
        <v>20937</v>
      </c>
      <c r="V150" s="108">
        <v>3578</v>
      </c>
      <c r="W150" s="108">
        <v>171735</v>
      </c>
      <c r="X150" s="108">
        <v>3103</v>
      </c>
      <c r="Y150" s="108">
        <v>0</v>
      </c>
      <c r="Z150" s="108">
        <v>408</v>
      </c>
      <c r="AA150" s="108">
        <v>0</v>
      </c>
      <c r="AB150" s="108">
        <v>4</v>
      </c>
      <c r="AC150" s="108">
        <v>8767</v>
      </c>
      <c r="AD150" s="108">
        <v>68</v>
      </c>
    </row>
    <row r="151" spans="1:30" ht="15" x14ac:dyDescent="0.25">
      <c r="A151">
        <v>445</v>
      </c>
      <c r="B151" s="109" t="s">
        <v>129</v>
      </c>
      <c r="C151" s="108">
        <v>27257</v>
      </c>
      <c r="D151" s="108">
        <v>0</v>
      </c>
      <c r="E151" s="108">
        <v>0</v>
      </c>
      <c r="F151" s="108">
        <v>0</v>
      </c>
      <c r="G151" s="108">
        <v>195</v>
      </c>
      <c r="H151" s="108">
        <v>6946</v>
      </c>
      <c r="I151" s="108">
        <v>1</v>
      </c>
      <c r="J151">
        <v>0</v>
      </c>
      <c r="K151">
        <v>0</v>
      </c>
      <c r="L151">
        <v>0</v>
      </c>
      <c r="M151" s="108">
        <v>0</v>
      </c>
      <c r="N151" s="108">
        <v>0</v>
      </c>
      <c r="O151" s="108">
        <v>0</v>
      </c>
      <c r="P151" s="108">
        <v>0</v>
      </c>
      <c r="Q151" s="108">
        <v>0</v>
      </c>
      <c r="R151" s="108">
        <v>0</v>
      </c>
      <c r="S151">
        <v>115122</v>
      </c>
      <c r="T151">
        <v>4609</v>
      </c>
      <c r="U151">
        <v>0</v>
      </c>
      <c r="V151" s="108">
        <v>779</v>
      </c>
      <c r="W151" s="108">
        <v>56539</v>
      </c>
      <c r="X151" s="108">
        <v>1248</v>
      </c>
      <c r="Y151" s="108">
        <v>0</v>
      </c>
      <c r="Z151" s="108">
        <v>507</v>
      </c>
      <c r="AA151" s="108">
        <v>75</v>
      </c>
      <c r="AB151" s="108">
        <v>0</v>
      </c>
      <c r="AC151" s="108">
        <v>0</v>
      </c>
      <c r="AD151" s="108">
        <v>0</v>
      </c>
    </row>
    <row r="152" spans="1:30" ht="15" x14ac:dyDescent="0.25">
      <c r="A152">
        <v>475</v>
      </c>
      <c r="B152" s="109" t="s">
        <v>281</v>
      </c>
      <c r="C152" s="108">
        <v>12473</v>
      </c>
      <c r="D152" s="108">
        <v>0</v>
      </c>
      <c r="E152" s="108">
        <v>32</v>
      </c>
      <c r="F152" s="108">
        <v>0</v>
      </c>
      <c r="G152" s="108">
        <v>4</v>
      </c>
      <c r="H152" s="108">
        <v>4952</v>
      </c>
      <c r="I152" s="108">
        <v>0</v>
      </c>
      <c r="J152">
        <v>0</v>
      </c>
      <c r="K152">
        <v>0</v>
      </c>
      <c r="L152">
        <v>0</v>
      </c>
      <c r="M152" s="108">
        <v>0</v>
      </c>
      <c r="N152" s="108">
        <v>0</v>
      </c>
      <c r="O152" s="108">
        <v>0</v>
      </c>
      <c r="P152" s="108">
        <v>0</v>
      </c>
      <c r="Q152" s="108">
        <v>0</v>
      </c>
      <c r="R152" s="108">
        <v>0</v>
      </c>
      <c r="S152">
        <v>46074</v>
      </c>
      <c r="T152">
        <v>1421</v>
      </c>
      <c r="U152">
        <v>0</v>
      </c>
      <c r="V152" s="108">
        <v>151</v>
      </c>
      <c r="W152" s="108">
        <v>25908</v>
      </c>
      <c r="X152" s="108">
        <v>370</v>
      </c>
      <c r="Y152" s="108">
        <v>0</v>
      </c>
      <c r="Z152" s="108">
        <v>106</v>
      </c>
      <c r="AA152" s="108">
        <v>0</v>
      </c>
      <c r="AB152" s="108">
        <v>0</v>
      </c>
      <c r="AC152" s="108">
        <v>0</v>
      </c>
      <c r="AD152" s="108">
        <v>0</v>
      </c>
    </row>
    <row r="153" spans="1:30" ht="15" x14ac:dyDescent="0.25">
      <c r="A153">
        <v>480</v>
      </c>
      <c r="B153" s="109" t="s">
        <v>282</v>
      </c>
      <c r="C153" s="108">
        <v>2797</v>
      </c>
      <c r="D153" s="108">
        <v>0</v>
      </c>
      <c r="E153" s="108">
        <v>0</v>
      </c>
      <c r="F153" s="108">
        <v>0</v>
      </c>
      <c r="G153" s="108">
        <v>11</v>
      </c>
      <c r="H153" s="108">
        <v>773</v>
      </c>
      <c r="I153" s="108">
        <v>0</v>
      </c>
      <c r="J153">
        <v>0</v>
      </c>
      <c r="K153">
        <v>0</v>
      </c>
      <c r="L153">
        <v>0</v>
      </c>
      <c r="M153" s="108">
        <v>0</v>
      </c>
      <c r="N153" s="108">
        <v>0</v>
      </c>
      <c r="O153" s="108">
        <v>0</v>
      </c>
      <c r="P153" s="108">
        <v>0</v>
      </c>
      <c r="Q153" s="108">
        <v>0</v>
      </c>
      <c r="R153" s="108">
        <v>0</v>
      </c>
      <c r="S153">
        <v>13314</v>
      </c>
      <c r="T153">
        <v>422</v>
      </c>
      <c r="U153">
        <v>0</v>
      </c>
      <c r="V153" s="108">
        <v>72</v>
      </c>
      <c r="W153" s="108">
        <v>7554</v>
      </c>
      <c r="X153" s="108">
        <v>144</v>
      </c>
      <c r="Y153" s="108">
        <v>0</v>
      </c>
      <c r="Z153" s="108">
        <v>52</v>
      </c>
      <c r="AA153" s="108">
        <v>0</v>
      </c>
      <c r="AB153" s="108">
        <v>0</v>
      </c>
      <c r="AC153" s="108">
        <v>0</v>
      </c>
      <c r="AD153" s="108">
        <v>0</v>
      </c>
    </row>
    <row r="154" spans="1:30" ht="15" x14ac:dyDescent="0.25">
      <c r="A154">
        <v>481</v>
      </c>
      <c r="B154" s="109" t="s">
        <v>283</v>
      </c>
      <c r="C154" s="108">
        <v>8443</v>
      </c>
      <c r="D154" s="108">
        <v>0</v>
      </c>
      <c r="E154" s="108">
        <v>0</v>
      </c>
      <c r="F154" s="108">
        <v>660</v>
      </c>
      <c r="G154" s="108">
        <v>0</v>
      </c>
      <c r="H154" s="108">
        <v>743</v>
      </c>
      <c r="I154" s="108">
        <v>0</v>
      </c>
      <c r="J154">
        <v>0</v>
      </c>
      <c r="K154">
        <v>0</v>
      </c>
      <c r="L154">
        <v>0</v>
      </c>
      <c r="M154" s="108">
        <v>0</v>
      </c>
      <c r="N154" s="108">
        <v>0</v>
      </c>
      <c r="O154" s="108">
        <v>0</v>
      </c>
      <c r="P154" s="108">
        <v>0</v>
      </c>
      <c r="Q154" s="108">
        <v>0</v>
      </c>
      <c r="R154" s="108">
        <v>0</v>
      </c>
      <c r="S154">
        <v>52417</v>
      </c>
      <c r="T154">
        <v>2569</v>
      </c>
      <c r="U154">
        <v>2793</v>
      </c>
      <c r="V154" s="108">
        <v>191</v>
      </c>
      <c r="W154" s="108">
        <v>27033</v>
      </c>
      <c r="X154" s="108">
        <v>687</v>
      </c>
      <c r="Y154" s="108">
        <v>0</v>
      </c>
      <c r="Z154" s="108">
        <v>21</v>
      </c>
      <c r="AA154" s="108">
        <v>6</v>
      </c>
      <c r="AB154" s="108">
        <v>0</v>
      </c>
      <c r="AC154" s="108">
        <v>43</v>
      </c>
      <c r="AD154" s="108">
        <v>10</v>
      </c>
    </row>
    <row r="155" spans="1:30" ht="15" x14ac:dyDescent="0.25">
      <c r="A155">
        <v>483</v>
      </c>
      <c r="B155" s="109" t="s">
        <v>284</v>
      </c>
      <c r="C155" s="108">
        <v>1919</v>
      </c>
      <c r="D155" s="108">
        <v>0</v>
      </c>
      <c r="E155" s="108">
        <v>0</v>
      </c>
      <c r="F155" s="108">
        <v>0</v>
      </c>
      <c r="G155" s="108">
        <v>0</v>
      </c>
      <c r="H155" s="108">
        <v>162</v>
      </c>
      <c r="I155" s="108">
        <v>0</v>
      </c>
      <c r="J155">
        <v>0</v>
      </c>
      <c r="K155">
        <v>0</v>
      </c>
      <c r="L155">
        <v>0</v>
      </c>
      <c r="M155" s="108">
        <v>0</v>
      </c>
      <c r="N155" s="108">
        <v>0</v>
      </c>
      <c r="O155" s="108">
        <v>0</v>
      </c>
      <c r="P155" s="108">
        <v>0</v>
      </c>
      <c r="Q155" s="108">
        <v>0</v>
      </c>
      <c r="R155" s="108">
        <v>0</v>
      </c>
      <c r="S155">
        <v>8515</v>
      </c>
      <c r="T155">
        <v>388</v>
      </c>
      <c r="U155">
        <v>22</v>
      </c>
      <c r="V155" s="108">
        <v>50</v>
      </c>
      <c r="W155" s="108">
        <v>4177</v>
      </c>
      <c r="X155" s="108">
        <v>81</v>
      </c>
      <c r="Y155" s="108">
        <v>0</v>
      </c>
      <c r="Z155" s="108">
        <v>0</v>
      </c>
      <c r="AA155" s="108">
        <v>0</v>
      </c>
      <c r="AB155" s="108">
        <v>0</v>
      </c>
      <c r="AC155" s="108">
        <v>1</v>
      </c>
      <c r="AD155" s="108">
        <v>0</v>
      </c>
    </row>
    <row r="156" spans="1:30" ht="15" x14ac:dyDescent="0.25">
      <c r="A156">
        <v>484</v>
      </c>
      <c r="B156" s="109" t="s">
        <v>285</v>
      </c>
      <c r="C156" s="108">
        <v>5305</v>
      </c>
      <c r="D156" s="108">
        <v>0</v>
      </c>
      <c r="E156" s="108">
        <v>0</v>
      </c>
      <c r="F156" s="108">
        <v>329</v>
      </c>
      <c r="G156" s="108">
        <v>0</v>
      </c>
      <c r="H156" s="108">
        <v>138</v>
      </c>
      <c r="I156" s="108">
        <v>0</v>
      </c>
      <c r="J156">
        <v>0</v>
      </c>
      <c r="K156">
        <v>0</v>
      </c>
      <c r="L156">
        <v>0</v>
      </c>
      <c r="M156" s="108">
        <v>0</v>
      </c>
      <c r="N156" s="108">
        <v>0</v>
      </c>
      <c r="O156" s="108">
        <v>0</v>
      </c>
      <c r="P156" s="108">
        <v>0</v>
      </c>
      <c r="Q156" s="108">
        <v>0</v>
      </c>
      <c r="R156" s="108">
        <v>0</v>
      </c>
      <c r="S156">
        <v>25916</v>
      </c>
      <c r="T156">
        <v>1137</v>
      </c>
      <c r="U156">
        <v>329</v>
      </c>
      <c r="V156" s="108">
        <v>115</v>
      </c>
      <c r="W156" s="108">
        <v>12853</v>
      </c>
      <c r="X156" s="108">
        <v>350</v>
      </c>
      <c r="Y156" s="108">
        <v>0</v>
      </c>
      <c r="Z156" s="108">
        <v>0</v>
      </c>
      <c r="AA156" s="108">
        <v>23</v>
      </c>
      <c r="AB156" s="108">
        <v>0</v>
      </c>
      <c r="AC156" s="108">
        <v>0</v>
      </c>
      <c r="AD156" s="108">
        <v>0</v>
      </c>
    </row>
    <row r="157" spans="1:30" ht="15" x14ac:dyDescent="0.25">
      <c r="A157">
        <v>489</v>
      </c>
      <c r="B157" s="109" t="s">
        <v>286</v>
      </c>
      <c r="C157" s="108">
        <v>12634</v>
      </c>
      <c r="D157" s="108">
        <v>0</v>
      </c>
      <c r="E157" s="108">
        <v>0</v>
      </c>
      <c r="F157" s="108">
        <v>0</v>
      </c>
      <c r="G157" s="108">
        <v>199</v>
      </c>
      <c r="H157" s="108">
        <v>8976</v>
      </c>
      <c r="I157" s="108">
        <v>1</v>
      </c>
      <c r="J157">
        <v>0</v>
      </c>
      <c r="K157">
        <v>0</v>
      </c>
      <c r="L157">
        <v>0</v>
      </c>
      <c r="M157" s="108">
        <v>0</v>
      </c>
      <c r="N157" s="108">
        <v>0</v>
      </c>
      <c r="O157" s="108">
        <v>0</v>
      </c>
      <c r="P157" s="108">
        <v>0</v>
      </c>
      <c r="Q157" s="108">
        <v>0</v>
      </c>
      <c r="R157" s="108">
        <v>0</v>
      </c>
      <c r="S157">
        <v>24755</v>
      </c>
      <c r="T157">
        <v>666</v>
      </c>
      <c r="U157">
        <v>0</v>
      </c>
      <c r="V157" s="108">
        <v>383</v>
      </c>
      <c r="W157" s="108">
        <v>16365</v>
      </c>
      <c r="X157" s="108">
        <v>177</v>
      </c>
      <c r="Y157" s="108">
        <v>0</v>
      </c>
      <c r="Z157" s="108">
        <v>5</v>
      </c>
      <c r="AA157" s="108">
        <v>0</v>
      </c>
      <c r="AB157" s="108">
        <v>0</v>
      </c>
      <c r="AC157" s="108">
        <v>0</v>
      </c>
      <c r="AD157" s="108">
        <v>0</v>
      </c>
    </row>
    <row r="158" spans="1:30" ht="15" x14ac:dyDescent="0.25">
      <c r="A158">
        <v>491</v>
      </c>
      <c r="B158" s="109" t="s">
        <v>287</v>
      </c>
      <c r="C158" s="108">
        <v>139623</v>
      </c>
      <c r="D158" s="108">
        <v>0</v>
      </c>
      <c r="E158" s="108">
        <v>677</v>
      </c>
      <c r="F158" s="108">
        <v>0</v>
      </c>
      <c r="G158" s="108">
        <v>472</v>
      </c>
      <c r="H158" s="108">
        <v>40441</v>
      </c>
      <c r="I158" s="108">
        <v>12293</v>
      </c>
      <c r="J158">
        <v>0</v>
      </c>
      <c r="K158">
        <v>0</v>
      </c>
      <c r="L158">
        <v>0</v>
      </c>
      <c r="M158" s="108">
        <v>0</v>
      </c>
      <c r="N158" s="108">
        <v>0</v>
      </c>
      <c r="O158" s="108">
        <v>0</v>
      </c>
      <c r="P158" s="108">
        <v>0</v>
      </c>
      <c r="Q158" s="108">
        <v>0</v>
      </c>
      <c r="R158" s="108">
        <v>0</v>
      </c>
      <c r="S158">
        <v>426444</v>
      </c>
      <c r="T158">
        <v>18290</v>
      </c>
      <c r="U158">
        <v>0</v>
      </c>
      <c r="V158" s="108">
        <v>340</v>
      </c>
      <c r="W158" s="108">
        <v>220235</v>
      </c>
      <c r="X158" s="108">
        <v>15895</v>
      </c>
      <c r="Y158" s="108">
        <v>0</v>
      </c>
      <c r="Z158" s="108">
        <v>140</v>
      </c>
      <c r="AA158" s="108">
        <v>785</v>
      </c>
      <c r="AB158" s="108">
        <v>0</v>
      </c>
      <c r="AC158" s="108">
        <v>0</v>
      </c>
      <c r="AD158" s="108">
        <v>0</v>
      </c>
    </row>
    <row r="159" spans="1:30" ht="15" x14ac:dyDescent="0.25">
      <c r="A159">
        <v>494</v>
      </c>
      <c r="B159" s="109" t="s">
        <v>288</v>
      </c>
      <c r="C159" s="108">
        <v>20255</v>
      </c>
      <c r="D159" s="108">
        <v>0</v>
      </c>
      <c r="E159" s="108">
        <v>32</v>
      </c>
      <c r="F159" s="108">
        <v>1799</v>
      </c>
      <c r="G159" s="108">
        <v>36</v>
      </c>
      <c r="H159" s="108">
        <v>3560</v>
      </c>
      <c r="I159" s="108">
        <v>0</v>
      </c>
      <c r="J159">
        <v>0</v>
      </c>
      <c r="K159">
        <v>0</v>
      </c>
      <c r="L159">
        <v>0</v>
      </c>
      <c r="M159" s="108">
        <v>0</v>
      </c>
      <c r="N159" s="108">
        <v>0</v>
      </c>
      <c r="O159" s="108">
        <v>0</v>
      </c>
      <c r="P159" s="108">
        <v>0</v>
      </c>
      <c r="Q159" s="108">
        <v>0</v>
      </c>
      <c r="R159" s="108">
        <v>0</v>
      </c>
      <c r="S159">
        <v>70642</v>
      </c>
      <c r="T159">
        <v>2502</v>
      </c>
      <c r="U159">
        <v>1799</v>
      </c>
      <c r="V159" s="108">
        <v>300</v>
      </c>
      <c r="W159" s="108">
        <v>32891</v>
      </c>
      <c r="X159" s="108">
        <v>565</v>
      </c>
      <c r="Y159" s="108">
        <v>0</v>
      </c>
      <c r="Z159" s="108">
        <v>128</v>
      </c>
      <c r="AA159" s="108">
        <v>0</v>
      </c>
      <c r="AB159" s="108">
        <v>7</v>
      </c>
      <c r="AC159" s="108">
        <v>735</v>
      </c>
      <c r="AD159" s="108">
        <v>13</v>
      </c>
    </row>
    <row r="160" spans="1:30" ht="15" x14ac:dyDescent="0.25">
      <c r="A160">
        <v>495</v>
      </c>
      <c r="B160" s="109" t="s">
        <v>289</v>
      </c>
      <c r="C160" s="108">
        <v>3386</v>
      </c>
      <c r="D160" s="108">
        <v>0</v>
      </c>
      <c r="E160" s="108">
        <v>0</v>
      </c>
      <c r="F160" s="108">
        <v>211</v>
      </c>
      <c r="G160" s="108">
        <v>0</v>
      </c>
      <c r="H160" s="108">
        <v>1050</v>
      </c>
      <c r="I160" s="108">
        <v>0</v>
      </c>
      <c r="J160">
        <v>0</v>
      </c>
      <c r="K160">
        <v>0</v>
      </c>
      <c r="L160">
        <v>0</v>
      </c>
      <c r="M160" s="108">
        <v>0</v>
      </c>
      <c r="N160" s="108">
        <v>0</v>
      </c>
      <c r="O160" s="108">
        <v>0</v>
      </c>
      <c r="P160" s="108">
        <v>0</v>
      </c>
      <c r="Q160" s="108">
        <v>0</v>
      </c>
      <c r="R160" s="108">
        <v>0</v>
      </c>
      <c r="S160">
        <v>14667</v>
      </c>
      <c r="T160">
        <v>368</v>
      </c>
      <c r="U160">
        <v>210</v>
      </c>
      <c r="V160" s="108">
        <v>0</v>
      </c>
      <c r="W160" s="108">
        <v>8675</v>
      </c>
      <c r="X160" s="108">
        <v>141</v>
      </c>
      <c r="Y160" s="108">
        <v>0</v>
      </c>
      <c r="Z160" s="108">
        <v>0</v>
      </c>
      <c r="AA160" s="108">
        <v>0</v>
      </c>
      <c r="AB160" s="108">
        <v>0</v>
      </c>
      <c r="AC160" s="108">
        <v>96</v>
      </c>
      <c r="AD160" s="108">
        <v>0</v>
      </c>
    </row>
    <row r="161" spans="1:30" ht="15" x14ac:dyDescent="0.25">
      <c r="A161">
        <v>498</v>
      </c>
      <c r="B161" s="109" t="s">
        <v>290</v>
      </c>
      <c r="C161" s="108">
        <v>3295</v>
      </c>
      <c r="D161" s="108">
        <v>0</v>
      </c>
      <c r="E161" s="108">
        <v>0</v>
      </c>
      <c r="F161" s="108">
        <v>1072</v>
      </c>
      <c r="G161" s="108">
        <v>7</v>
      </c>
      <c r="H161" s="108">
        <v>370</v>
      </c>
      <c r="I161" s="108">
        <v>0</v>
      </c>
      <c r="J161">
        <v>0</v>
      </c>
      <c r="K161">
        <v>0</v>
      </c>
      <c r="L161">
        <v>0</v>
      </c>
      <c r="M161" s="108">
        <v>0</v>
      </c>
      <c r="N161" s="108">
        <v>0</v>
      </c>
      <c r="O161" s="108">
        <v>0</v>
      </c>
      <c r="P161" s="108">
        <v>0</v>
      </c>
      <c r="Q161" s="108">
        <v>0</v>
      </c>
      <c r="R161" s="108">
        <v>0</v>
      </c>
      <c r="S161">
        <v>19333</v>
      </c>
      <c r="T161">
        <v>692</v>
      </c>
      <c r="U161">
        <v>1072</v>
      </c>
      <c r="V161" s="108">
        <v>60</v>
      </c>
      <c r="W161" s="108">
        <v>9876</v>
      </c>
      <c r="X161" s="108">
        <v>293</v>
      </c>
      <c r="Y161" s="108">
        <v>0</v>
      </c>
      <c r="Z161" s="108">
        <v>2</v>
      </c>
      <c r="AA161" s="108">
        <v>0</v>
      </c>
      <c r="AB161" s="108">
        <v>0</v>
      </c>
      <c r="AC161" s="108">
        <v>152</v>
      </c>
      <c r="AD161" s="108">
        <v>0</v>
      </c>
    </row>
    <row r="162" spans="1:30" ht="15" x14ac:dyDescent="0.25">
      <c r="A162">
        <v>499</v>
      </c>
      <c r="B162" s="109" t="s">
        <v>291</v>
      </c>
      <c r="C162" s="108">
        <v>38406</v>
      </c>
      <c r="D162" s="108">
        <v>0</v>
      </c>
      <c r="E162" s="108">
        <v>181</v>
      </c>
      <c r="F162" s="108">
        <v>1387</v>
      </c>
      <c r="G162" s="108">
        <v>227</v>
      </c>
      <c r="H162" s="108">
        <v>13904</v>
      </c>
      <c r="I162" s="108">
        <v>76</v>
      </c>
      <c r="J162">
        <v>0</v>
      </c>
      <c r="K162">
        <v>0</v>
      </c>
      <c r="L162">
        <v>0</v>
      </c>
      <c r="M162" s="108">
        <v>0</v>
      </c>
      <c r="N162" s="108">
        <v>0</v>
      </c>
      <c r="O162" s="108">
        <v>0</v>
      </c>
      <c r="P162" s="108">
        <v>0</v>
      </c>
      <c r="Q162" s="108">
        <v>0</v>
      </c>
      <c r="R162" s="108">
        <v>0</v>
      </c>
      <c r="S162">
        <v>136182</v>
      </c>
      <c r="T162">
        <v>7462</v>
      </c>
      <c r="U162">
        <v>1387</v>
      </c>
      <c r="V162" s="108">
        <v>995</v>
      </c>
      <c r="W162" s="108">
        <v>70474</v>
      </c>
      <c r="X162" s="108">
        <v>1347</v>
      </c>
      <c r="Y162" s="108">
        <v>0</v>
      </c>
      <c r="Z162" s="108">
        <v>662</v>
      </c>
      <c r="AA162" s="108">
        <v>0</v>
      </c>
      <c r="AB162" s="108">
        <v>0</v>
      </c>
      <c r="AC162" s="108">
        <v>286</v>
      </c>
      <c r="AD162" s="108">
        <v>0</v>
      </c>
    </row>
    <row r="163" spans="1:30" ht="15" x14ac:dyDescent="0.25">
      <c r="A163">
        <v>500</v>
      </c>
      <c r="B163" s="109" t="s">
        <v>292</v>
      </c>
      <c r="C163" s="108">
        <v>14205</v>
      </c>
      <c r="D163" s="108">
        <v>0</v>
      </c>
      <c r="E163" s="108">
        <v>350</v>
      </c>
      <c r="F163" s="108">
        <v>1474</v>
      </c>
      <c r="G163" s="108">
        <v>293</v>
      </c>
      <c r="H163" s="108">
        <v>1963</v>
      </c>
      <c r="I163" s="108">
        <v>0</v>
      </c>
      <c r="J163">
        <v>0</v>
      </c>
      <c r="K163">
        <v>0</v>
      </c>
      <c r="L163">
        <v>0</v>
      </c>
      <c r="M163" s="108">
        <v>0</v>
      </c>
      <c r="N163" s="108">
        <v>0</v>
      </c>
      <c r="O163" s="108">
        <v>0</v>
      </c>
      <c r="P163" s="108">
        <v>0</v>
      </c>
      <c r="Q163" s="108">
        <v>112</v>
      </c>
      <c r="R163" s="108">
        <v>0</v>
      </c>
      <c r="S163">
        <v>56682</v>
      </c>
      <c r="T163">
        <v>3427</v>
      </c>
      <c r="U163">
        <v>1474</v>
      </c>
      <c r="V163" s="108">
        <v>1196</v>
      </c>
      <c r="W163" s="108">
        <v>24156</v>
      </c>
      <c r="X163" s="108">
        <v>774</v>
      </c>
      <c r="Y163" s="108">
        <v>3</v>
      </c>
      <c r="Z163" s="108">
        <v>3</v>
      </c>
      <c r="AA163" s="108">
        <v>0</v>
      </c>
      <c r="AB163" s="108">
        <v>20</v>
      </c>
      <c r="AC163" s="108">
        <v>153</v>
      </c>
      <c r="AD163" s="108">
        <v>0</v>
      </c>
    </row>
    <row r="164" spans="1:30" ht="15" x14ac:dyDescent="0.25">
      <c r="A164">
        <v>503</v>
      </c>
      <c r="B164" s="109" t="s">
        <v>293</v>
      </c>
      <c r="C164" s="108">
        <v>9265</v>
      </c>
      <c r="D164" s="108">
        <v>0</v>
      </c>
      <c r="E164" s="108">
        <v>0</v>
      </c>
      <c r="F164" s="108">
        <v>681</v>
      </c>
      <c r="G164" s="108">
        <v>0</v>
      </c>
      <c r="H164" s="108">
        <v>46</v>
      </c>
      <c r="I164" s="108">
        <v>0</v>
      </c>
      <c r="J164">
        <v>0</v>
      </c>
      <c r="K164">
        <v>0</v>
      </c>
      <c r="L164">
        <v>0</v>
      </c>
      <c r="M164" s="108">
        <v>0</v>
      </c>
      <c r="N164" s="108">
        <v>0</v>
      </c>
      <c r="O164" s="108">
        <v>0</v>
      </c>
      <c r="P164" s="108">
        <v>0</v>
      </c>
      <c r="Q164" s="108">
        <v>0</v>
      </c>
      <c r="R164" s="108">
        <v>0</v>
      </c>
      <c r="S164">
        <v>51524</v>
      </c>
      <c r="T164">
        <v>1794</v>
      </c>
      <c r="U164">
        <v>681</v>
      </c>
      <c r="V164" s="108">
        <v>29</v>
      </c>
      <c r="W164" s="108">
        <v>27628</v>
      </c>
      <c r="X164" s="108">
        <v>546</v>
      </c>
      <c r="Y164" s="108">
        <v>0</v>
      </c>
      <c r="Z164" s="108">
        <v>0</v>
      </c>
      <c r="AA164" s="108">
        <v>0</v>
      </c>
      <c r="AB164" s="108">
        <v>0</v>
      </c>
      <c r="AC164" s="108">
        <v>0</v>
      </c>
      <c r="AD164" s="108">
        <v>0</v>
      </c>
    </row>
    <row r="165" spans="1:30" ht="15" x14ac:dyDescent="0.25">
      <c r="A165">
        <v>504</v>
      </c>
      <c r="B165" s="109" t="s">
        <v>294</v>
      </c>
      <c r="C165" s="108">
        <v>1287</v>
      </c>
      <c r="D165" s="108">
        <v>0</v>
      </c>
      <c r="E165" s="108">
        <v>0</v>
      </c>
      <c r="F165" s="108">
        <v>0</v>
      </c>
      <c r="G165" s="108">
        <v>0</v>
      </c>
      <c r="H165" s="108">
        <v>0</v>
      </c>
      <c r="I165" s="108">
        <v>0</v>
      </c>
      <c r="J165">
        <v>0</v>
      </c>
      <c r="K165">
        <v>0</v>
      </c>
      <c r="L165">
        <v>0</v>
      </c>
      <c r="M165" s="108">
        <v>0</v>
      </c>
      <c r="N165" s="108">
        <v>0</v>
      </c>
      <c r="O165" s="108">
        <v>0</v>
      </c>
      <c r="P165" s="108">
        <v>0</v>
      </c>
      <c r="Q165" s="108">
        <v>0</v>
      </c>
      <c r="R165" s="108">
        <v>0</v>
      </c>
      <c r="S165">
        <v>11310</v>
      </c>
      <c r="T165">
        <v>545</v>
      </c>
      <c r="U165">
        <v>0</v>
      </c>
      <c r="V165" s="108">
        <v>215</v>
      </c>
      <c r="W165" s="108">
        <v>6433</v>
      </c>
      <c r="X165" s="108">
        <v>223</v>
      </c>
      <c r="Y165" s="108">
        <v>0</v>
      </c>
      <c r="Z165" s="108">
        <v>0</v>
      </c>
      <c r="AA165" s="108">
        <v>0</v>
      </c>
      <c r="AB165" s="108">
        <v>0</v>
      </c>
      <c r="AC165" s="108">
        <v>0</v>
      </c>
      <c r="AD165" s="108">
        <v>0</v>
      </c>
    </row>
    <row r="166" spans="1:30" ht="15" x14ac:dyDescent="0.25">
      <c r="A166">
        <v>505</v>
      </c>
      <c r="B166" s="109" t="s">
        <v>295</v>
      </c>
      <c r="C166" s="108">
        <v>49724</v>
      </c>
      <c r="D166" s="108">
        <v>0</v>
      </c>
      <c r="E166" s="108">
        <v>58</v>
      </c>
      <c r="F166" s="108">
        <v>6724</v>
      </c>
      <c r="G166" s="108">
        <v>279</v>
      </c>
      <c r="H166" s="108">
        <v>19203</v>
      </c>
      <c r="I166" s="108">
        <v>0</v>
      </c>
      <c r="J166">
        <v>0</v>
      </c>
      <c r="K166">
        <v>0</v>
      </c>
      <c r="L166">
        <v>0</v>
      </c>
      <c r="M166" s="108">
        <v>0</v>
      </c>
      <c r="N166" s="108">
        <v>0</v>
      </c>
      <c r="O166" s="108">
        <v>0</v>
      </c>
      <c r="P166" s="108">
        <v>0</v>
      </c>
      <c r="Q166" s="108">
        <v>1836</v>
      </c>
      <c r="R166" s="108">
        <v>0</v>
      </c>
      <c r="S166">
        <v>147370</v>
      </c>
      <c r="T166">
        <v>5770</v>
      </c>
      <c r="U166">
        <v>6723</v>
      </c>
      <c r="V166" s="108">
        <v>1093</v>
      </c>
      <c r="W166" s="108">
        <v>72483</v>
      </c>
      <c r="X166" s="108">
        <v>1938</v>
      </c>
      <c r="Y166" s="108">
        <v>0</v>
      </c>
      <c r="Z166" s="108">
        <v>237</v>
      </c>
      <c r="AA166" s="108">
        <v>1</v>
      </c>
      <c r="AB166" s="108">
        <v>18</v>
      </c>
      <c r="AC166" s="108">
        <v>2867</v>
      </c>
      <c r="AD166" s="108">
        <v>0</v>
      </c>
    </row>
    <row r="167" spans="1:30" ht="15" x14ac:dyDescent="0.25">
      <c r="A167">
        <v>507</v>
      </c>
      <c r="B167" s="109" t="s">
        <v>297</v>
      </c>
      <c r="C167" s="108">
        <v>12525</v>
      </c>
      <c r="D167" s="108">
        <v>0</v>
      </c>
      <c r="E167" s="108">
        <v>0</v>
      </c>
      <c r="F167" s="108">
        <v>1104</v>
      </c>
      <c r="G167" s="108">
        <v>249</v>
      </c>
      <c r="H167" s="108">
        <v>3765</v>
      </c>
      <c r="I167" s="108">
        <v>0</v>
      </c>
      <c r="J167">
        <v>0</v>
      </c>
      <c r="K167">
        <v>0</v>
      </c>
      <c r="L167">
        <v>0</v>
      </c>
      <c r="M167" s="108">
        <v>0</v>
      </c>
      <c r="N167" s="108">
        <v>0</v>
      </c>
      <c r="O167" s="108">
        <v>0</v>
      </c>
      <c r="P167" s="108">
        <v>0</v>
      </c>
      <c r="Q167" s="108">
        <v>99</v>
      </c>
      <c r="R167" s="108">
        <v>0</v>
      </c>
      <c r="S167">
        <v>48739</v>
      </c>
      <c r="T167">
        <v>2197</v>
      </c>
      <c r="U167">
        <v>1104</v>
      </c>
      <c r="V167" s="108">
        <v>656</v>
      </c>
      <c r="W167" s="108">
        <v>27770</v>
      </c>
      <c r="X167" s="108">
        <v>490</v>
      </c>
      <c r="Y167" s="108">
        <v>0</v>
      </c>
      <c r="Z167" s="108">
        <v>59</v>
      </c>
      <c r="AA167" s="108">
        <v>0</v>
      </c>
      <c r="AB167" s="108">
        <v>2</v>
      </c>
      <c r="AC167" s="108">
        <v>528</v>
      </c>
      <c r="AD167" s="108">
        <v>0</v>
      </c>
    </row>
    <row r="168" spans="1:30" ht="15" x14ac:dyDescent="0.25">
      <c r="A168">
        <v>508</v>
      </c>
      <c r="B168" s="109" t="s">
        <v>296</v>
      </c>
      <c r="C168" s="108">
        <v>25669</v>
      </c>
      <c r="D168" s="108">
        <v>0</v>
      </c>
      <c r="E168" s="108">
        <v>0</v>
      </c>
      <c r="F168" s="108">
        <v>0</v>
      </c>
      <c r="G168" s="108">
        <v>641</v>
      </c>
      <c r="H168" s="108">
        <v>15203</v>
      </c>
      <c r="I168" s="108">
        <v>0</v>
      </c>
      <c r="J168">
        <v>0</v>
      </c>
      <c r="K168">
        <v>0</v>
      </c>
      <c r="L168">
        <v>0</v>
      </c>
      <c r="M168" s="108">
        <v>0</v>
      </c>
      <c r="N168" s="108">
        <v>0</v>
      </c>
      <c r="O168" s="108">
        <v>0</v>
      </c>
      <c r="P168" s="108">
        <v>0</v>
      </c>
      <c r="Q168" s="108">
        <v>0</v>
      </c>
      <c r="R168" s="108">
        <v>0</v>
      </c>
      <c r="S168">
        <v>89919</v>
      </c>
      <c r="T168">
        <v>2344</v>
      </c>
      <c r="U168">
        <v>0</v>
      </c>
      <c r="V168" s="108">
        <v>792</v>
      </c>
      <c r="W168" s="108">
        <v>58225</v>
      </c>
      <c r="X168" s="108">
        <v>758</v>
      </c>
      <c r="Y168" s="108">
        <v>0</v>
      </c>
      <c r="Z168" s="108">
        <v>4</v>
      </c>
      <c r="AA168" s="108">
        <v>0</v>
      </c>
      <c r="AB168" s="108">
        <v>0</v>
      </c>
      <c r="AC168" s="108">
        <v>0</v>
      </c>
      <c r="AD168" s="108">
        <v>0</v>
      </c>
    </row>
    <row r="169" spans="1:30" ht="15" x14ac:dyDescent="0.25">
      <c r="A169">
        <v>529</v>
      </c>
      <c r="B169" s="109" t="s">
        <v>298</v>
      </c>
      <c r="C169" s="108">
        <v>47206</v>
      </c>
      <c r="D169" s="108">
        <v>0</v>
      </c>
      <c r="E169" s="108">
        <v>218</v>
      </c>
      <c r="F169" s="108">
        <v>2842</v>
      </c>
      <c r="G169" s="108">
        <v>325</v>
      </c>
      <c r="H169" s="108">
        <v>6213</v>
      </c>
      <c r="I169" s="108">
        <v>0</v>
      </c>
      <c r="J169">
        <v>0</v>
      </c>
      <c r="K169">
        <v>0</v>
      </c>
      <c r="L169">
        <v>0</v>
      </c>
      <c r="M169" s="108">
        <v>0</v>
      </c>
      <c r="N169" s="108">
        <v>0</v>
      </c>
      <c r="O169" s="108">
        <v>0</v>
      </c>
      <c r="P169" s="108">
        <v>0</v>
      </c>
      <c r="Q169" s="108">
        <v>0</v>
      </c>
      <c r="R169" s="108">
        <v>0</v>
      </c>
      <c r="S169">
        <v>136011</v>
      </c>
      <c r="T169">
        <v>8426</v>
      </c>
      <c r="U169">
        <v>2838</v>
      </c>
      <c r="V169" s="108">
        <v>1766</v>
      </c>
      <c r="W169" s="108">
        <v>62727</v>
      </c>
      <c r="X169" s="108">
        <v>1437</v>
      </c>
      <c r="Y169" s="108">
        <v>0</v>
      </c>
      <c r="Z169" s="108">
        <v>159</v>
      </c>
      <c r="AA169" s="108">
        <v>0</v>
      </c>
      <c r="AB169" s="108">
        <v>11</v>
      </c>
      <c r="AC169" s="108">
        <v>184</v>
      </c>
      <c r="AD169" s="108">
        <v>0</v>
      </c>
    </row>
    <row r="170" spans="1:30" ht="15" x14ac:dyDescent="0.25">
      <c r="A170">
        <v>531</v>
      </c>
      <c r="B170" s="109" t="s">
        <v>299</v>
      </c>
      <c r="C170" s="108">
        <v>6559</v>
      </c>
      <c r="D170" s="108">
        <v>0</v>
      </c>
      <c r="E170" s="108">
        <v>0</v>
      </c>
      <c r="F170" s="108">
        <v>767</v>
      </c>
      <c r="G170" s="108">
        <v>123</v>
      </c>
      <c r="H170" s="108">
        <v>1640</v>
      </c>
      <c r="I170" s="108">
        <v>155</v>
      </c>
      <c r="J170">
        <v>0</v>
      </c>
      <c r="K170">
        <v>0</v>
      </c>
      <c r="L170">
        <v>0</v>
      </c>
      <c r="M170" s="108">
        <v>0</v>
      </c>
      <c r="N170" s="108">
        <v>0</v>
      </c>
      <c r="O170" s="108">
        <v>0</v>
      </c>
      <c r="P170" s="108">
        <v>1</v>
      </c>
      <c r="Q170" s="108">
        <v>21</v>
      </c>
      <c r="R170" s="108">
        <v>0</v>
      </c>
      <c r="S170">
        <v>35442</v>
      </c>
      <c r="T170">
        <v>1260</v>
      </c>
      <c r="U170">
        <v>767</v>
      </c>
      <c r="V170" s="108">
        <v>453</v>
      </c>
      <c r="W170" s="108">
        <v>20053</v>
      </c>
      <c r="X170" s="108">
        <v>611</v>
      </c>
      <c r="Y170" s="108">
        <v>0</v>
      </c>
      <c r="Z170" s="108">
        <v>88</v>
      </c>
      <c r="AA170" s="108">
        <v>30</v>
      </c>
      <c r="AB170" s="108">
        <v>8</v>
      </c>
      <c r="AC170" s="108">
        <v>371</v>
      </c>
      <c r="AD170" s="108">
        <v>9</v>
      </c>
    </row>
    <row r="171" spans="1:30" ht="15" x14ac:dyDescent="0.25">
      <c r="A171">
        <v>532</v>
      </c>
      <c r="B171" s="109" t="s">
        <v>520</v>
      </c>
      <c r="C171" s="108">
        <v>18741</v>
      </c>
      <c r="D171" s="108">
        <v>0</v>
      </c>
      <c r="E171" s="108">
        <v>55</v>
      </c>
      <c r="F171" s="108">
        <v>441</v>
      </c>
      <c r="G171" s="108">
        <v>0</v>
      </c>
      <c r="H171" s="108">
        <v>598</v>
      </c>
      <c r="I171" s="108">
        <v>0</v>
      </c>
      <c r="J171">
        <v>0</v>
      </c>
      <c r="K171">
        <v>0</v>
      </c>
      <c r="L171">
        <v>0</v>
      </c>
      <c r="M171" s="108">
        <v>0</v>
      </c>
      <c r="N171" s="108">
        <v>0</v>
      </c>
      <c r="O171" s="108">
        <v>0</v>
      </c>
      <c r="P171" s="108">
        <v>0</v>
      </c>
      <c r="Q171" s="108">
        <v>0</v>
      </c>
      <c r="R171" s="108">
        <v>0</v>
      </c>
      <c r="S171">
        <v>84924</v>
      </c>
      <c r="T171">
        <v>6054</v>
      </c>
      <c r="U171">
        <v>441</v>
      </c>
      <c r="V171" s="108">
        <v>1345</v>
      </c>
      <c r="W171" s="108">
        <v>43657</v>
      </c>
      <c r="X171" s="108">
        <v>1643</v>
      </c>
      <c r="Y171" s="108">
        <v>0</v>
      </c>
      <c r="Z171" s="108">
        <v>0</v>
      </c>
      <c r="AA171" s="108">
        <v>0</v>
      </c>
      <c r="AB171" s="108">
        <v>0</v>
      </c>
      <c r="AC171" s="108">
        <v>3</v>
      </c>
      <c r="AD171" s="108">
        <v>0</v>
      </c>
    </row>
    <row r="172" spans="1:30" ht="15" x14ac:dyDescent="0.25">
      <c r="A172">
        <v>535</v>
      </c>
      <c r="B172" s="109" t="s">
        <v>300</v>
      </c>
      <c r="C172" s="108">
        <v>15723</v>
      </c>
      <c r="D172" s="108">
        <v>0</v>
      </c>
      <c r="E172" s="108">
        <v>32</v>
      </c>
      <c r="F172" s="108">
        <v>1960</v>
      </c>
      <c r="G172" s="108">
        <v>79</v>
      </c>
      <c r="H172" s="108">
        <v>150</v>
      </c>
      <c r="I172" s="108">
        <v>0</v>
      </c>
      <c r="J172">
        <v>0</v>
      </c>
      <c r="K172">
        <v>0</v>
      </c>
      <c r="L172">
        <v>0</v>
      </c>
      <c r="M172" s="108">
        <v>0</v>
      </c>
      <c r="N172" s="108">
        <v>0</v>
      </c>
      <c r="O172" s="108">
        <v>0</v>
      </c>
      <c r="P172" s="108">
        <v>0</v>
      </c>
      <c r="Q172" s="108">
        <v>0</v>
      </c>
      <c r="R172" s="108">
        <v>0</v>
      </c>
      <c r="S172">
        <v>77817</v>
      </c>
      <c r="T172">
        <v>2011</v>
      </c>
      <c r="U172">
        <v>1960</v>
      </c>
      <c r="V172" s="108">
        <v>100</v>
      </c>
      <c r="W172" s="108">
        <v>36971</v>
      </c>
      <c r="X172" s="108">
        <v>871</v>
      </c>
      <c r="Y172" s="108">
        <v>0</v>
      </c>
      <c r="Z172" s="108">
        <v>0</v>
      </c>
      <c r="AA172" s="108">
        <v>0</v>
      </c>
      <c r="AB172" s="108">
        <v>7</v>
      </c>
      <c r="AC172" s="108">
        <v>688</v>
      </c>
      <c r="AD172" s="108">
        <v>7</v>
      </c>
    </row>
    <row r="173" spans="1:30" ht="15" x14ac:dyDescent="0.25">
      <c r="A173">
        <v>536</v>
      </c>
      <c r="B173" s="109" t="s">
        <v>301</v>
      </c>
      <c r="C173" s="108">
        <v>50936</v>
      </c>
      <c r="D173" s="108">
        <v>0</v>
      </c>
      <c r="E173" s="108">
        <v>2390</v>
      </c>
      <c r="F173" s="108">
        <v>1734</v>
      </c>
      <c r="G173" s="108">
        <v>309</v>
      </c>
      <c r="H173" s="108">
        <v>10556</v>
      </c>
      <c r="I173" s="108">
        <v>0</v>
      </c>
      <c r="J173">
        <v>0</v>
      </c>
      <c r="K173">
        <v>0</v>
      </c>
      <c r="L173">
        <v>0</v>
      </c>
      <c r="M173" s="108">
        <v>0</v>
      </c>
      <c r="N173" s="108">
        <v>0</v>
      </c>
      <c r="O173" s="108">
        <v>0</v>
      </c>
      <c r="P173" s="108">
        <v>0</v>
      </c>
      <c r="Q173" s="108">
        <v>0</v>
      </c>
      <c r="R173" s="108">
        <v>0</v>
      </c>
      <c r="S173">
        <v>210405</v>
      </c>
      <c r="T173">
        <v>10603</v>
      </c>
      <c r="U173">
        <v>1734</v>
      </c>
      <c r="V173" s="108">
        <v>2584</v>
      </c>
      <c r="W173" s="108">
        <v>100945</v>
      </c>
      <c r="X173" s="108">
        <v>2217</v>
      </c>
      <c r="Y173" s="108">
        <v>0</v>
      </c>
      <c r="Z173" s="108">
        <v>183</v>
      </c>
      <c r="AA173" s="108">
        <v>0</v>
      </c>
      <c r="AB173" s="108">
        <v>16</v>
      </c>
      <c r="AC173" s="108">
        <v>628</v>
      </c>
      <c r="AD173" s="108">
        <v>8</v>
      </c>
    </row>
    <row r="174" spans="1:30" ht="15" x14ac:dyDescent="0.25">
      <c r="A174">
        <v>538</v>
      </c>
      <c r="B174" s="109" t="s">
        <v>302</v>
      </c>
      <c r="C174" s="108">
        <v>6316</v>
      </c>
      <c r="D174" s="108">
        <v>0</v>
      </c>
      <c r="E174" s="108">
        <v>0</v>
      </c>
      <c r="F174" s="108">
        <v>455</v>
      </c>
      <c r="G174" s="108">
        <v>0</v>
      </c>
      <c r="H174" s="108">
        <v>0</v>
      </c>
      <c r="I174" s="108">
        <v>30</v>
      </c>
      <c r="J174">
        <v>0</v>
      </c>
      <c r="K174">
        <v>0</v>
      </c>
      <c r="L174">
        <v>0</v>
      </c>
      <c r="M174" s="108">
        <v>0</v>
      </c>
      <c r="N174" s="108">
        <v>0</v>
      </c>
      <c r="O174" s="108">
        <v>0</v>
      </c>
      <c r="P174" s="108">
        <v>0</v>
      </c>
      <c r="Q174" s="108">
        <v>0</v>
      </c>
      <c r="R174" s="108">
        <v>0</v>
      </c>
      <c r="S174">
        <v>31080</v>
      </c>
      <c r="T174">
        <v>897</v>
      </c>
      <c r="U174">
        <v>455</v>
      </c>
      <c r="V174" s="108">
        <v>202</v>
      </c>
      <c r="W174" s="108">
        <v>14022</v>
      </c>
      <c r="X174" s="108">
        <v>377</v>
      </c>
      <c r="Y174" s="108">
        <v>0</v>
      </c>
      <c r="Z174" s="108">
        <v>0</v>
      </c>
      <c r="AA174" s="108">
        <v>18</v>
      </c>
      <c r="AB174" s="108">
        <v>0</v>
      </c>
      <c r="AC174" s="108">
        <v>0</v>
      </c>
      <c r="AD174" s="108">
        <v>0</v>
      </c>
    </row>
    <row r="175" spans="1:30" ht="15" x14ac:dyDescent="0.25">
      <c r="A175">
        <v>541</v>
      </c>
      <c r="B175" s="109" t="s">
        <v>303</v>
      </c>
      <c r="C175" s="108">
        <v>13398</v>
      </c>
      <c r="D175" s="108">
        <v>0</v>
      </c>
      <c r="E175" s="108">
        <v>76</v>
      </c>
      <c r="F175" s="108">
        <v>0</v>
      </c>
      <c r="G175" s="108">
        <v>40</v>
      </c>
      <c r="H175" s="108">
        <v>2914</v>
      </c>
      <c r="I175" s="108">
        <v>0</v>
      </c>
      <c r="J175">
        <v>0</v>
      </c>
      <c r="K175">
        <v>0</v>
      </c>
      <c r="L175">
        <v>0</v>
      </c>
      <c r="M175" s="108">
        <v>0</v>
      </c>
      <c r="N175" s="108">
        <v>0</v>
      </c>
      <c r="O175" s="108">
        <v>0</v>
      </c>
      <c r="P175" s="108">
        <v>0</v>
      </c>
      <c r="Q175" s="108">
        <v>0</v>
      </c>
      <c r="R175" s="108">
        <v>0</v>
      </c>
      <c r="S175">
        <v>61279</v>
      </c>
      <c r="T175">
        <v>3876</v>
      </c>
      <c r="U175">
        <v>0</v>
      </c>
      <c r="V175" s="108">
        <v>126</v>
      </c>
      <c r="W175" s="108">
        <v>34227</v>
      </c>
      <c r="X175" s="108">
        <v>663</v>
      </c>
      <c r="Y175" s="108">
        <v>0</v>
      </c>
      <c r="Z175" s="108">
        <v>0</v>
      </c>
      <c r="AA175" s="108">
        <v>0</v>
      </c>
      <c r="AB175" s="108">
        <v>0</v>
      </c>
      <c r="AC175" s="108">
        <v>0</v>
      </c>
      <c r="AD175" s="108">
        <v>0</v>
      </c>
    </row>
    <row r="176" spans="1:30" ht="15" x14ac:dyDescent="0.25">
      <c r="A176">
        <v>543</v>
      </c>
      <c r="B176" s="109" t="s">
        <v>304</v>
      </c>
      <c r="C176" s="108">
        <v>78421</v>
      </c>
      <c r="D176" s="108">
        <v>0</v>
      </c>
      <c r="E176" s="108">
        <v>0</v>
      </c>
      <c r="F176" s="108">
        <v>10950</v>
      </c>
      <c r="G176" s="108">
        <v>332</v>
      </c>
      <c r="H176" s="108">
        <v>13377</v>
      </c>
      <c r="I176" s="108">
        <v>0</v>
      </c>
      <c r="J176">
        <v>0</v>
      </c>
      <c r="K176">
        <v>0</v>
      </c>
      <c r="L176">
        <v>0</v>
      </c>
      <c r="M176" s="108">
        <v>0</v>
      </c>
      <c r="N176" s="108">
        <v>0</v>
      </c>
      <c r="O176" s="108">
        <v>0</v>
      </c>
      <c r="P176" s="108">
        <v>0</v>
      </c>
      <c r="Q176" s="108">
        <v>1010</v>
      </c>
      <c r="R176" s="108">
        <v>11</v>
      </c>
      <c r="S176">
        <v>269643</v>
      </c>
      <c r="T176">
        <v>14019</v>
      </c>
      <c r="U176">
        <v>10950</v>
      </c>
      <c r="V176" s="108">
        <v>2141</v>
      </c>
      <c r="W176" s="108">
        <v>120137</v>
      </c>
      <c r="X176" s="108">
        <v>3242</v>
      </c>
      <c r="Y176" s="108">
        <v>47</v>
      </c>
      <c r="Z176" s="108">
        <v>318</v>
      </c>
      <c r="AA176" s="108">
        <v>0</v>
      </c>
      <c r="AB176" s="108">
        <v>123</v>
      </c>
      <c r="AC176" s="108">
        <v>5646</v>
      </c>
      <c r="AD176" s="108">
        <v>0</v>
      </c>
    </row>
    <row r="177" spans="1:30" ht="15" x14ac:dyDescent="0.25">
      <c r="A177">
        <v>545</v>
      </c>
      <c r="B177" s="109" t="s">
        <v>305</v>
      </c>
      <c r="C177" s="108">
        <v>18177</v>
      </c>
      <c r="D177" s="108">
        <v>0</v>
      </c>
      <c r="E177" s="108">
        <v>0</v>
      </c>
      <c r="F177" s="108">
        <v>0</v>
      </c>
      <c r="G177" s="108">
        <v>13</v>
      </c>
      <c r="H177" s="108">
        <v>5679</v>
      </c>
      <c r="I177" s="108">
        <v>0</v>
      </c>
      <c r="J177">
        <v>0</v>
      </c>
      <c r="K177">
        <v>0</v>
      </c>
      <c r="L177">
        <v>0</v>
      </c>
      <c r="M177" s="108">
        <v>0</v>
      </c>
      <c r="N177" s="108">
        <v>0</v>
      </c>
      <c r="O177" s="108">
        <v>0</v>
      </c>
      <c r="P177" s="108">
        <v>0</v>
      </c>
      <c r="Q177" s="108">
        <v>0</v>
      </c>
      <c r="R177" s="108">
        <v>0</v>
      </c>
      <c r="S177">
        <v>70303</v>
      </c>
      <c r="T177">
        <v>2573</v>
      </c>
      <c r="U177">
        <v>0</v>
      </c>
      <c r="V177" s="108">
        <v>97</v>
      </c>
      <c r="W177" s="108">
        <v>37516</v>
      </c>
      <c r="X177" s="108">
        <v>619</v>
      </c>
      <c r="Y177" s="108">
        <v>0</v>
      </c>
      <c r="Z177" s="108">
        <v>134</v>
      </c>
      <c r="AA177" s="108">
        <v>0</v>
      </c>
      <c r="AB177" s="108">
        <v>0</v>
      </c>
      <c r="AC177" s="108">
        <v>0</v>
      </c>
      <c r="AD177" s="108">
        <v>0</v>
      </c>
    </row>
    <row r="178" spans="1:30" ht="15" x14ac:dyDescent="0.25">
      <c r="A178">
        <v>560</v>
      </c>
      <c r="B178" s="109" t="s">
        <v>306</v>
      </c>
      <c r="C178" s="108">
        <v>18085</v>
      </c>
      <c r="D178" s="108">
        <v>0</v>
      </c>
      <c r="E178" s="108">
        <v>0</v>
      </c>
      <c r="F178" s="108">
        <v>226</v>
      </c>
      <c r="G178" s="108">
        <v>0</v>
      </c>
      <c r="H178" s="108">
        <v>1141</v>
      </c>
      <c r="I178" s="108">
        <v>0</v>
      </c>
      <c r="J178">
        <v>0</v>
      </c>
      <c r="K178">
        <v>0</v>
      </c>
      <c r="L178">
        <v>0</v>
      </c>
      <c r="M178" s="108">
        <v>0</v>
      </c>
      <c r="N178" s="108">
        <v>0</v>
      </c>
      <c r="O178" s="108">
        <v>0</v>
      </c>
      <c r="P178" s="108">
        <v>0</v>
      </c>
      <c r="Q178" s="108">
        <v>0</v>
      </c>
      <c r="R178" s="108">
        <v>0</v>
      </c>
      <c r="S178">
        <v>101747</v>
      </c>
      <c r="T178">
        <v>3115</v>
      </c>
      <c r="U178">
        <v>226</v>
      </c>
      <c r="V178" s="108">
        <v>1371</v>
      </c>
      <c r="W178" s="108">
        <v>54061</v>
      </c>
      <c r="X178" s="108">
        <v>1838</v>
      </c>
      <c r="Y178" s="108">
        <v>0</v>
      </c>
      <c r="Z178" s="108">
        <v>0</v>
      </c>
      <c r="AA178" s="108">
        <v>0</v>
      </c>
      <c r="AB178" s="108">
        <v>0</v>
      </c>
      <c r="AC178" s="108">
        <v>1</v>
      </c>
      <c r="AD178" s="108">
        <v>0</v>
      </c>
    </row>
    <row r="179" spans="1:30" ht="15" x14ac:dyDescent="0.25">
      <c r="A179">
        <v>561</v>
      </c>
      <c r="B179" s="109" t="s">
        <v>307</v>
      </c>
      <c r="C179" s="108">
        <v>1731</v>
      </c>
      <c r="D179" s="108">
        <v>0</v>
      </c>
      <c r="E179" s="108">
        <v>0</v>
      </c>
      <c r="F179" s="108">
        <v>138</v>
      </c>
      <c r="G179" s="108">
        <v>9</v>
      </c>
      <c r="H179" s="108">
        <v>544</v>
      </c>
      <c r="I179" s="108">
        <v>0</v>
      </c>
      <c r="J179">
        <v>0</v>
      </c>
      <c r="K179">
        <v>0</v>
      </c>
      <c r="L179">
        <v>0</v>
      </c>
      <c r="M179" s="108">
        <v>0</v>
      </c>
      <c r="N179" s="108">
        <v>0</v>
      </c>
      <c r="O179" s="108">
        <v>0</v>
      </c>
      <c r="P179" s="108">
        <v>0</v>
      </c>
      <c r="Q179" s="108">
        <v>0</v>
      </c>
      <c r="R179" s="108">
        <v>0</v>
      </c>
      <c r="S179">
        <v>9059</v>
      </c>
      <c r="T179">
        <v>377</v>
      </c>
      <c r="U179">
        <v>157</v>
      </c>
      <c r="V179" s="108">
        <v>27</v>
      </c>
      <c r="W179" s="108">
        <v>5025</v>
      </c>
      <c r="X179" s="108">
        <v>103</v>
      </c>
      <c r="Y179" s="108">
        <v>0</v>
      </c>
      <c r="Z179" s="108">
        <v>0</v>
      </c>
      <c r="AA179" s="108">
        <v>0</v>
      </c>
      <c r="AB179" s="108">
        <v>0</v>
      </c>
      <c r="AC179" s="108">
        <v>54</v>
      </c>
      <c r="AD179" s="108">
        <v>0</v>
      </c>
    </row>
    <row r="180" spans="1:30" ht="15" x14ac:dyDescent="0.25">
      <c r="A180">
        <v>562</v>
      </c>
      <c r="B180" s="109" t="s">
        <v>308</v>
      </c>
      <c r="C180" s="108">
        <v>12290</v>
      </c>
      <c r="D180" s="108">
        <v>0</v>
      </c>
      <c r="E180" s="108">
        <v>36</v>
      </c>
      <c r="F180" s="108">
        <v>1392</v>
      </c>
      <c r="G180" s="108">
        <v>287</v>
      </c>
      <c r="H180" s="108">
        <v>501</v>
      </c>
      <c r="I180" s="108">
        <v>0</v>
      </c>
      <c r="J180">
        <v>0</v>
      </c>
      <c r="K180">
        <v>0</v>
      </c>
      <c r="L180">
        <v>0</v>
      </c>
      <c r="M180" s="108">
        <v>0</v>
      </c>
      <c r="N180" s="108">
        <v>0</v>
      </c>
      <c r="O180" s="108">
        <v>0</v>
      </c>
      <c r="P180" s="108">
        <v>0</v>
      </c>
      <c r="Q180" s="108">
        <v>0</v>
      </c>
      <c r="R180" s="108">
        <v>0</v>
      </c>
      <c r="S180">
        <v>65591</v>
      </c>
      <c r="T180">
        <v>3076</v>
      </c>
      <c r="U180">
        <v>1392</v>
      </c>
      <c r="V180" s="108">
        <v>1206</v>
      </c>
      <c r="W180" s="108">
        <v>35824</v>
      </c>
      <c r="X180" s="108">
        <v>672</v>
      </c>
      <c r="Y180" s="108">
        <v>7</v>
      </c>
      <c r="Z180" s="108">
        <v>7</v>
      </c>
      <c r="AA180" s="108">
        <v>0</v>
      </c>
      <c r="AB180" s="108">
        <v>0</v>
      </c>
      <c r="AC180" s="108">
        <v>18</v>
      </c>
      <c r="AD180" s="108">
        <v>0</v>
      </c>
    </row>
    <row r="181" spans="1:30" ht="15" x14ac:dyDescent="0.25">
      <c r="A181">
        <v>563</v>
      </c>
      <c r="B181" s="109" t="s">
        <v>309</v>
      </c>
      <c r="C181" s="108">
        <v>12605</v>
      </c>
      <c r="D181" s="108">
        <v>0</v>
      </c>
      <c r="E181" s="108">
        <v>0</v>
      </c>
      <c r="F181" s="108">
        <v>0</v>
      </c>
      <c r="G181" s="108">
        <v>88</v>
      </c>
      <c r="H181" s="108">
        <v>4115</v>
      </c>
      <c r="I181" s="108">
        <v>0</v>
      </c>
      <c r="J181">
        <v>0</v>
      </c>
      <c r="K181">
        <v>0</v>
      </c>
      <c r="L181">
        <v>0</v>
      </c>
      <c r="M181" s="108">
        <v>0</v>
      </c>
      <c r="N181" s="108">
        <v>0</v>
      </c>
      <c r="O181" s="108">
        <v>0</v>
      </c>
      <c r="P181" s="108">
        <v>0</v>
      </c>
      <c r="Q181" s="108">
        <v>0</v>
      </c>
      <c r="R181" s="108">
        <v>0</v>
      </c>
      <c r="S181">
        <v>58162</v>
      </c>
      <c r="T181">
        <v>2013</v>
      </c>
      <c r="U181">
        <v>0</v>
      </c>
      <c r="V181" s="108">
        <v>232</v>
      </c>
      <c r="W181" s="108">
        <v>32509</v>
      </c>
      <c r="X181" s="108">
        <v>744</v>
      </c>
      <c r="Y181" s="108">
        <v>0</v>
      </c>
      <c r="Z181" s="108">
        <v>137</v>
      </c>
      <c r="AA181" s="108">
        <v>0</v>
      </c>
      <c r="AB181" s="108">
        <v>0</v>
      </c>
      <c r="AC181" s="108">
        <v>0</v>
      </c>
      <c r="AD181" s="108">
        <v>0</v>
      </c>
    </row>
    <row r="182" spans="1:30" ht="15" x14ac:dyDescent="0.25">
      <c r="A182">
        <v>564</v>
      </c>
      <c r="B182" s="109" t="s">
        <v>310</v>
      </c>
      <c r="C182" s="108">
        <v>527430</v>
      </c>
      <c r="D182" s="108">
        <v>0</v>
      </c>
      <c r="E182" s="108">
        <v>19345</v>
      </c>
      <c r="F182" s="108">
        <v>0</v>
      </c>
      <c r="G182" s="108">
        <v>3359</v>
      </c>
      <c r="H182" s="108">
        <v>91545</v>
      </c>
      <c r="I182" s="108">
        <v>18822</v>
      </c>
      <c r="J182">
        <v>0</v>
      </c>
      <c r="K182">
        <v>0</v>
      </c>
      <c r="L182">
        <v>0</v>
      </c>
      <c r="M182" s="108">
        <v>0</v>
      </c>
      <c r="N182" s="108">
        <v>176</v>
      </c>
      <c r="O182" s="108">
        <v>12</v>
      </c>
      <c r="P182" s="108">
        <v>0</v>
      </c>
      <c r="Q182" s="108">
        <v>0</v>
      </c>
      <c r="R182" s="108">
        <v>0</v>
      </c>
      <c r="S182">
        <v>1451179</v>
      </c>
      <c r="T182">
        <v>79665</v>
      </c>
      <c r="U182">
        <v>0</v>
      </c>
      <c r="V182" s="108">
        <v>23676</v>
      </c>
      <c r="W182" s="108">
        <v>660351</v>
      </c>
      <c r="X182" s="108">
        <v>29744</v>
      </c>
      <c r="Y182" s="108">
        <v>0</v>
      </c>
      <c r="Z182" s="108">
        <v>2727</v>
      </c>
      <c r="AA182" s="108">
        <v>793</v>
      </c>
      <c r="AB182" s="108">
        <v>0</v>
      </c>
      <c r="AC182" s="108">
        <v>0</v>
      </c>
      <c r="AD182" s="108">
        <v>0</v>
      </c>
    </row>
    <row r="183" spans="1:30" ht="15" x14ac:dyDescent="0.25">
      <c r="A183">
        <v>576</v>
      </c>
      <c r="B183" s="109" t="s">
        <v>312</v>
      </c>
      <c r="C183" s="108">
        <v>3962</v>
      </c>
      <c r="D183" s="108">
        <v>0</v>
      </c>
      <c r="E183" s="108">
        <v>1</v>
      </c>
      <c r="F183" s="108">
        <v>0</v>
      </c>
      <c r="G183" s="108">
        <v>0</v>
      </c>
      <c r="H183" s="108">
        <v>69</v>
      </c>
      <c r="I183" s="108">
        <v>0</v>
      </c>
      <c r="J183">
        <v>0</v>
      </c>
      <c r="K183">
        <v>0</v>
      </c>
      <c r="L183">
        <v>0</v>
      </c>
      <c r="M183" s="108">
        <v>0</v>
      </c>
      <c r="N183" s="108">
        <v>0</v>
      </c>
      <c r="O183" s="108">
        <v>0</v>
      </c>
      <c r="P183" s="108">
        <v>0</v>
      </c>
      <c r="Q183" s="108">
        <v>0</v>
      </c>
      <c r="R183" s="108">
        <v>0</v>
      </c>
      <c r="S183">
        <v>22647</v>
      </c>
      <c r="T183">
        <v>1493</v>
      </c>
      <c r="U183">
        <v>0</v>
      </c>
      <c r="V183" s="108">
        <v>254</v>
      </c>
      <c r="W183" s="108">
        <v>13692</v>
      </c>
      <c r="X183" s="108">
        <v>280</v>
      </c>
      <c r="Y183" s="108">
        <v>0</v>
      </c>
      <c r="Z183" s="108">
        <v>0</v>
      </c>
      <c r="AA183" s="108">
        <v>0</v>
      </c>
      <c r="AB183" s="108">
        <v>0</v>
      </c>
      <c r="AC183" s="108">
        <v>0</v>
      </c>
      <c r="AD183" s="108">
        <v>0</v>
      </c>
    </row>
    <row r="184" spans="1:30" ht="15" x14ac:dyDescent="0.25">
      <c r="A184">
        <v>577</v>
      </c>
      <c r="B184" s="109" t="s">
        <v>313</v>
      </c>
      <c r="C184" s="108">
        <v>13770</v>
      </c>
      <c r="D184" s="108">
        <v>0</v>
      </c>
      <c r="E184" s="108">
        <v>0</v>
      </c>
      <c r="F184" s="108">
        <v>0</v>
      </c>
      <c r="G184" s="108">
        <v>176</v>
      </c>
      <c r="H184" s="108">
        <v>2176</v>
      </c>
      <c r="I184" s="108">
        <v>0</v>
      </c>
      <c r="J184">
        <v>0</v>
      </c>
      <c r="K184">
        <v>0</v>
      </c>
      <c r="L184">
        <v>0</v>
      </c>
      <c r="M184" s="108">
        <v>0</v>
      </c>
      <c r="N184" s="108">
        <v>0</v>
      </c>
      <c r="O184" s="108">
        <v>0</v>
      </c>
      <c r="P184" s="108">
        <v>0</v>
      </c>
      <c r="Q184" s="108">
        <v>0</v>
      </c>
      <c r="R184" s="108">
        <v>0</v>
      </c>
      <c r="S184">
        <v>68899</v>
      </c>
      <c r="T184">
        <v>1808</v>
      </c>
      <c r="U184">
        <v>0</v>
      </c>
      <c r="V184" s="108">
        <v>435</v>
      </c>
      <c r="W184" s="108">
        <v>34189</v>
      </c>
      <c r="X184" s="108">
        <v>741</v>
      </c>
      <c r="Y184" s="108">
        <v>0</v>
      </c>
      <c r="Z184" s="108">
        <v>0</v>
      </c>
      <c r="AA184" s="108">
        <v>0</v>
      </c>
      <c r="AB184" s="108">
        <v>0</v>
      </c>
      <c r="AC184" s="108">
        <v>0</v>
      </c>
      <c r="AD184" s="108">
        <v>0</v>
      </c>
    </row>
    <row r="185" spans="1:30" ht="15" x14ac:dyDescent="0.25">
      <c r="A185">
        <v>578</v>
      </c>
      <c r="B185" s="109" t="s">
        <v>314</v>
      </c>
      <c r="C185" s="108">
        <v>5259</v>
      </c>
      <c r="D185" s="108">
        <v>0</v>
      </c>
      <c r="E185" s="108">
        <v>0</v>
      </c>
      <c r="F185" s="108">
        <v>0</v>
      </c>
      <c r="G185" s="108">
        <v>6</v>
      </c>
      <c r="H185" s="108">
        <v>37</v>
      </c>
      <c r="I185" s="108">
        <v>0</v>
      </c>
      <c r="J185">
        <v>0</v>
      </c>
      <c r="K185">
        <v>0</v>
      </c>
      <c r="L185">
        <v>0</v>
      </c>
      <c r="M185" s="108">
        <v>0</v>
      </c>
      <c r="N185" s="108">
        <v>0</v>
      </c>
      <c r="O185" s="108">
        <v>0</v>
      </c>
      <c r="P185" s="108">
        <v>0</v>
      </c>
      <c r="Q185" s="108">
        <v>0</v>
      </c>
      <c r="R185" s="108">
        <v>0</v>
      </c>
      <c r="S185">
        <v>27275</v>
      </c>
      <c r="T185">
        <v>1270</v>
      </c>
      <c r="U185">
        <v>0</v>
      </c>
      <c r="V185" s="108">
        <v>141</v>
      </c>
      <c r="W185" s="108">
        <v>14654</v>
      </c>
      <c r="X185" s="108">
        <v>302</v>
      </c>
      <c r="Y185" s="108">
        <v>0</v>
      </c>
      <c r="Z185" s="108">
        <v>0</v>
      </c>
      <c r="AA185" s="108">
        <v>0</v>
      </c>
      <c r="AB185" s="108">
        <v>0</v>
      </c>
      <c r="AC185" s="108">
        <v>0</v>
      </c>
      <c r="AD185" s="108">
        <v>0</v>
      </c>
    </row>
    <row r="186" spans="1:30" ht="15" x14ac:dyDescent="0.25">
      <c r="A186">
        <v>580</v>
      </c>
      <c r="B186" s="109" t="s">
        <v>315</v>
      </c>
      <c r="C186" s="108">
        <v>11427</v>
      </c>
      <c r="D186" s="108">
        <v>0</v>
      </c>
      <c r="E186" s="108">
        <v>0</v>
      </c>
      <c r="F186" s="108">
        <v>23</v>
      </c>
      <c r="G186" s="108">
        <v>0</v>
      </c>
      <c r="H186" s="108">
        <v>3</v>
      </c>
      <c r="I186" s="108">
        <v>22</v>
      </c>
      <c r="J186">
        <v>0</v>
      </c>
      <c r="K186">
        <v>0</v>
      </c>
      <c r="L186">
        <v>0</v>
      </c>
      <c r="M186" s="108">
        <v>0</v>
      </c>
      <c r="N186" s="108">
        <v>0</v>
      </c>
      <c r="O186" s="108">
        <v>0</v>
      </c>
      <c r="P186" s="108">
        <v>0</v>
      </c>
      <c r="Q186" s="108">
        <v>0</v>
      </c>
      <c r="R186" s="108">
        <v>0</v>
      </c>
      <c r="S186">
        <v>42512</v>
      </c>
      <c r="T186">
        <v>1704</v>
      </c>
      <c r="U186">
        <v>23</v>
      </c>
      <c r="V186" s="108">
        <v>143</v>
      </c>
      <c r="W186" s="108">
        <v>22507</v>
      </c>
      <c r="X186" s="108">
        <v>461</v>
      </c>
      <c r="Y186" s="108">
        <v>0</v>
      </c>
      <c r="Z186" s="108">
        <v>2</v>
      </c>
      <c r="AA186" s="108">
        <v>19</v>
      </c>
      <c r="AB186" s="108">
        <v>0</v>
      </c>
      <c r="AC186" s="108">
        <v>0</v>
      </c>
      <c r="AD186" s="108">
        <v>0</v>
      </c>
    </row>
    <row r="187" spans="1:30" ht="15" x14ac:dyDescent="0.25">
      <c r="A187">
        <v>581</v>
      </c>
      <c r="B187" s="109" t="s">
        <v>316</v>
      </c>
      <c r="C187" s="108">
        <v>14848</v>
      </c>
      <c r="D187" s="108">
        <v>0</v>
      </c>
      <c r="E187" s="108">
        <v>237</v>
      </c>
      <c r="F187" s="108">
        <v>581</v>
      </c>
      <c r="G187" s="108">
        <v>162</v>
      </c>
      <c r="H187" s="108">
        <v>10912</v>
      </c>
      <c r="I187" s="108">
        <v>0</v>
      </c>
      <c r="J187">
        <v>0</v>
      </c>
      <c r="K187">
        <v>0</v>
      </c>
      <c r="L187">
        <v>0</v>
      </c>
      <c r="M187" s="108">
        <v>0</v>
      </c>
      <c r="N187" s="108">
        <v>0</v>
      </c>
      <c r="O187" s="108">
        <v>0</v>
      </c>
      <c r="P187" s="108">
        <v>0</v>
      </c>
      <c r="Q187" s="108">
        <v>0</v>
      </c>
      <c r="R187" s="108">
        <v>0</v>
      </c>
      <c r="S187">
        <v>51544</v>
      </c>
      <c r="T187">
        <v>2189</v>
      </c>
      <c r="U187">
        <v>581</v>
      </c>
      <c r="V187" s="108">
        <v>211</v>
      </c>
      <c r="W187" s="108">
        <v>34336</v>
      </c>
      <c r="X187" s="108">
        <v>483</v>
      </c>
      <c r="Y187" s="108">
        <v>0</v>
      </c>
      <c r="Z187" s="108">
        <v>324</v>
      </c>
      <c r="AA187" s="108">
        <v>0</v>
      </c>
      <c r="AB187" s="108">
        <v>3</v>
      </c>
      <c r="AC187" s="108">
        <v>240</v>
      </c>
      <c r="AD187" s="108">
        <v>0</v>
      </c>
    </row>
    <row r="188" spans="1:30" ht="15" x14ac:dyDescent="0.25">
      <c r="A188">
        <v>583</v>
      </c>
      <c r="B188" s="109" t="s">
        <v>317</v>
      </c>
      <c r="C188" s="108">
        <v>1777</v>
      </c>
      <c r="D188" s="108">
        <v>0</v>
      </c>
      <c r="E188" s="108">
        <v>0</v>
      </c>
      <c r="F188" s="108">
        <v>155</v>
      </c>
      <c r="G188" s="108">
        <v>65</v>
      </c>
      <c r="H188" s="108">
        <v>422</v>
      </c>
      <c r="I188" s="108">
        <v>0</v>
      </c>
      <c r="J188">
        <v>0</v>
      </c>
      <c r="K188">
        <v>0</v>
      </c>
      <c r="L188">
        <v>0</v>
      </c>
      <c r="M188" s="108">
        <v>0</v>
      </c>
      <c r="N188" s="108">
        <v>0</v>
      </c>
      <c r="O188" s="108">
        <v>0</v>
      </c>
      <c r="P188" s="108">
        <v>0</v>
      </c>
      <c r="Q188" s="108">
        <v>0</v>
      </c>
      <c r="R188" s="108">
        <v>0</v>
      </c>
      <c r="S188">
        <v>9678</v>
      </c>
      <c r="T188">
        <v>333</v>
      </c>
      <c r="U188">
        <v>155</v>
      </c>
      <c r="V188" s="108">
        <v>132</v>
      </c>
      <c r="W188" s="108">
        <v>5463</v>
      </c>
      <c r="X188" s="108">
        <v>199</v>
      </c>
      <c r="Y188" s="108">
        <v>0</v>
      </c>
      <c r="Z188" s="108">
        <v>33</v>
      </c>
      <c r="AA188" s="108">
        <v>2</v>
      </c>
      <c r="AB188" s="108">
        <v>2</v>
      </c>
      <c r="AC188" s="108">
        <v>87</v>
      </c>
      <c r="AD188" s="108">
        <v>3</v>
      </c>
    </row>
    <row r="189" spans="1:30" ht="15" x14ac:dyDescent="0.25">
      <c r="A189">
        <v>584</v>
      </c>
      <c r="B189" s="109" t="s">
        <v>319</v>
      </c>
      <c r="C189" s="108">
        <v>6507</v>
      </c>
      <c r="D189" s="108">
        <v>0</v>
      </c>
      <c r="E189" s="108">
        <v>0</v>
      </c>
      <c r="F189" s="108">
        <v>0</v>
      </c>
      <c r="G189" s="108">
        <v>26</v>
      </c>
      <c r="H189" s="108">
        <v>1435</v>
      </c>
      <c r="I189" s="108">
        <v>0</v>
      </c>
      <c r="J189">
        <v>0</v>
      </c>
      <c r="K189">
        <v>0</v>
      </c>
      <c r="L189">
        <v>0</v>
      </c>
      <c r="M189" s="108">
        <v>0</v>
      </c>
      <c r="N189" s="108">
        <v>0</v>
      </c>
      <c r="O189" s="108">
        <v>0</v>
      </c>
      <c r="P189" s="108">
        <v>0</v>
      </c>
      <c r="Q189" s="108">
        <v>0</v>
      </c>
      <c r="R189" s="108">
        <v>0</v>
      </c>
      <c r="S189">
        <v>22934</v>
      </c>
      <c r="T189">
        <v>1142</v>
      </c>
      <c r="U189">
        <v>0</v>
      </c>
      <c r="V189" s="108">
        <v>95</v>
      </c>
      <c r="W189" s="108">
        <v>10891</v>
      </c>
      <c r="X189" s="108">
        <v>215</v>
      </c>
      <c r="Y189" s="108">
        <v>0</v>
      </c>
      <c r="Z189" s="108">
        <v>20</v>
      </c>
      <c r="AA189" s="108">
        <v>73</v>
      </c>
      <c r="AB189" s="108">
        <v>0</v>
      </c>
      <c r="AC189" s="108">
        <v>0</v>
      </c>
      <c r="AD189" s="108">
        <v>0</v>
      </c>
    </row>
    <row r="190" spans="1:30" ht="15" x14ac:dyDescent="0.25">
      <c r="A190">
        <v>588</v>
      </c>
      <c r="B190" s="109" t="s">
        <v>320</v>
      </c>
      <c r="C190" s="108">
        <v>3350</v>
      </c>
      <c r="D190" s="108">
        <v>0</v>
      </c>
      <c r="E190" s="108">
        <v>68</v>
      </c>
      <c r="F190" s="108">
        <v>364</v>
      </c>
      <c r="G190" s="108">
        <v>1</v>
      </c>
      <c r="H190" s="108">
        <v>1031</v>
      </c>
      <c r="I190" s="108">
        <v>1</v>
      </c>
      <c r="J190">
        <v>0</v>
      </c>
      <c r="K190">
        <v>0</v>
      </c>
      <c r="L190">
        <v>0</v>
      </c>
      <c r="M190" s="108">
        <v>0</v>
      </c>
      <c r="N190" s="108">
        <v>0</v>
      </c>
      <c r="O190" s="108">
        <v>0</v>
      </c>
      <c r="P190" s="108">
        <v>0</v>
      </c>
      <c r="Q190" s="108">
        <v>0</v>
      </c>
      <c r="R190" s="108">
        <v>0</v>
      </c>
      <c r="S190">
        <v>14412</v>
      </c>
      <c r="T190">
        <v>685</v>
      </c>
      <c r="U190">
        <v>364</v>
      </c>
      <c r="V190" s="108">
        <v>183</v>
      </c>
      <c r="W190" s="108">
        <v>8259</v>
      </c>
      <c r="X190" s="108">
        <v>156</v>
      </c>
      <c r="Y190" s="108">
        <v>3</v>
      </c>
      <c r="Z190" s="108">
        <v>10</v>
      </c>
      <c r="AA190" s="108">
        <v>0</v>
      </c>
      <c r="AB190" s="108">
        <v>5</v>
      </c>
      <c r="AC190" s="108">
        <v>138</v>
      </c>
      <c r="AD190" s="108">
        <v>0</v>
      </c>
    </row>
    <row r="191" spans="1:30" ht="15" x14ac:dyDescent="0.25">
      <c r="A191">
        <v>592</v>
      </c>
      <c r="B191" s="109" t="s">
        <v>321</v>
      </c>
      <c r="C191" s="108">
        <v>7040</v>
      </c>
      <c r="D191" s="108">
        <v>0</v>
      </c>
      <c r="E191" s="108">
        <v>0</v>
      </c>
      <c r="F191" s="108">
        <v>0</v>
      </c>
      <c r="G191" s="108">
        <v>108</v>
      </c>
      <c r="H191" s="108">
        <v>1280</v>
      </c>
      <c r="I191" s="108">
        <v>0</v>
      </c>
      <c r="J191">
        <v>0</v>
      </c>
      <c r="K191">
        <v>0</v>
      </c>
      <c r="L191">
        <v>0</v>
      </c>
      <c r="M191" s="108">
        <v>0</v>
      </c>
      <c r="N191" s="108">
        <v>0</v>
      </c>
      <c r="O191" s="108">
        <v>0</v>
      </c>
      <c r="P191" s="108">
        <v>0</v>
      </c>
      <c r="Q191" s="108">
        <v>0</v>
      </c>
      <c r="R191" s="108">
        <v>0</v>
      </c>
      <c r="S191">
        <v>29077</v>
      </c>
      <c r="T191">
        <v>1031</v>
      </c>
      <c r="U191">
        <v>0</v>
      </c>
      <c r="V191" s="108">
        <v>381</v>
      </c>
      <c r="W191" s="108">
        <v>13652</v>
      </c>
      <c r="X191" s="108">
        <v>342</v>
      </c>
      <c r="Y191" s="108">
        <v>0</v>
      </c>
      <c r="Z191" s="108">
        <v>19</v>
      </c>
      <c r="AA191" s="108">
        <v>0</v>
      </c>
      <c r="AB191" s="108">
        <v>0</v>
      </c>
      <c r="AC191" s="108">
        <v>0</v>
      </c>
      <c r="AD191" s="108">
        <v>0</v>
      </c>
    </row>
    <row r="192" spans="1:30" ht="15" x14ac:dyDescent="0.25">
      <c r="A192">
        <v>593</v>
      </c>
      <c r="B192" s="109" t="s">
        <v>322</v>
      </c>
      <c r="C192" s="108">
        <v>39565</v>
      </c>
      <c r="D192" s="108">
        <v>0</v>
      </c>
      <c r="E192" s="108">
        <v>153</v>
      </c>
      <c r="F192" s="108">
        <v>0</v>
      </c>
      <c r="G192" s="108">
        <v>215</v>
      </c>
      <c r="H192" s="108">
        <v>12239</v>
      </c>
      <c r="I192" s="108">
        <v>0</v>
      </c>
      <c r="J192">
        <v>0</v>
      </c>
      <c r="K192">
        <v>0</v>
      </c>
      <c r="L192">
        <v>0</v>
      </c>
      <c r="M192" s="108">
        <v>0</v>
      </c>
      <c r="N192" s="108">
        <v>0</v>
      </c>
      <c r="O192" s="108">
        <v>0</v>
      </c>
      <c r="P192" s="108">
        <v>0</v>
      </c>
      <c r="Q192" s="108">
        <v>0</v>
      </c>
      <c r="R192" s="108">
        <v>0</v>
      </c>
      <c r="S192">
        <v>150996</v>
      </c>
      <c r="T192">
        <v>6286</v>
      </c>
      <c r="U192">
        <v>0</v>
      </c>
      <c r="V192" s="108">
        <v>1532</v>
      </c>
      <c r="W192" s="108">
        <v>92690</v>
      </c>
      <c r="X192" s="108">
        <v>1602</v>
      </c>
      <c r="Y192" s="108">
        <v>0</v>
      </c>
      <c r="Z192" s="108">
        <v>180</v>
      </c>
      <c r="AA192" s="108">
        <v>0</v>
      </c>
      <c r="AB192" s="108">
        <v>0</v>
      </c>
      <c r="AC192" s="108">
        <v>0</v>
      </c>
      <c r="AD192" s="108">
        <v>0</v>
      </c>
    </row>
    <row r="193" spans="1:30" ht="15" x14ac:dyDescent="0.25">
      <c r="A193">
        <v>595</v>
      </c>
      <c r="B193" s="109" t="s">
        <v>323</v>
      </c>
      <c r="C193" s="108">
        <v>7674</v>
      </c>
      <c r="D193" s="108">
        <v>0</v>
      </c>
      <c r="E193" s="108">
        <v>16</v>
      </c>
      <c r="F193" s="108">
        <v>261</v>
      </c>
      <c r="G193" s="108">
        <v>68</v>
      </c>
      <c r="H193" s="108">
        <v>1936</v>
      </c>
      <c r="I193" s="108">
        <v>0</v>
      </c>
      <c r="J193">
        <v>0</v>
      </c>
      <c r="K193">
        <v>0</v>
      </c>
      <c r="L193">
        <v>0</v>
      </c>
      <c r="M193" s="108">
        <v>0</v>
      </c>
      <c r="N193" s="108">
        <v>0</v>
      </c>
      <c r="O193" s="108">
        <v>0</v>
      </c>
      <c r="P193" s="108">
        <v>0</v>
      </c>
      <c r="Q193" s="108">
        <v>3</v>
      </c>
      <c r="R193" s="108">
        <v>0</v>
      </c>
      <c r="S193">
        <v>40273</v>
      </c>
      <c r="T193">
        <v>1179</v>
      </c>
      <c r="U193">
        <v>261</v>
      </c>
      <c r="V193" s="108">
        <v>434</v>
      </c>
      <c r="W193" s="108">
        <v>24655</v>
      </c>
      <c r="X193" s="108">
        <v>397</v>
      </c>
      <c r="Y193" s="108">
        <v>0</v>
      </c>
      <c r="Z193" s="108">
        <v>36</v>
      </c>
      <c r="AA193" s="108">
        <v>0</v>
      </c>
      <c r="AB193" s="108">
        <v>0</v>
      </c>
      <c r="AC193" s="108">
        <v>111</v>
      </c>
      <c r="AD193" s="108">
        <v>0</v>
      </c>
    </row>
    <row r="194" spans="1:30" ht="15" x14ac:dyDescent="0.25">
      <c r="A194">
        <v>598</v>
      </c>
      <c r="B194" s="109" t="s">
        <v>324</v>
      </c>
      <c r="C194" s="108">
        <v>120065</v>
      </c>
      <c r="D194" s="108">
        <v>0</v>
      </c>
      <c r="E194" s="108">
        <v>1179</v>
      </c>
      <c r="F194" s="108">
        <v>7714</v>
      </c>
      <c r="G194" s="108">
        <v>194</v>
      </c>
      <c r="H194" s="108">
        <v>71239</v>
      </c>
      <c r="I194" s="108">
        <v>429</v>
      </c>
      <c r="J194">
        <v>0</v>
      </c>
      <c r="K194">
        <v>0</v>
      </c>
      <c r="L194">
        <v>0</v>
      </c>
      <c r="M194" s="108">
        <v>0</v>
      </c>
      <c r="N194" s="108">
        <v>0</v>
      </c>
      <c r="O194" s="108">
        <v>0</v>
      </c>
      <c r="P194" s="108">
        <v>0</v>
      </c>
      <c r="Q194" s="108">
        <v>1</v>
      </c>
      <c r="R194" s="108">
        <v>0</v>
      </c>
      <c r="S194">
        <v>231167</v>
      </c>
      <c r="T194">
        <v>6965</v>
      </c>
      <c r="U194">
        <v>7714</v>
      </c>
      <c r="V194" s="108">
        <v>475</v>
      </c>
      <c r="W194" s="108">
        <v>135558</v>
      </c>
      <c r="X194" s="108">
        <v>2456</v>
      </c>
      <c r="Y194" s="108">
        <v>0</v>
      </c>
      <c r="Z194" s="108">
        <v>391</v>
      </c>
      <c r="AA194" s="108">
        <v>167</v>
      </c>
      <c r="AB194" s="108">
        <v>0</v>
      </c>
      <c r="AC194" s="108">
        <v>6437</v>
      </c>
      <c r="AD194" s="108">
        <v>0</v>
      </c>
    </row>
    <row r="195" spans="1:30" ht="15" x14ac:dyDescent="0.25">
      <c r="A195">
        <v>599</v>
      </c>
      <c r="B195" s="109" t="s">
        <v>130</v>
      </c>
      <c r="C195" s="108">
        <v>24441</v>
      </c>
      <c r="D195" s="108">
        <v>0</v>
      </c>
      <c r="E195" s="108">
        <v>76</v>
      </c>
      <c r="F195" s="108">
        <v>379</v>
      </c>
      <c r="G195" s="108">
        <v>0</v>
      </c>
      <c r="H195" s="108">
        <v>484</v>
      </c>
      <c r="I195" s="108">
        <v>0</v>
      </c>
      <c r="J195">
        <v>0</v>
      </c>
      <c r="K195">
        <v>0</v>
      </c>
      <c r="L195">
        <v>0</v>
      </c>
      <c r="M195" s="108">
        <v>0</v>
      </c>
      <c r="N195" s="108">
        <v>0</v>
      </c>
      <c r="O195" s="108">
        <v>0</v>
      </c>
      <c r="P195" s="108">
        <v>0</v>
      </c>
      <c r="Q195" s="108">
        <v>0</v>
      </c>
      <c r="R195" s="108">
        <v>0</v>
      </c>
      <c r="S195">
        <v>83409</v>
      </c>
      <c r="T195">
        <v>1942</v>
      </c>
      <c r="U195">
        <v>376</v>
      </c>
      <c r="V195" s="108">
        <v>481</v>
      </c>
      <c r="W195" s="108">
        <v>32983</v>
      </c>
      <c r="X195" s="108">
        <v>727</v>
      </c>
      <c r="Y195" s="108">
        <v>0</v>
      </c>
      <c r="Z195" s="108">
        <v>0</v>
      </c>
      <c r="AA195" s="108">
        <v>13</v>
      </c>
      <c r="AB195" s="108">
        <v>0</v>
      </c>
      <c r="AC195" s="108">
        <v>0</v>
      </c>
      <c r="AD195" s="108">
        <v>0</v>
      </c>
    </row>
    <row r="196" spans="1:30" ht="15" x14ac:dyDescent="0.25">
      <c r="A196">
        <v>601</v>
      </c>
      <c r="B196" s="109" t="s">
        <v>325</v>
      </c>
      <c r="C196" s="108">
        <v>16837</v>
      </c>
      <c r="D196" s="108">
        <v>0</v>
      </c>
      <c r="E196" s="108">
        <v>0</v>
      </c>
      <c r="F196" s="108">
        <v>0</v>
      </c>
      <c r="G196" s="108">
        <v>0</v>
      </c>
      <c r="H196" s="108">
        <v>60</v>
      </c>
      <c r="I196" s="108">
        <v>0</v>
      </c>
      <c r="J196">
        <v>0</v>
      </c>
      <c r="K196">
        <v>0</v>
      </c>
      <c r="L196">
        <v>0</v>
      </c>
      <c r="M196" s="108">
        <v>0</v>
      </c>
      <c r="N196" s="108">
        <v>0</v>
      </c>
      <c r="O196" s="108">
        <v>0</v>
      </c>
      <c r="P196" s="108">
        <v>0</v>
      </c>
      <c r="Q196" s="108">
        <v>0</v>
      </c>
      <c r="R196" s="108">
        <v>0</v>
      </c>
      <c r="S196">
        <v>43927</v>
      </c>
      <c r="T196">
        <v>1496</v>
      </c>
      <c r="U196">
        <v>0</v>
      </c>
      <c r="V196" s="108">
        <v>0</v>
      </c>
      <c r="W196" s="108">
        <v>16789</v>
      </c>
      <c r="X196" s="108">
        <v>345</v>
      </c>
      <c r="Y196" s="108">
        <v>0</v>
      </c>
      <c r="Z196" s="108">
        <v>47</v>
      </c>
      <c r="AA196" s="108">
        <v>0</v>
      </c>
      <c r="AB196" s="108">
        <v>0</v>
      </c>
      <c r="AC196" s="108">
        <v>0</v>
      </c>
      <c r="AD196" s="108">
        <v>0</v>
      </c>
    </row>
    <row r="197" spans="1:30" ht="15" x14ac:dyDescent="0.25">
      <c r="A197">
        <v>604</v>
      </c>
      <c r="B197" s="109" t="s">
        <v>326</v>
      </c>
      <c r="C197" s="108">
        <v>46984</v>
      </c>
      <c r="D197" s="108">
        <v>0</v>
      </c>
      <c r="E197" s="108">
        <v>0</v>
      </c>
      <c r="F197" s="108">
        <v>1528</v>
      </c>
      <c r="G197" s="108">
        <v>352</v>
      </c>
      <c r="H197" s="108">
        <v>21147</v>
      </c>
      <c r="I197" s="108">
        <v>0</v>
      </c>
      <c r="J197">
        <v>0</v>
      </c>
      <c r="K197">
        <v>0</v>
      </c>
      <c r="L197">
        <v>0</v>
      </c>
      <c r="M197" s="108">
        <v>0</v>
      </c>
      <c r="N197" s="108">
        <v>0</v>
      </c>
      <c r="O197" s="108">
        <v>0</v>
      </c>
      <c r="P197" s="108">
        <v>0</v>
      </c>
      <c r="Q197" s="108">
        <v>0</v>
      </c>
      <c r="R197" s="108">
        <v>0</v>
      </c>
      <c r="S197">
        <v>131237</v>
      </c>
      <c r="T197">
        <v>6950</v>
      </c>
      <c r="U197">
        <v>1528</v>
      </c>
      <c r="V197" s="108">
        <v>1893</v>
      </c>
      <c r="W197" s="108">
        <v>66349</v>
      </c>
      <c r="X197" s="108">
        <v>1251</v>
      </c>
      <c r="Y197" s="108">
        <v>0</v>
      </c>
      <c r="Z197" s="108">
        <v>334</v>
      </c>
      <c r="AA197" s="108">
        <v>0</v>
      </c>
      <c r="AB197" s="108">
        <v>23</v>
      </c>
      <c r="AC197" s="108">
        <v>643</v>
      </c>
      <c r="AD197" s="108">
        <v>13</v>
      </c>
    </row>
    <row r="198" spans="1:30" ht="15" x14ac:dyDescent="0.25">
      <c r="A198">
        <v>607</v>
      </c>
      <c r="B198" s="109" t="s">
        <v>327</v>
      </c>
      <c r="C198" s="108">
        <v>7221</v>
      </c>
      <c r="D198" s="108">
        <v>0</v>
      </c>
      <c r="E198" s="108">
        <v>0</v>
      </c>
      <c r="F198" s="108">
        <v>0</v>
      </c>
      <c r="G198" s="108">
        <v>0</v>
      </c>
      <c r="H198" s="108">
        <v>1927</v>
      </c>
      <c r="I198" s="108">
        <v>0</v>
      </c>
      <c r="J198">
        <v>0</v>
      </c>
      <c r="K198">
        <v>0</v>
      </c>
      <c r="L198">
        <v>0</v>
      </c>
      <c r="M198" s="108">
        <v>0</v>
      </c>
      <c r="N198" s="108">
        <v>0</v>
      </c>
      <c r="O198" s="108">
        <v>0</v>
      </c>
      <c r="P198" s="108">
        <v>0</v>
      </c>
      <c r="Q198" s="108">
        <v>0</v>
      </c>
      <c r="R198" s="108">
        <v>0</v>
      </c>
      <c r="S198">
        <v>32169</v>
      </c>
      <c r="T198">
        <v>1223</v>
      </c>
      <c r="U198">
        <v>0</v>
      </c>
      <c r="V198" s="108">
        <v>3</v>
      </c>
      <c r="W198" s="108">
        <v>18219</v>
      </c>
      <c r="X198" s="108">
        <v>364</v>
      </c>
      <c r="Y198" s="108">
        <v>0</v>
      </c>
      <c r="Z198" s="108">
        <v>116</v>
      </c>
      <c r="AA198" s="108">
        <v>0</v>
      </c>
      <c r="AB198" s="108">
        <v>0</v>
      </c>
      <c r="AC198" s="108">
        <v>0</v>
      </c>
      <c r="AD198" s="108">
        <v>0</v>
      </c>
    </row>
    <row r="199" spans="1:30" ht="15" x14ac:dyDescent="0.25">
      <c r="A199">
        <v>608</v>
      </c>
      <c r="B199" s="109" t="s">
        <v>328</v>
      </c>
      <c r="C199" s="108">
        <v>2296</v>
      </c>
      <c r="D199" s="108">
        <v>0</v>
      </c>
      <c r="E199" s="108">
        <v>0</v>
      </c>
      <c r="F199" s="108">
        <v>548</v>
      </c>
      <c r="G199" s="108">
        <v>74</v>
      </c>
      <c r="H199" s="108">
        <v>85</v>
      </c>
      <c r="I199" s="108">
        <v>0</v>
      </c>
      <c r="J199">
        <v>0</v>
      </c>
      <c r="K199">
        <v>0</v>
      </c>
      <c r="L199">
        <v>0</v>
      </c>
      <c r="M199" s="108">
        <v>0</v>
      </c>
      <c r="N199" s="108">
        <v>0</v>
      </c>
      <c r="O199" s="108">
        <v>0</v>
      </c>
      <c r="P199" s="108">
        <v>0</v>
      </c>
      <c r="Q199" s="108">
        <v>0</v>
      </c>
      <c r="R199" s="108">
        <v>0</v>
      </c>
      <c r="S199">
        <v>16358</v>
      </c>
      <c r="T199">
        <v>401</v>
      </c>
      <c r="U199">
        <v>548</v>
      </c>
      <c r="V199" s="108">
        <v>173</v>
      </c>
      <c r="W199" s="108">
        <v>9127</v>
      </c>
      <c r="X199" s="108">
        <v>289</v>
      </c>
      <c r="Y199" s="108">
        <v>0</v>
      </c>
      <c r="Z199" s="108">
        <v>40</v>
      </c>
      <c r="AA199" s="108">
        <v>12</v>
      </c>
      <c r="AB199" s="108">
        <v>0</v>
      </c>
      <c r="AC199" s="108">
        <v>0</v>
      </c>
      <c r="AD199" s="108">
        <v>0</v>
      </c>
    </row>
    <row r="200" spans="1:30" ht="15" x14ac:dyDescent="0.25">
      <c r="A200">
        <v>609</v>
      </c>
      <c r="B200" s="109" t="s">
        <v>329</v>
      </c>
      <c r="C200" s="108">
        <v>298865</v>
      </c>
      <c r="D200" s="108">
        <v>0</v>
      </c>
      <c r="E200" s="108">
        <v>15595</v>
      </c>
      <c r="F200" s="108">
        <v>2137</v>
      </c>
      <c r="G200" s="108">
        <v>473</v>
      </c>
      <c r="H200" s="108">
        <v>83220</v>
      </c>
      <c r="I200" s="108">
        <v>22228</v>
      </c>
      <c r="J200">
        <v>0</v>
      </c>
      <c r="K200">
        <v>0</v>
      </c>
      <c r="L200">
        <v>0</v>
      </c>
      <c r="M200" s="108">
        <v>0</v>
      </c>
      <c r="N200" s="108">
        <v>0</v>
      </c>
      <c r="O200" s="108">
        <v>1</v>
      </c>
      <c r="P200" s="108">
        <v>0</v>
      </c>
      <c r="Q200" s="108">
        <v>0</v>
      </c>
      <c r="R200" s="108">
        <v>0</v>
      </c>
      <c r="S200">
        <v>751545</v>
      </c>
      <c r="T200">
        <v>27977</v>
      </c>
      <c r="U200">
        <v>2137</v>
      </c>
      <c r="V200" s="108">
        <v>450</v>
      </c>
      <c r="W200" s="108">
        <v>368006</v>
      </c>
      <c r="X200" s="108">
        <v>28703</v>
      </c>
      <c r="Y200" s="108">
        <v>0</v>
      </c>
      <c r="Z200" s="108">
        <v>285</v>
      </c>
      <c r="AA200" s="108">
        <v>1261</v>
      </c>
      <c r="AB200" s="108">
        <v>0</v>
      </c>
      <c r="AC200" s="108">
        <v>0</v>
      </c>
      <c r="AD200" s="108">
        <v>0</v>
      </c>
    </row>
    <row r="201" spans="1:30" ht="15" x14ac:dyDescent="0.25">
      <c r="A201">
        <v>611</v>
      </c>
      <c r="B201" s="109" t="s">
        <v>330</v>
      </c>
      <c r="C201" s="108">
        <v>5922</v>
      </c>
      <c r="D201" s="108">
        <v>0</v>
      </c>
      <c r="E201" s="108">
        <v>0</v>
      </c>
      <c r="F201" s="108">
        <v>101</v>
      </c>
      <c r="G201" s="108">
        <v>0</v>
      </c>
      <c r="H201" s="108">
        <v>120</v>
      </c>
      <c r="I201" s="108">
        <v>0</v>
      </c>
      <c r="J201">
        <v>0</v>
      </c>
      <c r="K201">
        <v>0</v>
      </c>
      <c r="L201">
        <v>0</v>
      </c>
      <c r="M201" s="108">
        <v>0</v>
      </c>
      <c r="N201" s="108">
        <v>0</v>
      </c>
      <c r="O201" s="108">
        <v>0</v>
      </c>
      <c r="P201" s="108">
        <v>0</v>
      </c>
      <c r="Q201" s="108">
        <v>26</v>
      </c>
      <c r="R201" s="108">
        <v>0</v>
      </c>
      <c r="S201">
        <v>28323</v>
      </c>
      <c r="T201">
        <v>1753</v>
      </c>
      <c r="U201">
        <v>101</v>
      </c>
      <c r="V201" s="108">
        <v>224</v>
      </c>
      <c r="W201" s="108">
        <v>11757</v>
      </c>
      <c r="X201" s="108">
        <v>382</v>
      </c>
      <c r="Y201" s="108">
        <v>0</v>
      </c>
      <c r="Z201" s="108">
        <v>2</v>
      </c>
      <c r="AA201" s="108">
        <v>0</v>
      </c>
      <c r="AB201" s="108">
        <v>0</v>
      </c>
      <c r="AC201" s="108">
        <v>0</v>
      </c>
      <c r="AD201" s="108">
        <v>0</v>
      </c>
    </row>
    <row r="202" spans="1:30" ht="15" x14ac:dyDescent="0.25">
      <c r="A202">
        <v>614</v>
      </c>
      <c r="B202" s="109" t="s">
        <v>332</v>
      </c>
      <c r="C202" s="108">
        <v>11383</v>
      </c>
      <c r="D202" s="108">
        <v>0</v>
      </c>
      <c r="E202" s="108">
        <v>0</v>
      </c>
      <c r="F202" s="108">
        <v>0</v>
      </c>
      <c r="G202" s="108">
        <v>4</v>
      </c>
      <c r="H202" s="108">
        <v>2662</v>
      </c>
      <c r="I202" s="108">
        <v>7</v>
      </c>
      <c r="J202">
        <v>0</v>
      </c>
      <c r="K202">
        <v>0</v>
      </c>
      <c r="L202">
        <v>0</v>
      </c>
      <c r="M202" s="108">
        <v>0</v>
      </c>
      <c r="N202" s="108">
        <v>0</v>
      </c>
      <c r="O202" s="108">
        <v>0</v>
      </c>
      <c r="P202" s="108">
        <v>0</v>
      </c>
      <c r="Q202" s="108">
        <v>0</v>
      </c>
      <c r="R202" s="108">
        <v>0</v>
      </c>
      <c r="S202">
        <v>36705</v>
      </c>
      <c r="T202">
        <v>1078</v>
      </c>
      <c r="U202">
        <v>0</v>
      </c>
      <c r="V202" s="108">
        <v>154</v>
      </c>
      <c r="W202" s="108">
        <v>21088</v>
      </c>
      <c r="X202" s="108">
        <v>423</v>
      </c>
      <c r="Y202" s="108">
        <v>0</v>
      </c>
      <c r="Z202" s="108">
        <v>58</v>
      </c>
      <c r="AA202" s="108">
        <v>0</v>
      </c>
      <c r="AB202" s="108">
        <v>0</v>
      </c>
      <c r="AC202" s="108">
        <v>0</v>
      </c>
      <c r="AD202" s="108">
        <v>0</v>
      </c>
    </row>
    <row r="203" spans="1:30" ht="15" x14ac:dyDescent="0.25">
      <c r="A203">
        <v>615</v>
      </c>
      <c r="B203" s="109" t="s">
        <v>333</v>
      </c>
      <c r="C203" s="108">
        <v>14915</v>
      </c>
      <c r="D203" s="108">
        <v>0</v>
      </c>
      <c r="E203" s="108">
        <v>40</v>
      </c>
      <c r="F203" s="108">
        <v>1230</v>
      </c>
      <c r="G203" s="108">
        <v>41</v>
      </c>
      <c r="H203" s="108">
        <v>910</v>
      </c>
      <c r="I203" s="108">
        <v>0</v>
      </c>
      <c r="J203">
        <v>0</v>
      </c>
      <c r="K203">
        <v>0</v>
      </c>
      <c r="L203">
        <v>0</v>
      </c>
      <c r="M203" s="108">
        <v>0</v>
      </c>
      <c r="N203" s="108">
        <v>0</v>
      </c>
      <c r="O203" s="108">
        <v>0</v>
      </c>
      <c r="P203" s="108">
        <v>0</v>
      </c>
      <c r="Q203" s="108">
        <v>0</v>
      </c>
      <c r="R203" s="108">
        <v>0</v>
      </c>
      <c r="S203">
        <v>70568</v>
      </c>
      <c r="T203">
        <v>3503</v>
      </c>
      <c r="U203">
        <v>1232</v>
      </c>
      <c r="V203" s="108">
        <v>382</v>
      </c>
      <c r="W203" s="108">
        <v>35528</v>
      </c>
      <c r="X203" s="108">
        <v>549</v>
      </c>
      <c r="Y203" s="108">
        <v>0</v>
      </c>
      <c r="Z203" s="108">
        <v>4</v>
      </c>
      <c r="AA203" s="108">
        <v>0</v>
      </c>
      <c r="AB203" s="108">
        <v>3</v>
      </c>
      <c r="AC203" s="108">
        <v>56</v>
      </c>
      <c r="AD203" s="108">
        <v>0</v>
      </c>
    </row>
    <row r="204" spans="1:30" ht="15" x14ac:dyDescent="0.25">
      <c r="A204">
        <v>616</v>
      </c>
      <c r="B204" s="109" t="s">
        <v>334</v>
      </c>
      <c r="C204" s="108">
        <v>2653</v>
      </c>
      <c r="D204" s="108">
        <v>0</v>
      </c>
      <c r="E204" s="108">
        <v>0</v>
      </c>
      <c r="F204" s="108">
        <v>0</v>
      </c>
      <c r="G204" s="108">
        <v>0</v>
      </c>
      <c r="H204" s="108">
        <v>116</v>
      </c>
      <c r="I204" s="108">
        <v>44</v>
      </c>
      <c r="J204">
        <v>0</v>
      </c>
      <c r="K204">
        <v>0</v>
      </c>
      <c r="L204">
        <v>0</v>
      </c>
      <c r="M204" s="108">
        <v>0</v>
      </c>
      <c r="N204" s="108">
        <v>0</v>
      </c>
      <c r="O204" s="108">
        <v>0</v>
      </c>
      <c r="P204" s="108">
        <v>0</v>
      </c>
      <c r="Q204" s="108">
        <v>0</v>
      </c>
      <c r="R204" s="108">
        <v>0</v>
      </c>
      <c r="S204">
        <v>13179</v>
      </c>
      <c r="T204">
        <v>463</v>
      </c>
      <c r="U204">
        <v>0</v>
      </c>
      <c r="V204" s="108">
        <v>64</v>
      </c>
      <c r="W204" s="108">
        <v>6394</v>
      </c>
      <c r="X204" s="108">
        <v>256</v>
      </c>
      <c r="Y204" s="108">
        <v>0</v>
      </c>
      <c r="Z204" s="108">
        <v>0</v>
      </c>
      <c r="AA204" s="108">
        <v>9</v>
      </c>
      <c r="AB204" s="108">
        <v>0</v>
      </c>
      <c r="AC204" s="108">
        <v>0</v>
      </c>
      <c r="AD204" s="108">
        <v>0</v>
      </c>
    </row>
    <row r="205" spans="1:30" ht="15" x14ac:dyDescent="0.25">
      <c r="A205">
        <v>619</v>
      </c>
      <c r="B205" s="109" t="s">
        <v>335</v>
      </c>
      <c r="C205" s="108">
        <v>4634</v>
      </c>
      <c r="D205" s="108">
        <v>0</v>
      </c>
      <c r="E205" s="108">
        <v>0</v>
      </c>
      <c r="F205" s="108">
        <v>187</v>
      </c>
      <c r="G205" s="108">
        <v>82</v>
      </c>
      <c r="H205" s="108">
        <v>225</v>
      </c>
      <c r="I205" s="108">
        <v>0</v>
      </c>
      <c r="J205">
        <v>0</v>
      </c>
      <c r="K205">
        <v>0</v>
      </c>
      <c r="L205">
        <v>0</v>
      </c>
      <c r="M205" s="108">
        <v>0</v>
      </c>
      <c r="N205" s="108">
        <v>0</v>
      </c>
      <c r="O205" s="108">
        <v>0</v>
      </c>
      <c r="P205" s="108">
        <v>0</v>
      </c>
      <c r="Q205" s="108">
        <v>0</v>
      </c>
      <c r="R205" s="108">
        <v>0</v>
      </c>
      <c r="S205">
        <v>23167</v>
      </c>
      <c r="T205">
        <v>771</v>
      </c>
      <c r="U205">
        <v>187</v>
      </c>
      <c r="V205" s="108">
        <v>303</v>
      </c>
      <c r="W205" s="108">
        <v>12324</v>
      </c>
      <c r="X205" s="108">
        <v>221</v>
      </c>
      <c r="Y205" s="108">
        <v>0</v>
      </c>
      <c r="Z205" s="108">
        <v>9</v>
      </c>
      <c r="AA205" s="108">
        <v>0</v>
      </c>
      <c r="AB205" s="108">
        <v>5</v>
      </c>
      <c r="AC205" s="108">
        <v>5</v>
      </c>
      <c r="AD205" s="108">
        <v>0</v>
      </c>
    </row>
    <row r="206" spans="1:30" ht="15" x14ac:dyDescent="0.25">
      <c r="A206">
        <v>620</v>
      </c>
      <c r="B206" s="109" t="s">
        <v>336</v>
      </c>
      <c r="C206" s="108">
        <v>5245</v>
      </c>
      <c r="D206" s="108">
        <v>0</v>
      </c>
      <c r="E206" s="108">
        <v>0</v>
      </c>
      <c r="F206" s="108">
        <v>266</v>
      </c>
      <c r="G206" s="108">
        <v>23</v>
      </c>
      <c r="H206" s="108">
        <v>1971</v>
      </c>
      <c r="I206" s="108">
        <v>0</v>
      </c>
      <c r="J206">
        <v>0</v>
      </c>
      <c r="K206">
        <v>0</v>
      </c>
      <c r="L206">
        <v>0</v>
      </c>
      <c r="M206" s="108">
        <v>0</v>
      </c>
      <c r="N206" s="108">
        <v>0</v>
      </c>
      <c r="O206" s="108">
        <v>0</v>
      </c>
      <c r="P206" s="108">
        <v>0</v>
      </c>
      <c r="Q206" s="108">
        <v>0</v>
      </c>
      <c r="R206" s="108">
        <v>0</v>
      </c>
      <c r="S206">
        <v>26988</v>
      </c>
      <c r="T206">
        <v>998</v>
      </c>
      <c r="U206">
        <v>266</v>
      </c>
      <c r="V206" s="108">
        <v>149</v>
      </c>
      <c r="W206" s="108">
        <v>16372</v>
      </c>
      <c r="X206" s="108">
        <v>254</v>
      </c>
      <c r="Y206" s="108">
        <v>0</v>
      </c>
      <c r="Z206" s="108">
        <v>231</v>
      </c>
      <c r="AA206" s="108">
        <v>0</v>
      </c>
      <c r="AB206" s="108">
        <v>0</v>
      </c>
      <c r="AC206" s="108">
        <v>111</v>
      </c>
      <c r="AD206" s="108">
        <v>0</v>
      </c>
    </row>
    <row r="207" spans="1:30" ht="15" x14ac:dyDescent="0.25">
      <c r="A207">
        <v>623</v>
      </c>
      <c r="B207" s="109" t="s">
        <v>337</v>
      </c>
      <c r="C207" s="108">
        <v>4286</v>
      </c>
      <c r="D207" s="108">
        <v>0</v>
      </c>
      <c r="E207" s="108">
        <v>0</v>
      </c>
      <c r="F207" s="108">
        <v>167</v>
      </c>
      <c r="G207" s="108">
        <v>23</v>
      </c>
      <c r="H207" s="108">
        <v>275</v>
      </c>
      <c r="I207" s="108">
        <v>53</v>
      </c>
      <c r="J207">
        <v>0</v>
      </c>
      <c r="K207">
        <v>0</v>
      </c>
      <c r="L207">
        <v>0</v>
      </c>
      <c r="M207" s="108">
        <v>0</v>
      </c>
      <c r="N207" s="108">
        <v>0</v>
      </c>
      <c r="O207" s="108">
        <v>0</v>
      </c>
      <c r="P207" s="108">
        <v>0</v>
      </c>
      <c r="Q207" s="108">
        <v>0</v>
      </c>
      <c r="R207" s="108">
        <v>0</v>
      </c>
      <c r="S207">
        <v>19379</v>
      </c>
      <c r="T207">
        <v>862</v>
      </c>
      <c r="U207">
        <v>167</v>
      </c>
      <c r="V207" s="108">
        <v>73</v>
      </c>
      <c r="W207" s="108">
        <v>10234</v>
      </c>
      <c r="X207" s="108">
        <v>245</v>
      </c>
      <c r="Y207" s="108">
        <v>0</v>
      </c>
      <c r="Z207" s="108">
        <v>0</v>
      </c>
      <c r="AA207" s="108">
        <v>6</v>
      </c>
      <c r="AB207" s="108">
        <v>0</v>
      </c>
      <c r="AC207" s="108">
        <v>0</v>
      </c>
      <c r="AD207" s="108">
        <v>0</v>
      </c>
    </row>
    <row r="208" spans="1:30" ht="15" x14ac:dyDescent="0.25">
      <c r="A208">
        <v>624</v>
      </c>
      <c r="B208" s="109" t="s">
        <v>131</v>
      </c>
      <c r="C208" s="108">
        <v>5793</v>
      </c>
      <c r="D208" s="108">
        <v>0</v>
      </c>
      <c r="E208" s="108">
        <v>0</v>
      </c>
      <c r="F208" s="108">
        <v>0</v>
      </c>
      <c r="G208" s="108">
        <v>0</v>
      </c>
      <c r="H208" s="108">
        <v>1050</v>
      </c>
      <c r="I208" s="108">
        <v>0</v>
      </c>
      <c r="J208">
        <v>0</v>
      </c>
      <c r="K208">
        <v>0</v>
      </c>
      <c r="L208">
        <v>0</v>
      </c>
      <c r="M208" s="108">
        <v>0</v>
      </c>
      <c r="N208" s="108">
        <v>0</v>
      </c>
      <c r="O208" s="108">
        <v>0</v>
      </c>
      <c r="P208" s="108">
        <v>0</v>
      </c>
      <c r="Q208" s="108">
        <v>0</v>
      </c>
      <c r="R208" s="108">
        <v>0</v>
      </c>
      <c r="S208">
        <v>34113</v>
      </c>
      <c r="T208">
        <v>1327</v>
      </c>
      <c r="U208">
        <v>0</v>
      </c>
      <c r="V208" s="108">
        <v>373</v>
      </c>
      <c r="W208" s="108">
        <v>18699</v>
      </c>
      <c r="X208" s="108">
        <v>325</v>
      </c>
      <c r="Y208" s="108">
        <v>0</v>
      </c>
      <c r="Z208" s="108">
        <v>14</v>
      </c>
      <c r="AA208" s="108">
        <v>0</v>
      </c>
      <c r="AB208" s="108">
        <v>0</v>
      </c>
      <c r="AC208" s="108">
        <v>0</v>
      </c>
      <c r="AD208" s="108">
        <v>0</v>
      </c>
    </row>
    <row r="209" spans="1:30" ht="15" x14ac:dyDescent="0.25">
      <c r="A209">
        <v>625</v>
      </c>
      <c r="B209" s="109" t="s">
        <v>338</v>
      </c>
      <c r="C209" s="108">
        <v>6867</v>
      </c>
      <c r="D209" s="108">
        <v>2</v>
      </c>
      <c r="E209" s="108">
        <v>0</v>
      </c>
      <c r="F209" s="108">
        <v>246</v>
      </c>
      <c r="G209" s="108">
        <v>85</v>
      </c>
      <c r="H209" s="108">
        <v>118</v>
      </c>
      <c r="I209" s="108">
        <v>0</v>
      </c>
      <c r="J209">
        <v>0</v>
      </c>
      <c r="K209">
        <v>0</v>
      </c>
      <c r="L209">
        <v>0</v>
      </c>
      <c r="M209" s="108">
        <v>0</v>
      </c>
      <c r="N209" s="108">
        <v>0</v>
      </c>
      <c r="O209" s="108">
        <v>0</v>
      </c>
      <c r="P209" s="108">
        <v>0</v>
      </c>
      <c r="Q209" s="108">
        <v>31</v>
      </c>
      <c r="R209" s="108">
        <v>0</v>
      </c>
      <c r="S209">
        <v>24219</v>
      </c>
      <c r="T209">
        <v>887</v>
      </c>
      <c r="U209">
        <v>264</v>
      </c>
      <c r="V209" s="108">
        <v>239</v>
      </c>
      <c r="W209" s="108">
        <v>10701</v>
      </c>
      <c r="X209" s="108">
        <v>279</v>
      </c>
      <c r="Y209" s="108">
        <v>0</v>
      </c>
      <c r="Z209" s="108">
        <v>0</v>
      </c>
      <c r="AA209" s="108">
        <v>0</v>
      </c>
      <c r="AB209" s="108">
        <v>1</v>
      </c>
      <c r="AC209" s="108">
        <v>1</v>
      </c>
      <c r="AD209" s="108">
        <v>0</v>
      </c>
    </row>
    <row r="210" spans="1:30" ht="15" x14ac:dyDescent="0.25">
      <c r="A210">
        <v>626</v>
      </c>
      <c r="B210" s="109" t="s">
        <v>132</v>
      </c>
      <c r="C210" s="108">
        <v>6153</v>
      </c>
      <c r="D210" s="108">
        <v>0</v>
      </c>
      <c r="E210" s="108">
        <v>0</v>
      </c>
      <c r="F210" s="108">
        <v>0</v>
      </c>
      <c r="G210" s="108">
        <v>0</v>
      </c>
      <c r="H210" s="108">
        <v>10</v>
      </c>
      <c r="I210" s="108">
        <v>0</v>
      </c>
      <c r="J210">
        <v>0</v>
      </c>
      <c r="K210">
        <v>0</v>
      </c>
      <c r="L210">
        <v>0</v>
      </c>
      <c r="M210" s="108">
        <v>0</v>
      </c>
      <c r="N210" s="108">
        <v>0</v>
      </c>
      <c r="O210" s="108">
        <v>0</v>
      </c>
      <c r="P210" s="108">
        <v>0</v>
      </c>
      <c r="Q210" s="108">
        <v>0</v>
      </c>
      <c r="R210" s="108">
        <v>0</v>
      </c>
      <c r="S210">
        <v>44812</v>
      </c>
      <c r="T210">
        <v>1195</v>
      </c>
      <c r="U210">
        <v>0</v>
      </c>
      <c r="V210" s="108">
        <v>554</v>
      </c>
      <c r="W210" s="108">
        <v>25394</v>
      </c>
      <c r="X210" s="108">
        <v>494</v>
      </c>
      <c r="Y210" s="108">
        <v>0</v>
      </c>
      <c r="Z210" s="108">
        <v>0</v>
      </c>
      <c r="AA210" s="108">
        <v>0</v>
      </c>
      <c r="AB210" s="108">
        <v>0</v>
      </c>
      <c r="AC210" s="108">
        <v>0</v>
      </c>
      <c r="AD210" s="108">
        <v>0</v>
      </c>
    </row>
    <row r="211" spans="1:30" ht="15" x14ac:dyDescent="0.25">
      <c r="A211">
        <v>630</v>
      </c>
      <c r="B211" s="109" t="s">
        <v>339</v>
      </c>
      <c r="C211" s="108">
        <v>2538</v>
      </c>
      <c r="D211" s="108">
        <v>0</v>
      </c>
      <c r="E211" s="108">
        <v>0</v>
      </c>
      <c r="F211" s="108">
        <v>0</v>
      </c>
      <c r="G211" s="108">
        <v>0</v>
      </c>
      <c r="H211" s="108">
        <v>628</v>
      </c>
      <c r="I211" s="108">
        <v>36</v>
      </c>
      <c r="J211">
        <v>0</v>
      </c>
      <c r="K211">
        <v>0</v>
      </c>
      <c r="L211">
        <v>0</v>
      </c>
      <c r="M211" s="108">
        <v>0</v>
      </c>
      <c r="N211" s="108">
        <v>0</v>
      </c>
      <c r="O211" s="108">
        <v>0</v>
      </c>
      <c r="P211" s="108">
        <v>0</v>
      </c>
      <c r="Q211" s="108">
        <v>0</v>
      </c>
      <c r="R211" s="108">
        <v>0</v>
      </c>
      <c r="S211">
        <v>11823</v>
      </c>
      <c r="T211">
        <v>962</v>
      </c>
      <c r="U211">
        <v>0</v>
      </c>
      <c r="V211" s="108">
        <v>33</v>
      </c>
      <c r="W211" s="108">
        <v>6247</v>
      </c>
      <c r="X211" s="108">
        <v>198</v>
      </c>
      <c r="Y211" s="108">
        <v>0</v>
      </c>
      <c r="Z211" s="108">
        <v>243</v>
      </c>
      <c r="AA211" s="108">
        <v>24</v>
      </c>
      <c r="AB211" s="108">
        <v>0</v>
      </c>
      <c r="AC211" s="108">
        <v>0</v>
      </c>
      <c r="AD211" s="108">
        <v>0</v>
      </c>
    </row>
    <row r="212" spans="1:30" ht="15" x14ac:dyDescent="0.25">
      <c r="A212">
        <v>631</v>
      </c>
      <c r="B212" s="109" t="s">
        <v>340</v>
      </c>
      <c r="C212" s="108">
        <v>1694</v>
      </c>
      <c r="D212" s="108">
        <v>0</v>
      </c>
      <c r="E212" s="108">
        <v>0</v>
      </c>
      <c r="F212" s="108">
        <v>0</v>
      </c>
      <c r="G212" s="108">
        <v>0</v>
      </c>
      <c r="H212" s="108">
        <v>368</v>
      </c>
      <c r="I212" s="108">
        <v>0</v>
      </c>
      <c r="J212">
        <v>0</v>
      </c>
      <c r="K212">
        <v>0</v>
      </c>
      <c r="L212">
        <v>0</v>
      </c>
      <c r="M212" s="108">
        <v>0</v>
      </c>
      <c r="N212" s="108">
        <v>0</v>
      </c>
      <c r="O212" s="108">
        <v>0</v>
      </c>
      <c r="P212" s="108">
        <v>0</v>
      </c>
      <c r="Q212" s="108">
        <v>0</v>
      </c>
      <c r="R212" s="108">
        <v>0</v>
      </c>
      <c r="S212">
        <v>12593</v>
      </c>
      <c r="T212">
        <v>410</v>
      </c>
      <c r="U212">
        <v>0</v>
      </c>
      <c r="V212" s="108">
        <v>0</v>
      </c>
      <c r="W212" s="108">
        <v>7109</v>
      </c>
      <c r="X212" s="108">
        <v>158</v>
      </c>
      <c r="Y212" s="108">
        <v>0</v>
      </c>
      <c r="Z212" s="108">
        <v>0</v>
      </c>
      <c r="AA212" s="108">
        <v>0</v>
      </c>
      <c r="AB212" s="108">
        <v>0</v>
      </c>
      <c r="AC212" s="108">
        <v>0</v>
      </c>
      <c r="AD212" s="108">
        <v>0</v>
      </c>
    </row>
    <row r="213" spans="1:30" ht="15" x14ac:dyDescent="0.25">
      <c r="A213">
        <v>635</v>
      </c>
      <c r="B213" s="109" t="s">
        <v>341</v>
      </c>
      <c r="C213" s="108">
        <v>8749</v>
      </c>
      <c r="D213" s="108">
        <v>0</v>
      </c>
      <c r="E213" s="108">
        <v>0</v>
      </c>
      <c r="F213" s="108">
        <v>0</v>
      </c>
      <c r="G213" s="108">
        <v>73</v>
      </c>
      <c r="H213" s="108">
        <v>415</v>
      </c>
      <c r="I213" s="108">
        <v>0</v>
      </c>
      <c r="J213">
        <v>0</v>
      </c>
      <c r="K213">
        <v>0</v>
      </c>
      <c r="L213">
        <v>0</v>
      </c>
      <c r="M213" s="108">
        <v>0</v>
      </c>
      <c r="N213" s="108">
        <v>0</v>
      </c>
      <c r="O213" s="108">
        <v>0</v>
      </c>
      <c r="P213" s="108">
        <v>0</v>
      </c>
      <c r="Q213" s="108">
        <v>0</v>
      </c>
      <c r="R213" s="108">
        <v>0</v>
      </c>
      <c r="S213">
        <v>45228</v>
      </c>
      <c r="T213">
        <v>2154</v>
      </c>
      <c r="U213">
        <v>0</v>
      </c>
      <c r="V213" s="108">
        <v>449</v>
      </c>
      <c r="W213" s="108">
        <v>23838</v>
      </c>
      <c r="X213" s="108">
        <v>462</v>
      </c>
      <c r="Y213" s="108">
        <v>0</v>
      </c>
      <c r="Z213" s="108">
        <v>0</v>
      </c>
      <c r="AA213" s="108">
        <v>0</v>
      </c>
      <c r="AB213" s="108">
        <v>0</v>
      </c>
      <c r="AC213" s="108">
        <v>0</v>
      </c>
      <c r="AD213" s="108">
        <v>0</v>
      </c>
    </row>
    <row r="214" spans="1:30" ht="15" x14ac:dyDescent="0.25">
      <c r="A214">
        <v>636</v>
      </c>
      <c r="B214" s="109" t="s">
        <v>342</v>
      </c>
      <c r="C214" s="108">
        <v>14720</v>
      </c>
      <c r="D214" s="108">
        <v>0</v>
      </c>
      <c r="E214" s="108">
        <v>0</v>
      </c>
      <c r="F214" s="108">
        <v>795</v>
      </c>
      <c r="G214" s="108">
        <v>117</v>
      </c>
      <c r="H214" s="108">
        <v>2722</v>
      </c>
      <c r="I214" s="108">
        <v>0</v>
      </c>
      <c r="J214">
        <v>0</v>
      </c>
      <c r="K214">
        <v>0</v>
      </c>
      <c r="L214">
        <v>0</v>
      </c>
      <c r="M214" s="108">
        <v>0</v>
      </c>
      <c r="N214" s="108">
        <v>0</v>
      </c>
      <c r="O214" s="108">
        <v>0</v>
      </c>
      <c r="P214" s="108">
        <v>0</v>
      </c>
      <c r="Q214" s="108">
        <v>0</v>
      </c>
      <c r="R214" s="108">
        <v>0</v>
      </c>
      <c r="S214">
        <v>61553</v>
      </c>
      <c r="T214">
        <v>1957</v>
      </c>
      <c r="U214">
        <v>795</v>
      </c>
      <c r="V214" s="108">
        <v>285</v>
      </c>
      <c r="W214" s="108">
        <v>31753</v>
      </c>
      <c r="X214" s="108">
        <v>617</v>
      </c>
      <c r="Y214" s="108">
        <v>0</v>
      </c>
      <c r="Z214" s="108">
        <v>25</v>
      </c>
      <c r="AA214" s="108">
        <v>0</v>
      </c>
      <c r="AB214" s="108">
        <v>6</v>
      </c>
      <c r="AC214" s="108">
        <v>161</v>
      </c>
      <c r="AD214" s="108">
        <v>0</v>
      </c>
    </row>
    <row r="215" spans="1:30" ht="15" x14ac:dyDescent="0.25">
      <c r="A215">
        <v>638</v>
      </c>
      <c r="B215" s="109" t="s">
        <v>331</v>
      </c>
      <c r="C215" s="108">
        <v>115123</v>
      </c>
      <c r="D215" s="108">
        <v>0</v>
      </c>
      <c r="E215" s="108">
        <v>1340</v>
      </c>
      <c r="F215" s="108">
        <v>793</v>
      </c>
      <c r="G215" s="108">
        <v>333</v>
      </c>
      <c r="H215" s="108">
        <v>24791</v>
      </c>
      <c r="I215" s="108">
        <v>5497</v>
      </c>
      <c r="J215">
        <v>0</v>
      </c>
      <c r="K215">
        <v>0</v>
      </c>
      <c r="L215">
        <v>0</v>
      </c>
      <c r="M215" s="108">
        <v>0</v>
      </c>
      <c r="N215" s="108">
        <v>0</v>
      </c>
      <c r="O215" s="108">
        <v>0</v>
      </c>
      <c r="P215" s="108">
        <v>0</v>
      </c>
      <c r="Q215" s="108">
        <v>0</v>
      </c>
      <c r="R215" s="108">
        <v>0</v>
      </c>
      <c r="S215">
        <v>362837</v>
      </c>
      <c r="T215">
        <v>24294</v>
      </c>
      <c r="U215">
        <v>793</v>
      </c>
      <c r="V215" s="108">
        <v>5725</v>
      </c>
      <c r="W215" s="108">
        <v>172073</v>
      </c>
      <c r="X215" s="108">
        <v>9121</v>
      </c>
      <c r="Y215" s="108">
        <v>20</v>
      </c>
      <c r="Z215" s="108">
        <v>664</v>
      </c>
      <c r="AA215" s="108">
        <v>737</v>
      </c>
      <c r="AB215" s="108">
        <v>15</v>
      </c>
      <c r="AC215" s="108">
        <v>301</v>
      </c>
      <c r="AD215" s="108">
        <v>23</v>
      </c>
    </row>
    <row r="216" spans="1:30" ht="15" x14ac:dyDescent="0.25">
      <c r="A216">
        <v>678</v>
      </c>
      <c r="B216" s="109" t="s">
        <v>343</v>
      </c>
      <c r="C216" s="108">
        <v>29825</v>
      </c>
      <c r="D216" s="108">
        <v>0</v>
      </c>
      <c r="E216" s="108">
        <v>392</v>
      </c>
      <c r="F216" s="108">
        <v>3846</v>
      </c>
      <c r="G216" s="108">
        <v>605</v>
      </c>
      <c r="H216" s="108">
        <v>772</v>
      </c>
      <c r="I216" s="108">
        <v>0</v>
      </c>
      <c r="J216">
        <v>0</v>
      </c>
      <c r="K216">
        <v>0</v>
      </c>
      <c r="L216">
        <v>0</v>
      </c>
      <c r="M216" s="108">
        <v>0</v>
      </c>
      <c r="N216" s="108">
        <v>0</v>
      </c>
      <c r="O216" s="108">
        <v>0</v>
      </c>
      <c r="P216" s="108">
        <v>0</v>
      </c>
      <c r="Q216" s="108">
        <v>134</v>
      </c>
      <c r="R216" s="108">
        <v>0</v>
      </c>
      <c r="S216">
        <v>163251</v>
      </c>
      <c r="T216">
        <v>6719</v>
      </c>
      <c r="U216">
        <v>3846</v>
      </c>
      <c r="V216" s="108">
        <v>2500</v>
      </c>
      <c r="W216" s="108">
        <v>83815</v>
      </c>
      <c r="X216" s="108">
        <v>2525</v>
      </c>
      <c r="Y216" s="108">
        <v>0</v>
      </c>
      <c r="Z216" s="108">
        <v>0</v>
      </c>
      <c r="AA216" s="108">
        <v>0</v>
      </c>
      <c r="AB216" s="108">
        <v>0</v>
      </c>
      <c r="AC216" s="108">
        <v>22</v>
      </c>
      <c r="AD216" s="108">
        <v>0</v>
      </c>
    </row>
    <row r="217" spans="1:30" ht="15" x14ac:dyDescent="0.25">
      <c r="A217">
        <v>680</v>
      </c>
      <c r="B217" s="109" t="s">
        <v>344</v>
      </c>
      <c r="C217" s="108">
        <v>71111</v>
      </c>
      <c r="D217" s="108">
        <v>0</v>
      </c>
      <c r="E217" s="108">
        <v>0</v>
      </c>
      <c r="F217" s="108">
        <v>0</v>
      </c>
      <c r="G217" s="108">
        <v>239</v>
      </c>
      <c r="H217" s="108">
        <v>29613</v>
      </c>
      <c r="I217" s="108">
        <v>0</v>
      </c>
      <c r="J217">
        <v>0</v>
      </c>
      <c r="K217">
        <v>0</v>
      </c>
      <c r="L217">
        <v>0</v>
      </c>
      <c r="M217" s="108">
        <v>0</v>
      </c>
      <c r="N217" s="108">
        <v>0</v>
      </c>
      <c r="O217" s="108">
        <v>0</v>
      </c>
      <c r="P217" s="108">
        <v>0</v>
      </c>
      <c r="Q217" s="108">
        <v>0</v>
      </c>
      <c r="R217" s="108">
        <v>0</v>
      </c>
      <c r="S217">
        <v>189170</v>
      </c>
      <c r="T217">
        <v>8921</v>
      </c>
      <c r="U217">
        <v>0</v>
      </c>
      <c r="V217" s="108">
        <v>1723</v>
      </c>
      <c r="W217" s="108">
        <v>106596</v>
      </c>
      <c r="X217" s="108">
        <v>1724</v>
      </c>
      <c r="Y217" s="108">
        <v>0</v>
      </c>
      <c r="Z217" s="108">
        <v>234</v>
      </c>
      <c r="AA217" s="108">
        <v>0</v>
      </c>
      <c r="AB217" s="108">
        <v>0</v>
      </c>
      <c r="AC217" s="108">
        <v>0</v>
      </c>
      <c r="AD217" s="108">
        <v>0</v>
      </c>
    </row>
    <row r="218" spans="1:30" ht="15" x14ac:dyDescent="0.25">
      <c r="A218">
        <v>681</v>
      </c>
      <c r="B218" s="109" t="s">
        <v>345</v>
      </c>
      <c r="C218" s="108">
        <v>9355</v>
      </c>
      <c r="D218" s="108">
        <v>0</v>
      </c>
      <c r="E218" s="108">
        <v>6</v>
      </c>
      <c r="F218" s="108">
        <v>0</v>
      </c>
      <c r="G218" s="108">
        <v>21</v>
      </c>
      <c r="H218" s="108">
        <v>2075</v>
      </c>
      <c r="I218" s="108">
        <v>28</v>
      </c>
      <c r="J218">
        <v>0</v>
      </c>
      <c r="K218">
        <v>0</v>
      </c>
      <c r="L218">
        <v>0</v>
      </c>
      <c r="M218" s="108">
        <v>0</v>
      </c>
      <c r="N218" s="108">
        <v>6</v>
      </c>
      <c r="O218" s="108">
        <v>0</v>
      </c>
      <c r="P218" s="108">
        <v>0</v>
      </c>
      <c r="Q218" s="108">
        <v>0</v>
      </c>
      <c r="R218" s="108">
        <v>0</v>
      </c>
      <c r="S218">
        <v>32756</v>
      </c>
      <c r="T218">
        <v>983</v>
      </c>
      <c r="U218">
        <v>0</v>
      </c>
      <c r="V218" s="108">
        <v>265</v>
      </c>
      <c r="W218" s="108">
        <v>17439</v>
      </c>
      <c r="X218" s="108">
        <v>330</v>
      </c>
      <c r="Y218" s="108">
        <v>0</v>
      </c>
      <c r="Z218" s="108">
        <v>243</v>
      </c>
      <c r="AA218" s="108">
        <v>7</v>
      </c>
      <c r="AB218" s="108">
        <v>0</v>
      </c>
      <c r="AC218" s="108">
        <v>0</v>
      </c>
      <c r="AD218" s="108">
        <v>0</v>
      </c>
    </row>
    <row r="219" spans="1:30" ht="15" x14ac:dyDescent="0.25">
      <c r="A219">
        <v>683</v>
      </c>
      <c r="B219" s="109" t="s">
        <v>346</v>
      </c>
      <c r="C219" s="108">
        <v>8620</v>
      </c>
      <c r="D219" s="108">
        <v>0</v>
      </c>
      <c r="E219" s="108">
        <v>0</v>
      </c>
      <c r="F219" s="108">
        <v>0</v>
      </c>
      <c r="G219" s="108">
        <v>76</v>
      </c>
      <c r="H219" s="108">
        <v>2923</v>
      </c>
      <c r="I219" s="108">
        <v>0</v>
      </c>
      <c r="J219">
        <v>0</v>
      </c>
      <c r="K219">
        <v>0</v>
      </c>
      <c r="L219">
        <v>0</v>
      </c>
      <c r="M219" s="108">
        <v>0</v>
      </c>
      <c r="N219" s="108">
        <v>0</v>
      </c>
      <c r="O219" s="108">
        <v>0</v>
      </c>
      <c r="P219" s="108">
        <v>0</v>
      </c>
      <c r="Q219" s="108">
        <v>0</v>
      </c>
      <c r="R219" s="108">
        <v>0</v>
      </c>
      <c r="S219">
        <v>37390</v>
      </c>
      <c r="T219">
        <v>1302</v>
      </c>
      <c r="U219">
        <v>0</v>
      </c>
      <c r="V219" s="108">
        <v>683</v>
      </c>
      <c r="W219" s="108">
        <v>19992</v>
      </c>
      <c r="X219" s="108">
        <v>365</v>
      </c>
      <c r="Y219" s="108">
        <v>0</v>
      </c>
      <c r="Z219" s="108">
        <v>237</v>
      </c>
      <c r="AA219" s="108">
        <v>0</v>
      </c>
      <c r="AB219" s="108">
        <v>0</v>
      </c>
      <c r="AC219" s="108">
        <v>0</v>
      </c>
      <c r="AD219" s="108">
        <v>0</v>
      </c>
    </row>
    <row r="220" spans="1:30" ht="15" x14ac:dyDescent="0.25">
      <c r="A220">
        <v>684</v>
      </c>
      <c r="B220" s="109" t="s">
        <v>347</v>
      </c>
      <c r="C220" s="108">
        <v>90895</v>
      </c>
      <c r="D220" s="108">
        <v>-6</v>
      </c>
      <c r="E220" s="108">
        <v>24643</v>
      </c>
      <c r="F220" s="108">
        <v>4630</v>
      </c>
      <c r="G220" s="108">
        <v>313</v>
      </c>
      <c r="H220" s="108">
        <v>20051</v>
      </c>
      <c r="I220" s="108">
        <v>0</v>
      </c>
      <c r="J220">
        <v>0</v>
      </c>
      <c r="K220">
        <v>0</v>
      </c>
      <c r="L220">
        <v>0</v>
      </c>
      <c r="M220" s="108">
        <v>0</v>
      </c>
      <c r="N220" s="108">
        <v>636</v>
      </c>
      <c r="O220" s="108">
        <v>87</v>
      </c>
      <c r="P220" s="108">
        <v>0</v>
      </c>
      <c r="Q220" s="108">
        <v>458</v>
      </c>
      <c r="R220" s="108">
        <v>0</v>
      </c>
      <c r="S220">
        <v>316882</v>
      </c>
      <c r="T220">
        <v>20594</v>
      </c>
      <c r="U220">
        <v>4630</v>
      </c>
      <c r="V220" s="108">
        <v>3787</v>
      </c>
      <c r="W220" s="108">
        <v>150918</v>
      </c>
      <c r="X220" s="108">
        <v>3568</v>
      </c>
      <c r="Y220" s="108">
        <v>3</v>
      </c>
      <c r="Z220" s="108">
        <v>475</v>
      </c>
      <c r="AA220" s="108">
        <v>0</v>
      </c>
      <c r="AB220" s="108">
        <v>23</v>
      </c>
      <c r="AC220" s="108">
        <v>2181</v>
      </c>
      <c r="AD220" s="108">
        <v>0</v>
      </c>
    </row>
    <row r="221" spans="1:30" ht="15" x14ac:dyDescent="0.25">
      <c r="A221">
        <v>686</v>
      </c>
      <c r="B221" s="109" t="s">
        <v>348</v>
      </c>
      <c r="C221" s="108">
        <v>4235</v>
      </c>
      <c r="D221" s="108">
        <v>0</v>
      </c>
      <c r="E221" s="108">
        <v>0</v>
      </c>
      <c r="F221" s="108">
        <v>308</v>
      </c>
      <c r="G221" s="108">
        <v>17</v>
      </c>
      <c r="H221" s="108">
        <v>1321</v>
      </c>
      <c r="I221" s="108">
        <v>40</v>
      </c>
      <c r="J221">
        <v>0</v>
      </c>
      <c r="K221">
        <v>0</v>
      </c>
      <c r="L221">
        <v>0</v>
      </c>
      <c r="M221" s="108">
        <v>0</v>
      </c>
      <c r="N221" s="108">
        <v>0</v>
      </c>
      <c r="O221" s="108">
        <v>0</v>
      </c>
      <c r="P221" s="108">
        <v>0</v>
      </c>
      <c r="Q221" s="108">
        <v>0</v>
      </c>
      <c r="R221" s="108">
        <v>0</v>
      </c>
      <c r="S221">
        <v>25187</v>
      </c>
      <c r="T221">
        <v>777</v>
      </c>
      <c r="U221">
        <v>311</v>
      </c>
      <c r="V221" s="108">
        <v>210</v>
      </c>
      <c r="W221" s="108">
        <v>14823</v>
      </c>
      <c r="X221" s="108">
        <v>351</v>
      </c>
      <c r="Y221" s="108">
        <v>0</v>
      </c>
      <c r="Z221" s="108">
        <v>109</v>
      </c>
      <c r="AA221" s="108">
        <v>8</v>
      </c>
      <c r="AB221" s="108">
        <v>0</v>
      </c>
      <c r="AC221" s="108">
        <v>118</v>
      </c>
      <c r="AD221" s="108">
        <v>1</v>
      </c>
    </row>
    <row r="222" spans="1:30" ht="15" x14ac:dyDescent="0.25">
      <c r="A222">
        <v>687</v>
      </c>
      <c r="B222" s="109" t="s">
        <v>349</v>
      </c>
      <c r="C222" s="108">
        <v>3969</v>
      </c>
      <c r="D222" s="108">
        <v>0</v>
      </c>
      <c r="E222" s="108">
        <v>0</v>
      </c>
      <c r="F222" s="108">
        <v>0</v>
      </c>
      <c r="G222" s="108">
        <v>21</v>
      </c>
      <c r="H222" s="108">
        <v>1231</v>
      </c>
      <c r="I222" s="108">
        <v>45</v>
      </c>
      <c r="J222">
        <v>0</v>
      </c>
      <c r="K222">
        <v>0</v>
      </c>
      <c r="L222">
        <v>0</v>
      </c>
      <c r="M222" s="108">
        <v>0</v>
      </c>
      <c r="N222" s="108">
        <v>0</v>
      </c>
      <c r="O222" s="108">
        <v>0</v>
      </c>
      <c r="P222" s="108">
        <v>0</v>
      </c>
      <c r="Q222" s="108">
        <v>0</v>
      </c>
      <c r="R222" s="108">
        <v>0</v>
      </c>
      <c r="S222">
        <v>16818</v>
      </c>
      <c r="T222">
        <v>908</v>
      </c>
      <c r="U222">
        <v>0</v>
      </c>
      <c r="V222" s="108">
        <v>186</v>
      </c>
      <c r="W222" s="108">
        <v>9645</v>
      </c>
      <c r="X222" s="108">
        <v>288</v>
      </c>
      <c r="Y222" s="108">
        <v>0</v>
      </c>
      <c r="Z222" s="108">
        <v>259</v>
      </c>
      <c r="AA222" s="108">
        <v>15</v>
      </c>
      <c r="AB222" s="108">
        <v>0</v>
      </c>
      <c r="AC222" s="108">
        <v>0</v>
      </c>
      <c r="AD222" s="108">
        <v>0</v>
      </c>
    </row>
    <row r="223" spans="1:30" ht="15" x14ac:dyDescent="0.25">
      <c r="A223">
        <v>689</v>
      </c>
      <c r="B223" s="109" t="s">
        <v>350</v>
      </c>
      <c r="C223" s="108">
        <v>4729</v>
      </c>
      <c r="D223" s="108">
        <v>0</v>
      </c>
      <c r="E223" s="108">
        <v>0</v>
      </c>
      <c r="F223" s="108">
        <v>0</v>
      </c>
      <c r="G223" s="108">
        <v>4</v>
      </c>
      <c r="H223" s="108">
        <v>426</v>
      </c>
      <c r="I223" s="108">
        <v>4</v>
      </c>
      <c r="J223">
        <v>0</v>
      </c>
      <c r="K223">
        <v>0</v>
      </c>
      <c r="L223">
        <v>0</v>
      </c>
      <c r="M223" s="108">
        <v>0</v>
      </c>
      <c r="N223" s="108">
        <v>0</v>
      </c>
      <c r="O223" s="108">
        <v>0</v>
      </c>
      <c r="P223" s="108">
        <v>0</v>
      </c>
      <c r="Q223" s="108">
        <v>0</v>
      </c>
      <c r="R223" s="108">
        <v>0</v>
      </c>
      <c r="S223">
        <v>25813</v>
      </c>
      <c r="T223">
        <v>1470</v>
      </c>
      <c r="U223">
        <v>0</v>
      </c>
      <c r="V223" s="108">
        <v>108</v>
      </c>
      <c r="W223" s="108">
        <v>14843</v>
      </c>
      <c r="X223" s="108">
        <v>308</v>
      </c>
      <c r="Y223" s="108">
        <v>0</v>
      </c>
      <c r="Z223" s="108">
        <v>0</v>
      </c>
      <c r="AA223" s="108">
        <v>58</v>
      </c>
      <c r="AB223" s="108">
        <v>0</v>
      </c>
      <c r="AC223" s="108">
        <v>0</v>
      </c>
      <c r="AD223" s="108">
        <v>0</v>
      </c>
    </row>
    <row r="224" spans="1:30" ht="15" x14ac:dyDescent="0.25">
      <c r="A224">
        <v>691</v>
      </c>
      <c r="B224" s="109" t="s">
        <v>351</v>
      </c>
      <c r="C224" s="108">
        <v>10013</v>
      </c>
      <c r="D224" s="108">
        <v>0</v>
      </c>
      <c r="E224" s="108">
        <v>0</v>
      </c>
      <c r="F224" s="108">
        <v>0</v>
      </c>
      <c r="G224" s="108">
        <v>3</v>
      </c>
      <c r="H224" s="108">
        <v>57</v>
      </c>
      <c r="I224" s="108">
        <v>0</v>
      </c>
      <c r="J224">
        <v>0</v>
      </c>
      <c r="K224">
        <v>0</v>
      </c>
      <c r="L224">
        <v>0</v>
      </c>
      <c r="M224" s="108">
        <v>0</v>
      </c>
      <c r="N224" s="108">
        <v>0</v>
      </c>
      <c r="O224" s="108">
        <v>0</v>
      </c>
      <c r="P224" s="108">
        <v>0</v>
      </c>
      <c r="Q224" s="108">
        <v>0</v>
      </c>
      <c r="R224" s="108">
        <v>0</v>
      </c>
      <c r="S224">
        <v>28137</v>
      </c>
      <c r="T224">
        <v>1197</v>
      </c>
      <c r="U224">
        <v>0</v>
      </c>
      <c r="V224" s="108">
        <v>336</v>
      </c>
      <c r="W224" s="108">
        <v>11236</v>
      </c>
      <c r="X224" s="108">
        <v>225</v>
      </c>
      <c r="Y224" s="108">
        <v>0</v>
      </c>
      <c r="Z224" s="108">
        <v>0</v>
      </c>
      <c r="AA224" s="108">
        <v>0</v>
      </c>
      <c r="AB224" s="108">
        <v>0</v>
      </c>
      <c r="AC224" s="108">
        <v>0</v>
      </c>
      <c r="AD224" s="108">
        <v>0</v>
      </c>
    </row>
    <row r="225" spans="1:30" ht="15" x14ac:dyDescent="0.25">
      <c r="A225">
        <v>694</v>
      </c>
      <c r="B225" s="109" t="s">
        <v>352</v>
      </c>
      <c r="C225" s="108">
        <v>52287</v>
      </c>
      <c r="D225" s="108">
        <v>0</v>
      </c>
      <c r="E225" s="108">
        <v>0</v>
      </c>
      <c r="F225" s="108">
        <v>3472</v>
      </c>
      <c r="G225" s="108">
        <v>330</v>
      </c>
      <c r="H225" s="108">
        <v>7537</v>
      </c>
      <c r="I225" s="108">
        <v>1</v>
      </c>
      <c r="J225">
        <v>0</v>
      </c>
      <c r="K225">
        <v>0</v>
      </c>
      <c r="L225">
        <v>0</v>
      </c>
      <c r="M225" s="108">
        <v>0</v>
      </c>
      <c r="N225" s="108">
        <v>0</v>
      </c>
      <c r="O225" s="108">
        <v>0</v>
      </c>
      <c r="P225" s="108">
        <v>0</v>
      </c>
      <c r="Q225" s="108">
        <v>0</v>
      </c>
      <c r="R225" s="108">
        <v>0</v>
      </c>
      <c r="S225">
        <v>199055</v>
      </c>
      <c r="T225">
        <v>8525</v>
      </c>
      <c r="U225">
        <v>3472</v>
      </c>
      <c r="V225" s="108">
        <v>3458</v>
      </c>
      <c r="W225" s="108">
        <v>103885</v>
      </c>
      <c r="X225" s="108">
        <v>2124</v>
      </c>
      <c r="Y225" s="108">
        <v>7</v>
      </c>
      <c r="Z225" s="108">
        <v>49</v>
      </c>
      <c r="AA225" s="108">
        <v>0</v>
      </c>
      <c r="AB225" s="108">
        <v>62</v>
      </c>
      <c r="AC225" s="108">
        <v>1863</v>
      </c>
      <c r="AD225" s="108">
        <v>38</v>
      </c>
    </row>
    <row r="226" spans="1:30" ht="15" x14ac:dyDescent="0.25">
      <c r="A226">
        <v>697</v>
      </c>
      <c r="B226" s="109" t="s">
        <v>353</v>
      </c>
      <c r="C226" s="108">
        <v>4923</v>
      </c>
      <c r="D226" s="108">
        <v>0</v>
      </c>
      <c r="E226" s="108">
        <v>0</v>
      </c>
      <c r="F226" s="108">
        <v>73</v>
      </c>
      <c r="G226" s="108">
        <v>0</v>
      </c>
      <c r="H226" s="108">
        <v>3</v>
      </c>
      <c r="I226" s="108">
        <v>0</v>
      </c>
      <c r="J226">
        <v>0</v>
      </c>
      <c r="K226">
        <v>0</v>
      </c>
      <c r="L226">
        <v>0</v>
      </c>
      <c r="M226" s="108">
        <v>0</v>
      </c>
      <c r="N226" s="108">
        <v>0</v>
      </c>
      <c r="O226" s="108">
        <v>0</v>
      </c>
      <c r="P226" s="108">
        <v>0</v>
      </c>
      <c r="Q226" s="108">
        <v>0</v>
      </c>
      <c r="R226" s="108">
        <v>0</v>
      </c>
      <c r="S226">
        <v>15266</v>
      </c>
      <c r="T226">
        <v>559</v>
      </c>
      <c r="U226">
        <v>73</v>
      </c>
      <c r="V226" s="108">
        <v>117</v>
      </c>
      <c r="W226" s="108">
        <v>7174</v>
      </c>
      <c r="X226" s="108">
        <v>130</v>
      </c>
      <c r="Y226" s="108">
        <v>0</v>
      </c>
      <c r="Z226" s="108">
        <v>0</v>
      </c>
      <c r="AA226" s="108">
        <v>0</v>
      </c>
      <c r="AB226" s="108">
        <v>0</v>
      </c>
      <c r="AC226" s="108">
        <v>0</v>
      </c>
      <c r="AD226" s="108">
        <v>0</v>
      </c>
    </row>
    <row r="227" spans="1:30" ht="15" x14ac:dyDescent="0.25">
      <c r="A227">
        <v>698</v>
      </c>
      <c r="B227" s="109" t="s">
        <v>354</v>
      </c>
      <c r="C227" s="108">
        <v>110836</v>
      </c>
      <c r="D227" s="108">
        <v>0</v>
      </c>
      <c r="E227" s="108">
        <v>6006</v>
      </c>
      <c r="F227" s="108">
        <v>0</v>
      </c>
      <c r="G227" s="108">
        <v>1061</v>
      </c>
      <c r="H227" s="108">
        <v>29691</v>
      </c>
      <c r="I227" s="108">
        <v>59</v>
      </c>
      <c r="J227">
        <v>0</v>
      </c>
      <c r="K227">
        <v>0</v>
      </c>
      <c r="L227">
        <v>0</v>
      </c>
      <c r="M227" s="108">
        <v>0</v>
      </c>
      <c r="N227" s="108">
        <v>0</v>
      </c>
      <c r="O227" s="108">
        <v>0</v>
      </c>
      <c r="P227" s="108">
        <v>0</v>
      </c>
      <c r="Q227" s="108">
        <v>0</v>
      </c>
      <c r="R227" s="108">
        <v>0</v>
      </c>
      <c r="S227">
        <v>455921</v>
      </c>
      <c r="T227">
        <v>20152</v>
      </c>
      <c r="U227">
        <v>0</v>
      </c>
      <c r="V227" s="108">
        <v>7790</v>
      </c>
      <c r="W227" s="108">
        <v>237745</v>
      </c>
      <c r="X227" s="108">
        <v>4630</v>
      </c>
      <c r="Y227" s="108">
        <v>0</v>
      </c>
      <c r="Z227" s="108">
        <v>26</v>
      </c>
      <c r="AA227" s="108">
        <v>0</v>
      </c>
      <c r="AB227" s="108">
        <v>0</v>
      </c>
      <c r="AC227" s="108">
        <v>0</v>
      </c>
      <c r="AD227" s="108">
        <v>0</v>
      </c>
    </row>
    <row r="228" spans="1:30" ht="15" x14ac:dyDescent="0.25">
      <c r="A228">
        <v>700</v>
      </c>
      <c r="B228" s="109" t="s">
        <v>355</v>
      </c>
      <c r="C228" s="108">
        <v>9058</v>
      </c>
      <c r="D228" s="108">
        <v>0</v>
      </c>
      <c r="E228" s="108">
        <v>0</v>
      </c>
      <c r="F228" s="108">
        <v>0</v>
      </c>
      <c r="G228" s="108">
        <v>0</v>
      </c>
      <c r="H228" s="108">
        <v>37</v>
      </c>
      <c r="I228" s="108">
        <v>0</v>
      </c>
      <c r="J228">
        <v>0</v>
      </c>
      <c r="K228">
        <v>0</v>
      </c>
      <c r="L228">
        <v>0</v>
      </c>
      <c r="M228" s="108">
        <v>0</v>
      </c>
      <c r="N228" s="108">
        <v>0</v>
      </c>
      <c r="O228" s="108">
        <v>0</v>
      </c>
      <c r="P228" s="108">
        <v>0</v>
      </c>
      <c r="Q228" s="108">
        <v>0</v>
      </c>
      <c r="R228" s="108">
        <v>0</v>
      </c>
      <c r="S228">
        <v>40358</v>
      </c>
      <c r="T228">
        <v>2842</v>
      </c>
      <c r="U228">
        <v>0</v>
      </c>
      <c r="V228" s="108">
        <v>134</v>
      </c>
      <c r="W228" s="108">
        <v>20166</v>
      </c>
      <c r="X228" s="108">
        <v>0</v>
      </c>
      <c r="Y228" s="108">
        <v>0</v>
      </c>
      <c r="Z228" s="108">
        <v>0</v>
      </c>
      <c r="AA228" s="108">
        <v>0</v>
      </c>
      <c r="AB228" s="108">
        <v>0</v>
      </c>
      <c r="AC228" s="108">
        <v>0</v>
      </c>
      <c r="AD228" s="108">
        <v>0</v>
      </c>
    </row>
    <row r="229" spans="1:30" ht="15" x14ac:dyDescent="0.25">
      <c r="A229">
        <v>702</v>
      </c>
      <c r="B229" s="109" t="s">
        <v>356</v>
      </c>
      <c r="C229" s="108">
        <v>5667</v>
      </c>
      <c r="D229" s="108">
        <v>0</v>
      </c>
      <c r="E229" s="108">
        <v>0</v>
      </c>
      <c r="F229" s="108">
        <v>834</v>
      </c>
      <c r="G229" s="108">
        <v>105</v>
      </c>
      <c r="H229" s="108">
        <v>205</v>
      </c>
      <c r="I229" s="108">
        <v>0</v>
      </c>
      <c r="J229">
        <v>0</v>
      </c>
      <c r="K229">
        <v>0</v>
      </c>
      <c r="L229">
        <v>0</v>
      </c>
      <c r="M229" s="108">
        <v>0</v>
      </c>
      <c r="N229" s="108">
        <v>0</v>
      </c>
      <c r="O229" s="108">
        <v>0</v>
      </c>
      <c r="P229" s="108">
        <v>0</v>
      </c>
      <c r="Q229" s="108">
        <v>0</v>
      </c>
      <c r="R229" s="108">
        <v>0</v>
      </c>
      <c r="S229">
        <v>34302</v>
      </c>
      <c r="T229">
        <v>1257</v>
      </c>
      <c r="U229">
        <v>834</v>
      </c>
      <c r="V229" s="108">
        <v>188</v>
      </c>
      <c r="W229" s="108">
        <v>20783</v>
      </c>
      <c r="X229" s="108">
        <v>347</v>
      </c>
      <c r="Y229" s="108">
        <v>0</v>
      </c>
      <c r="Z229" s="108">
        <v>4</v>
      </c>
      <c r="AA229" s="108">
        <v>0</v>
      </c>
      <c r="AB229" s="108">
        <v>0</v>
      </c>
      <c r="AC229" s="108">
        <v>47</v>
      </c>
      <c r="AD229" s="108">
        <v>0</v>
      </c>
    </row>
    <row r="230" spans="1:30" ht="15" x14ac:dyDescent="0.25">
      <c r="A230">
        <v>704</v>
      </c>
      <c r="B230" s="109" t="s">
        <v>357</v>
      </c>
      <c r="C230" s="108">
        <v>7960</v>
      </c>
      <c r="D230" s="108">
        <v>0</v>
      </c>
      <c r="E230" s="108">
        <v>0</v>
      </c>
      <c r="F230" s="108">
        <v>379</v>
      </c>
      <c r="G230" s="108">
        <v>0</v>
      </c>
      <c r="H230" s="108">
        <v>6</v>
      </c>
      <c r="I230" s="108">
        <v>41</v>
      </c>
      <c r="J230">
        <v>0</v>
      </c>
      <c r="K230">
        <v>0</v>
      </c>
      <c r="L230">
        <v>0</v>
      </c>
      <c r="M230" s="108">
        <v>0</v>
      </c>
      <c r="N230" s="108">
        <v>0</v>
      </c>
      <c r="O230" s="108">
        <v>0</v>
      </c>
      <c r="P230" s="108">
        <v>0</v>
      </c>
      <c r="Q230" s="108">
        <v>0</v>
      </c>
      <c r="R230" s="108">
        <v>0</v>
      </c>
      <c r="S230">
        <v>34267</v>
      </c>
      <c r="T230">
        <v>1557</v>
      </c>
      <c r="U230">
        <v>377</v>
      </c>
      <c r="V230" s="108">
        <v>19</v>
      </c>
      <c r="W230" s="108">
        <v>14886</v>
      </c>
      <c r="X230" s="108">
        <v>493</v>
      </c>
      <c r="Y230" s="108">
        <v>0</v>
      </c>
      <c r="Z230" s="108">
        <v>0</v>
      </c>
      <c r="AA230" s="108">
        <v>0</v>
      </c>
      <c r="AB230" s="108">
        <v>0</v>
      </c>
      <c r="AC230" s="108">
        <v>4</v>
      </c>
      <c r="AD230" s="108">
        <v>0</v>
      </c>
    </row>
    <row r="231" spans="1:30" ht="15" x14ac:dyDescent="0.25">
      <c r="A231">
        <v>707</v>
      </c>
      <c r="B231" s="109" t="s">
        <v>358</v>
      </c>
      <c r="C231" s="108">
        <v>3537</v>
      </c>
      <c r="D231" s="108">
        <v>0</v>
      </c>
      <c r="E231" s="108">
        <v>0</v>
      </c>
      <c r="F231" s="108">
        <v>0</v>
      </c>
      <c r="G231" s="108">
        <v>96</v>
      </c>
      <c r="H231" s="108">
        <v>1063</v>
      </c>
      <c r="I231" s="108">
        <v>21</v>
      </c>
      <c r="J231">
        <v>0</v>
      </c>
      <c r="K231">
        <v>0</v>
      </c>
      <c r="L231">
        <v>0</v>
      </c>
      <c r="M231" s="108">
        <v>0</v>
      </c>
      <c r="N231" s="108">
        <v>0</v>
      </c>
      <c r="O231" s="108">
        <v>0</v>
      </c>
      <c r="P231" s="108">
        <v>0</v>
      </c>
      <c r="Q231" s="108">
        <v>0</v>
      </c>
      <c r="R231" s="108">
        <v>0</v>
      </c>
      <c r="S231">
        <v>19204</v>
      </c>
      <c r="T231">
        <v>517</v>
      </c>
      <c r="U231">
        <v>0</v>
      </c>
      <c r="V231" s="108">
        <v>344</v>
      </c>
      <c r="W231" s="108">
        <v>12221</v>
      </c>
      <c r="X231" s="108">
        <v>212</v>
      </c>
      <c r="Y231" s="108">
        <v>0</v>
      </c>
      <c r="Z231" s="108">
        <v>1</v>
      </c>
      <c r="AA231" s="108">
        <v>0</v>
      </c>
      <c r="AB231" s="108">
        <v>0</v>
      </c>
      <c r="AC231" s="108">
        <v>0</v>
      </c>
      <c r="AD231" s="108">
        <v>0</v>
      </c>
    </row>
    <row r="232" spans="1:30" ht="15" x14ac:dyDescent="0.25">
      <c r="A232">
        <v>710</v>
      </c>
      <c r="B232" s="109" t="s">
        <v>133</v>
      </c>
      <c r="C232" s="108">
        <v>53819</v>
      </c>
      <c r="D232" s="108">
        <v>0</v>
      </c>
      <c r="E232" s="108">
        <v>130</v>
      </c>
      <c r="F232" s="108">
        <v>0</v>
      </c>
      <c r="G232" s="108">
        <v>510</v>
      </c>
      <c r="H232" s="108">
        <v>13370</v>
      </c>
      <c r="I232" s="108">
        <v>0</v>
      </c>
      <c r="J232">
        <v>0</v>
      </c>
      <c r="K232">
        <v>0</v>
      </c>
      <c r="L232">
        <v>0</v>
      </c>
      <c r="M232" s="108">
        <v>0</v>
      </c>
      <c r="N232" s="108">
        <v>0</v>
      </c>
      <c r="O232" s="108">
        <v>0</v>
      </c>
      <c r="P232" s="108">
        <v>0</v>
      </c>
      <c r="Q232" s="108">
        <v>0</v>
      </c>
      <c r="R232" s="108">
        <v>0</v>
      </c>
      <c r="S232">
        <v>217165</v>
      </c>
      <c r="T232">
        <v>5919</v>
      </c>
      <c r="U232">
        <v>0</v>
      </c>
      <c r="V232" s="108">
        <v>3331</v>
      </c>
      <c r="W232" s="108">
        <v>116822</v>
      </c>
      <c r="X232" s="108">
        <v>1838</v>
      </c>
      <c r="Y232" s="108">
        <v>0</v>
      </c>
      <c r="Z232" s="108">
        <v>3</v>
      </c>
      <c r="AA232" s="108">
        <v>0</v>
      </c>
      <c r="AB232" s="108">
        <v>0</v>
      </c>
      <c r="AC232" s="108">
        <v>0</v>
      </c>
      <c r="AD232" s="108">
        <v>0</v>
      </c>
    </row>
    <row r="233" spans="1:30" ht="15" x14ac:dyDescent="0.25">
      <c r="A233">
        <v>729</v>
      </c>
      <c r="B233" s="109" t="s">
        <v>359</v>
      </c>
      <c r="C233" s="108">
        <v>15963</v>
      </c>
      <c r="D233" s="108">
        <v>0</v>
      </c>
      <c r="E233" s="108">
        <v>0</v>
      </c>
      <c r="F233" s="108">
        <v>925</v>
      </c>
      <c r="G233" s="108">
        <v>0</v>
      </c>
      <c r="H233" s="108">
        <v>316</v>
      </c>
      <c r="I233" s="108">
        <v>0</v>
      </c>
      <c r="J233">
        <v>0</v>
      </c>
      <c r="K233">
        <v>0</v>
      </c>
      <c r="L233">
        <v>0</v>
      </c>
      <c r="M233" s="108">
        <v>0</v>
      </c>
      <c r="N233" s="108">
        <v>0</v>
      </c>
      <c r="O233" s="108">
        <v>0</v>
      </c>
      <c r="P233" s="108">
        <v>0</v>
      </c>
      <c r="Q233" s="108">
        <v>0</v>
      </c>
      <c r="R233" s="108">
        <v>0</v>
      </c>
      <c r="S233">
        <v>72887</v>
      </c>
      <c r="T233">
        <v>4304</v>
      </c>
      <c r="U233">
        <v>926</v>
      </c>
      <c r="V233" s="108">
        <v>797</v>
      </c>
      <c r="W233" s="108">
        <v>39294</v>
      </c>
      <c r="X233" s="108">
        <v>838</v>
      </c>
      <c r="Y233" s="108">
        <v>0</v>
      </c>
      <c r="Z233" s="108">
        <v>0</v>
      </c>
      <c r="AA233" s="108">
        <v>0</v>
      </c>
      <c r="AB233" s="108">
        <v>0</v>
      </c>
      <c r="AC233" s="108">
        <v>0</v>
      </c>
      <c r="AD233" s="108">
        <v>19</v>
      </c>
    </row>
    <row r="234" spans="1:30" ht="15" x14ac:dyDescent="0.25">
      <c r="A234">
        <v>732</v>
      </c>
      <c r="B234" s="109" t="s">
        <v>360</v>
      </c>
      <c r="C234" s="108">
        <v>7052</v>
      </c>
      <c r="D234" s="108">
        <v>0</v>
      </c>
      <c r="E234" s="108">
        <v>0</v>
      </c>
      <c r="F234" s="108">
        <v>4376</v>
      </c>
      <c r="G234" s="108">
        <v>13</v>
      </c>
      <c r="H234" s="108">
        <v>3128</v>
      </c>
      <c r="I234" s="108">
        <v>0</v>
      </c>
      <c r="J234">
        <v>0</v>
      </c>
      <c r="K234">
        <v>0</v>
      </c>
      <c r="L234">
        <v>0</v>
      </c>
      <c r="M234" s="108">
        <v>0</v>
      </c>
      <c r="N234" s="108">
        <v>0</v>
      </c>
      <c r="O234" s="108">
        <v>0</v>
      </c>
      <c r="P234" s="108">
        <v>0</v>
      </c>
      <c r="Q234" s="108">
        <v>911</v>
      </c>
      <c r="R234" s="108">
        <v>0</v>
      </c>
      <c r="S234">
        <v>36755</v>
      </c>
      <c r="T234">
        <v>1297</v>
      </c>
      <c r="U234">
        <v>4376</v>
      </c>
      <c r="V234" s="108">
        <v>149</v>
      </c>
      <c r="W234" s="108">
        <v>22092</v>
      </c>
      <c r="X234" s="108">
        <v>350</v>
      </c>
      <c r="Y234" s="108">
        <v>0</v>
      </c>
      <c r="Z234" s="108">
        <v>155</v>
      </c>
      <c r="AA234" s="108">
        <v>0</v>
      </c>
      <c r="AB234" s="108">
        <v>0</v>
      </c>
      <c r="AC234" s="108">
        <v>2683</v>
      </c>
      <c r="AD234" s="108">
        <v>0</v>
      </c>
    </row>
    <row r="235" spans="1:30" ht="15" x14ac:dyDescent="0.25">
      <c r="A235">
        <v>734</v>
      </c>
      <c r="B235" s="109" t="s">
        <v>361</v>
      </c>
      <c r="C235" s="108">
        <v>92418</v>
      </c>
      <c r="D235" s="108">
        <v>0</v>
      </c>
      <c r="E235" s="108">
        <v>0</v>
      </c>
      <c r="F235" s="108">
        <v>4760</v>
      </c>
      <c r="G235" s="108">
        <v>461</v>
      </c>
      <c r="H235" s="108">
        <v>24178</v>
      </c>
      <c r="I235" s="108">
        <v>0</v>
      </c>
      <c r="J235">
        <v>0</v>
      </c>
      <c r="K235">
        <v>0</v>
      </c>
      <c r="L235">
        <v>0</v>
      </c>
      <c r="M235" s="108">
        <v>0</v>
      </c>
      <c r="N235" s="108">
        <v>0</v>
      </c>
      <c r="O235" s="108">
        <v>0</v>
      </c>
      <c r="P235" s="108">
        <v>0</v>
      </c>
      <c r="Q235" s="108">
        <v>1010</v>
      </c>
      <c r="R235" s="108">
        <v>0</v>
      </c>
      <c r="S235">
        <v>372315</v>
      </c>
      <c r="T235">
        <v>15320</v>
      </c>
      <c r="U235">
        <v>4762</v>
      </c>
      <c r="V235" s="108">
        <v>1725</v>
      </c>
      <c r="W235" s="108">
        <v>204371</v>
      </c>
      <c r="X235" s="108">
        <v>3915</v>
      </c>
      <c r="Y235" s="108">
        <v>0</v>
      </c>
      <c r="Z235" s="108">
        <v>594</v>
      </c>
      <c r="AA235" s="108">
        <v>0</v>
      </c>
      <c r="AB235" s="108">
        <v>32</v>
      </c>
      <c r="AC235" s="108">
        <v>2264</v>
      </c>
      <c r="AD235" s="108">
        <v>1</v>
      </c>
    </row>
    <row r="236" spans="1:30" ht="15" x14ac:dyDescent="0.25">
      <c r="A236">
        <v>738</v>
      </c>
      <c r="B236" s="109" t="s">
        <v>362</v>
      </c>
      <c r="C236" s="108">
        <v>2871</v>
      </c>
      <c r="D236" s="108">
        <v>0</v>
      </c>
      <c r="E236" s="108">
        <v>0</v>
      </c>
      <c r="F236" s="108">
        <v>176</v>
      </c>
      <c r="G236" s="108">
        <v>21</v>
      </c>
      <c r="H236" s="108">
        <v>636</v>
      </c>
      <c r="I236" s="108">
        <v>0</v>
      </c>
      <c r="J236">
        <v>0</v>
      </c>
      <c r="K236">
        <v>0</v>
      </c>
      <c r="L236">
        <v>0</v>
      </c>
      <c r="M236" s="108">
        <v>0</v>
      </c>
      <c r="N236" s="108">
        <v>0</v>
      </c>
      <c r="O236" s="108">
        <v>0</v>
      </c>
      <c r="P236" s="108">
        <v>0</v>
      </c>
      <c r="Q236" s="108">
        <v>0</v>
      </c>
      <c r="R236" s="108">
        <v>0</v>
      </c>
      <c r="S236">
        <v>18471</v>
      </c>
      <c r="T236">
        <v>360</v>
      </c>
      <c r="U236">
        <v>175</v>
      </c>
      <c r="V236" s="108">
        <v>157</v>
      </c>
      <c r="W236" s="108">
        <v>9981</v>
      </c>
      <c r="X236" s="108">
        <v>218</v>
      </c>
      <c r="Y236" s="108">
        <v>0</v>
      </c>
      <c r="Z236" s="108">
        <v>0</v>
      </c>
      <c r="AA236" s="108">
        <v>0</v>
      </c>
      <c r="AB236" s="108">
        <v>1</v>
      </c>
      <c r="AC236" s="108">
        <v>59</v>
      </c>
      <c r="AD236" s="108">
        <v>1</v>
      </c>
    </row>
    <row r="237" spans="1:30" ht="15" x14ac:dyDescent="0.25">
      <c r="A237">
        <v>739</v>
      </c>
      <c r="B237" s="109" t="s">
        <v>363</v>
      </c>
      <c r="C237" s="108">
        <v>7595</v>
      </c>
      <c r="D237" s="108">
        <v>0</v>
      </c>
      <c r="E237" s="108">
        <v>76</v>
      </c>
      <c r="F237" s="108">
        <v>1144</v>
      </c>
      <c r="G237" s="108">
        <v>22</v>
      </c>
      <c r="H237" s="108">
        <v>376</v>
      </c>
      <c r="I237" s="108">
        <v>0</v>
      </c>
      <c r="J237">
        <v>0</v>
      </c>
      <c r="K237">
        <v>0</v>
      </c>
      <c r="L237">
        <v>0</v>
      </c>
      <c r="M237" s="108">
        <v>0</v>
      </c>
      <c r="N237" s="108">
        <v>0</v>
      </c>
      <c r="O237" s="108">
        <v>0</v>
      </c>
      <c r="P237" s="108">
        <v>0</v>
      </c>
      <c r="Q237" s="108">
        <v>0</v>
      </c>
      <c r="R237" s="108">
        <v>0</v>
      </c>
      <c r="S237">
        <v>30408</v>
      </c>
      <c r="T237">
        <v>1099</v>
      </c>
      <c r="U237">
        <v>1144</v>
      </c>
      <c r="V237" s="108">
        <v>174</v>
      </c>
      <c r="W237" s="108">
        <v>16245</v>
      </c>
      <c r="X237" s="108">
        <v>279</v>
      </c>
      <c r="Y237" s="108">
        <v>0</v>
      </c>
      <c r="Z237" s="108">
        <v>0</v>
      </c>
      <c r="AA237" s="108">
        <v>0</v>
      </c>
      <c r="AB237" s="108">
        <v>0</v>
      </c>
      <c r="AC237" s="108">
        <v>0</v>
      </c>
      <c r="AD237" s="108">
        <v>17</v>
      </c>
    </row>
    <row r="238" spans="1:30" ht="15" x14ac:dyDescent="0.25">
      <c r="A238">
        <v>740</v>
      </c>
      <c r="B238" s="109" t="s">
        <v>364</v>
      </c>
      <c r="C238" s="108">
        <v>53478</v>
      </c>
      <c r="D238" s="108">
        <v>0</v>
      </c>
      <c r="E238" s="108">
        <v>0</v>
      </c>
      <c r="F238" s="108">
        <v>0</v>
      </c>
      <c r="G238" s="108">
        <v>1137</v>
      </c>
      <c r="H238" s="108">
        <v>5407</v>
      </c>
      <c r="I238" s="108">
        <v>1</v>
      </c>
      <c r="J238">
        <v>0</v>
      </c>
      <c r="K238">
        <v>0</v>
      </c>
      <c r="L238">
        <v>0</v>
      </c>
      <c r="M238" s="108">
        <v>0</v>
      </c>
      <c r="N238" s="108">
        <v>0</v>
      </c>
      <c r="O238" s="108">
        <v>0</v>
      </c>
      <c r="P238" s="108">
        <v>0</v>
      </c>
      <c r="Q238" s="108">
        <v>0</v>
      </c>
      <c r="R238" s="108">
        <v>0</v>
      </c>
      <c r="S238">
        <v>255267</v>
      </c>
      <c r="T238">
        <v>8926</v>
      </c>
      <c r="U238">
        <v>0</v>
      </c>
      <c r="V238" s="108">
        <v>3972</v>
      </c>
      <c r="W238" s="108">
        <v>148435</v>
      </c>
      <c r="X238" s="108">
        <v>3082</v>
      </c>
      <c r="Y238" s="108">
        <v>0</v>
      </c>
      <c r="Z238" s="108">
        <v>15</v>
      </c>
      <c r="AA238" s="108">
        <v>0</v>
      </c>
      <c r="AB238" s="108">
        <v>0</v>
      </c>
      <c r="AC238" s="108">
        <v>0</v>
      </c>
      <c r="AD238" s="108">
        <v>0</v>
      </c>
    </row>
    <row r="239" spans="1:30" ht="15" x14ac:dyDescent="0.25">
      <c r="A239">
        <v>742</v>
      </c>
      <c r="B239" s="109" t="s">
        <v>365</v>
      </c>
      <c r="C239" s="108">
        <v>1629</v>
      </c>
      <c r="D239" s="108">
        <v>0</v>
      </c>
      <c r="E239" s="108">
        <v>0</v>
      </c>
      <c r="F239" s="108">
        <v>1132</v>
      </c>
      <c r="G239" s="108">
        <v>26</v>
      </c>
      <c r="H239" s="108">
        <v>370</v>
      </c>
      <c r="I239" s="108">
        <v>0</v>
      </c>
      <c r="J239">
        <v>0</v>
      </c>
      <c r="K239">
        <v>0</v>
      </c>
      <c r="L239">
        <v>0</v>
      </c>
      <c r="M239" s="108">
        <v>0</v>
      </c>
      <c r="N239" s="108">
        <v>0</v>
      </c>
      <c r="O239" s="108">
        <v>0</v>
      </c>
      <c r="P239" s="108">
        <v>0</v>
      </c>
      <c r="Q239" s="108">
        <v>11</v>
      </c>
      <c r="R239" s="108">
        <v>0</v>
      </c>
      <c r="S239">
        <v>9520</v>
      </c>
      <c r="T239">
        <v>249</v>
      </c>
      <c r="U239">
        <v>1134</v>
      </c>
      <c r="V239" s="108">
        <v>224</v>
      </c>
      <c r="W239" s="108">
        <v>5266</v>
      </c>
      <c r="X239" s="108">
        <v>176</v>
      </c>
      <c r="Y239" s="108">
        <v>0</v>
      </c>
      <c r="Z239" s="108">
        <v>63</v>
      </c>
      <c r="AA239" s="108">
        <v>0</v>
      </c>
      <c r="AB239" s="108">
        <v>12</v>
      </c>
      <c r="AC239" s="108">
        <v>234</v>
      </c>
      <c r="AD239" s="108">
        <v>0</v>
      </c>
    </row>
    <row r="240" spans="1:30" ht="15" x14ac:dyDescent="0.25">
      <c r="A240">
        <v>743</v>
      </c>
      <c r="B240" s="109" t="s">
        <v>366</v>
      </c>
      <c r="C240" s="108">
        <v>107994</v>
      </c>
      <c r="D240" s="108">
        <v>0</v>
      </c>
      <c r="E240" s="108">
        <v>0</v>
      </c>
      <c r="F240" s="108">
        <v>0</v>
      </c>
      <c r="G240" s="108">
        <v>155</v>
      </c>
      <c r="H240" s="108">
        <v>27698</v>
      </c>
      <c r="I240" s="108">
        <v>11539</v>
      </c>
      <c r="J240">
        <v>0</v>
      </c>
      <c r="K240">
        <v>0</v>
      </c>
      <c r="L240">
        <v>0</v>
      </c>
      <c r="M240" s="108">
        <v>0</v>
      </c>
      <c r="N240" s="108">
        <v>0</v>
      </c>
      <c r="O240" s="108">
        <v>0</v>
      </c>
      <c r="P240" s="108">
        <v>0</v>
      </c>
      <c r="Q240" s="108">
        <v>0</v>
      </c>
      <c r="R240" s="108">
        <v>0</v>
      </c>
      <c r="S240">
        <v>427394</v>
      </c>
      <c r="T240">
        <v>17151</v>
      </c>
      <c r="U240">
        <v>0</v>
      </c>
      <c r="V240" s="108">
        <v>384</v>
      </c>
      <c r="W240" s="108">
        <v>213082</v>
      </c>
      <c r="X240" s="108">
        <v>15909</v>
      </c>
      <c r="Y240" s="108">
        <v>0</v>
      </c>
      <c r="Z240" s="108">
        <v>736</v>
      </c>
      <c r="AA240" s="108">
        <v>907</v>
      </c>
      <c r="AB240" s="108">
        <v>0</v>
      </c>
      <c r="AC240" s="108">
        <v>0</v>
      </c>
      <c r="AD240" s="108">
        <v>0</v>
      </c>
    </row>
    <row r="241" spans="1:30" ht="15" x14ac:dyDescent="0.25">
      <c r="A241">
        <v>746</v>
      </c>
      <c r="B241" s="109" t="s">
        <v>367</v>
      </c>
      <c r="C241" s="108">
        <v>6485</v>
      </c>
      <c r="D241" s="108">
        <v>0</v>
      </c>
      <c r="E241" s="108">
        <v>0</v>
      </c>
      <c r="F241" s="108">
        <v>0</v>
      </c>
      <c r="G241" s="108">
        <v>0</v>
      </c>
      <c r="H241" s="108">
        <v>0</v>
      </c>
      <c r="I241" s="108">
        <v>0</v>
      </c>
      <c r="J241">
        <v>0</v>
      </c>
      <c r="K241">
        <v>0</v>
      </c>
      <c r="L241">
        <v>0</v>
      </c>
      <c r="M241" s="108">
        <v>0</v>
      </c>
      <c r="N241" s="108">
        <v>0</v>
      </c>
      <c r="O241" s="108">
        <v>0</v>
      </c>
      <c r="P241" s="108">
        <v>0</v>
      </c>
      <c r="Q241" s="108">
        <v>0</v>
      </c>
      <c r="R241" s="108">
        <v>0</v>
      </c>
      <c r="S241">
        <v>38057</v>
      </c>
      <c r="T241">
        <v>664</v>
      </c>
      <c r="U241">
        <v>2</v>
      </c>
      <c r="V241" s="108">
        <v>180</v>
      </c>
      <c r="W241" s="108">
        <v>19167</v>
      </c>
      <c r="X241" s="108">
        <v>437</v>
      </c>
      <c r="Y241" s="108">
        <v>0</v>
      </c>
      <c r="Z241" s="108">
        <v>0</v>
      </c>
      <c r="AA241" s="108">
        <v>0</v>
      </c>
      <c r="AB241" s="108">
        <v>0</v>
      </c>
      <c r="AC241" s="108">
        <v>0</v>
      </c>
      <c r="AD241" s="108">
        <v>0</v>
      </c>
    </row>
    <row r="242" spans="1:30" ht="15" x14ac:dyDescent="0.25">
      <c r="A242">
        <v>747</v>
      </c>
      <c r="B242" s="109" t="s">
        <v>368</v>
      </c>
      <c r="C242" s="108">
        <v>1824</v>
      </c>
      <c r="D242" s="108">
        <v>0</v>
      </c>
      <c r="E242" s="108">
        <v>0</v>
      </c>
      <c r="F242" s="108">
        <v>539</v>
      </c>
      <c r="G242" s="108">
        <v>25</v>
      </c>
      <c r="H242" s="108">
        <v>59</v>
      </c>
      <c r="I242" s="108">
        <v>6</v>
      </c>
      <c r="J242">
        <v>0</v>
      </c>
      <c r="K242">
        <v>0</v>
      </c>
      <c r="L242">
        <v>0</v>
      </c>
      <c r="M242" s="108">
        <v>0</v>
      </c>
      <c r="N242" s="108">
        <v>0</v>
      </c>
      <c r="O242" s="108">
        <v>0</v>
      </c>
      <c r="P242" s="108">
        <v>0</v>
      </c>
      <c r="Q242" s="108">
        <v>0</v>
      </c>
      <c r="R242" s="108">
        <v>0</v>
      </c>
      <c r="S242">
        <v>11582</v>
      </c>
      <c r="T242">
        <v>574</v>
      </c>
      <c r="U242">
        <v>539</v>
      </c>
      <c r="V242" s="108">
        <v>74</v>
      </c>
      <c r="W242" s="108">
        <v>6588</v>
      </c>
      <c r="X242" s="108">
        <v>204</v>
      </c>
      <c r="Y242" s="108">
        <v>0</v>
      </c>
      <c r="Z242" s="108">
        <v>0</v>
      </c>
      <c r="AA242" s="108">
        <v>0</v>
      </c>
      <c r="AB242" s="108">
        <v>0</v>
      </c>
      <c r="AC242" s="108">
        <v>0</v>
      </c>
      <c r="AD242" s="108">
        <v>20</v>
      </c>
    </row>
    <row r="243" spans="1:30" ht="15" x14ac:dyDescent="0.25">
      <c r="A243">
        <v>748</v>
      </c>
      <c r="B243" s="109" t="s">
        <v>369</v>
      </c>
      <c r="C243" s="108">
        <v>6892</v>
      </c>
      <c r="D243" s="108">
        <v>0</v>
      </c>
      <c r="E243" s="108">
        <v>0</v>
      </c>
      <c r="F243" s="108">
        <v>100</v>
      </c>
      <c r="G243" s="108">
        <v>116</v>
      </c>
      <c r="H243" s="108">
        <v>171</v>
      </c>
      <c r="I243" s="108">
        <v>0</v>
      </c>
      <c r="J243">
        <v>0</v>
      </c>
      <c r="K243">
        <v>0</v>
      </c>
      <c r="L243">
        <v>0</v>
      </c>
      <c r="M243" s="108">
        <v>0</v>
      </c>
      <c r="N243" s="108">
        <v>0</v>
      </c>
      <c r="O243" s="108">
        <v>0</v>
      </c>
      <c r="P243" s="108">
        <v>0</v>
      </c>
      <c r="Q243" s="108">
        <v>49</v>
      </c>
      <c r="R243" s="108">
        <v>0</v>
      </c>
      <c r="S243">
        <v>39322</v>
      </c>
      <c r="T243">
        <v>1037</v>
      </c>
      <c r="U243">
        <v>100</v>
      </c>
      <c r="V243" s="108">
        <v>477</v>
      </c>
      <c r="W243" s="108">
        <v>18556</v>
      </c>
      <c r="X243" s="108">
        <v>443</v>
      </c>
      <c r="Y243" s="108">
        <v>0</v>
      </c>
      <c r="Z243" s="108">
        <v>0</v>
      </c>
      <c r="AA243" s="108">
        <v>0</v>
      </c>
      <c r="AB243" s="108">
        <v>0</v>
      </c>
      <c r="AC243" s="108">
        <v>0</v>
      </c>
      <c r="AD243" s="108">
        <v>0</v>
      </c>
    </row>
    <row r="244" spans="1:30" ht="15" x14ac:dyDescent="0.25">
      <c r="A244">
        <v>749</v>
      </c>
      <c r="B244" s="109" t="s">
        <v>370</v>
      </c>
      <c r="C244" s="108">
        <v>37310</v>
      </c>
      <c r="D244" s="108">
        <v>0</v>
      </c>
      <c r="E244" s="108">
        <v>175</v>
      </c>
      <c r="F244" s="108">
        <v>2511</v>
      </c>
      <c r="G244" s="108">
        <v>700</v>
      </c>
      <c r="H244" s="108">
        <v>8341</v>
      </c>
      <c r="I244" s="108">
        <v>0</v>
      </c>
      <c r="J244">
        <v>0</v>
      </c>
      <c r="K244">
        <v>0</v>
      </c>
      <c r="L244">
        <v>0</v>
      </c>
      <c r="M244" s="108">
        <v>0</v>
      </c>
      <c r="N244" s="108">
        <v>0</v>
      </c>
      <c r="O244" s="108">
        <v>0</v>
      </c>
      <c r="P244" s="108">
        <v>0</v>
      </c>
      <c r="Q244" s="108">
        <v>72</v>
      </c>
      <c r="R244" s="108">
        <v>0</v>
      </c>
      <c r="S244">
        <v>143272</v>
      </c>
      <c r="T244">
        <v>5894</v>
      </c>
      <c r="U244">
        <v>2511</v>
      </c>
      <c r="V244" s="108">
        <v>2126</v>
      </c>
      <c r="W244" s="108">
        <v>69386</v>
      </c>
      <c r="X244" s="108">
        <v>1535</v>
      </c>
      <c r="Y244" s="108">
        <v>0</v>
      </c>
      <c r="Z244" s="108">
        <v>306</v>
      </c>
      <c r="AA244" s="108">
        <v>0</v>
      </c>
      <c r="AB244" s="108">
        <v>15</v>
      </c>
      <c r="AC244" s="108">
        <v>2250</v>
      </c>
      <c r="AD244" s="108">
        <v>0</v>
      </c>
    </row>
    <row r="245" spans="1:30" ht="15" x14ac:dyDescent="0.25">
      <c r="A245">
        <v>751</v>
      </c>
      <c r="B245" s="109" t="s">
        <v>371</v>
      </c>
      <c r="C245" s="108">
        <v>4099</v>
      </c>
      <c r="D245" s="108">
        <v>0</v>
      </c>
      <c r="E245" s="108">
        <v>0</v>
      </c>
      <c r="F245" s="108">
        <v>0</v>
      </c>
      <c r="G245" s="108">
        <v>0</v>
      </c>
      <c r="H245" s="108">
        <v>32</v>
      </c>
      <c r="I245" s="108">
        <v>84</v>
      </c>
      <c r="J245">
        <v>0</v>
      </c>
      <c r="K245">
        <v>0</v>
      </c>
      <c r="L245">
        <v>0</v>
      </c>
      <c r="M245" s="108">
        <v>0</v>
      </c>
      <c r="N245" s="108">
        <v>0</v>
      </c>
      <c r="O245" s="108">
        <v>0</v>
      </c>
      <c r="P245" s="108">
        <v>0</v>
      </c>
      <c r="Q245" s="108">
        <v>0</v>
      </c>
      <c r="R245" s="108">
        <v>0</v>
      </c>
      <c r="S245">
        <v>24057</v>
      </c>
      <c r="T245">
        <v>817</v>
      </c>
      <c r="U245">
        <v>0</v>
      </c>
      <c r="V245" s="108">
        <v>110</v>
      </c>
      <c r="W245" s="108">
        <v>12564</v>
      </c>
      <c r="X245" s="108">
        <v>376</v>
      </c>
      <c r="Y245" s="108">
        <v>0</v>
      </c>
      <c r="Z245" s="108">
        <v>0</v>
      </c>
      <c r="AA245" s="108">
        <v>14</v>
      </c>
      <c r="AB245" s="108">
        <v>0</v>
      </c>
      <c r="AC245" s="108">
        <v>0</v>
      </c>
      <c r="AD245" s="108">
        <v>0</v>
      </c>
    </row>
    <row r="246" spans="1:30" ht="15" x14ac:dyDescent="0.25">
      <c r="A246">
        <v>753</v>
      </c>
      <c r="B246" s="109" t="s">
        <v>372</v>
      </c>
      <c r="C246" s="108">
        <v>50146</v>
      </c>
      <c r="D246" s="108">
        <v>0</v>
      </c>
      <c r="E246" s="108">
        <v>0</v>
      </c>
      <c r="F246" s="108">
        <v>0</v>
      </c>
      <c r="G246" s="108">
        <v>2</v>
      </c>
      <c r="H246" s="108">
        <v>5316</v>
      </c>
      <c r="I246" s="108">
        <v>0</v>
      </c>
      <c r="J246">
        <v>0</v>
      </c>
      <c r="K246">
        <v>0</v>
      </c>
      <c r="L246">
        <v>0</v>
      </c>
      <c r="M246" s="108">
        <v>0</v>
      </c>
      <c r="N246" s="108">
        <v>0</v>
      </c>
      <c r="O246" s="108">
        <v>0</v>
      </c>
      <c r="P246" s="108">
        <v>0</v>
      </c>
      <c r="Q246" s="108">
        <v>0</v>
      </c>
      <c r="R246" s="108">
        <v>0</v>
      </c>
      <c r="S246">
        <v>136253</v>
      </c>
      <c r="T246">
        <v>8312</v>
      </c>
      <c r="U246">
        <v>0</v>
      </c>
      <c r="V246" s="108">
        <v>159</v>
      </c>
      <c r="W246" s="108">
        <v>55777</v>
      </c>
      <c r="X246" s="108">
        <v>2291</v>
      </c>
      <c r="Y246" s="108">
        <v>0</v>
      </c>
      <c r="Z246" s="108">
        <v>32</v>
      </c>
      <c r="AA246" s="108">
        <v>0</v>
      </c>
      <c r="AB246" s="108">
        <v>0</v>
      </c>
      <c r="AC246" s="108">
        <v>0</v>
      </c>
      <c r="AD246" s="108">
        <v>0</v>
      </c>
    </row>
    <row r="247" spans="1:30" ht="15" x14ac:dyDescent="0.25">
      <c r="A247">
        <v>755</v>
      </c>
      <c r="B247" s="109" t="s">
        <v>373</v>
      </c>
      <c r="C247" s="108">
        <v>9095</v>
      </c>
      <c r="D247" s="108">
        <v>0</v>
      </c>
      <c r="E247" s="108">
        <v>0</v>
      </c>
      <c r="F247" s="108">
        <v>0</v>
      </c>
      <c r="G247" s="108">
        <v>0</v>
      </c>
      <c r="H247" s="108">
        <v>1454</v>
      </c>
      <c r="I247" s="108">
        <v>0</v>
      </c>
      <c r="J247">
        <v>0</v>
      </c>
      <c r="K247">
        <v>0</v>
      </c>
      <c r="L247">
        <v>0</v>
      </c>
      <c r="M247" s="108">
        <v>0</v>
      </c>
      <c r="N247" s="108">
        <v>0</v>
      </c>
      <c r="O247" s="108">
        <v>0</v>
      </c>
      <c r="P247" s="108">
        <v>0</v>
      </c>
      <c r="Q247" s="108">
        <v>0</v>
      </c>
      <c r="R247" s="108">
        <v>0</v>
      </c>
      <c r="S247">
        <v>40155</v>
      </c>
      <c r="T247">
        <v>1921</v>
      </c>
      <c r="U247">
        <v>0</v>
      </c>
      <c r="V247" s="108">
        <v>154</v>
      </c>
      <c r="W247" s="108">
        <v>18053</v>
      </c>
      <c r="X247" s="108">
        <v>396</v>
      </c>
      <c r="Y247" s="108">
        <v>0</v>
      </c>
      <c r="Z247" s="108">
        <v>26</v>
      </c>
      <c r="AA247" s="108">
        <v>1</v>
      </c>
      <c r="AB247" s="108">
        <v>0</v>
      </c>
      <c r="AC247" s="108">
        <v>0</v>
      </c>
      <c r="AD247" s="108">
        <v>0</v>
      </c>
    </row>
    <row r="248" spans="1:30" ht="15" x14ac:dyDescent="0.25">
      <c r="A248">
        <v>758</v>
      </c>
      <c r="B248" s="109" t="s">
        <v>374</v>
      </c>
      <c r="C248" s="108">
        <v>15304</v>
      </c>
      <c r="D248" s="108">
        <v>0</v>
      </c>
      <c r="E248" s="108">
        <v>0</v>
      </c>
      <c r="F248" s="108">
        <v>1542</v>
      </c>
      <c r="G248" s="108">
        <v>256</v>
      </c>
      <c r="H248" s="108">
        <v>5121</v>
      </c>
      <c r="I248" s="108">
        <v>0</v>
      </c>
      <c r="J248">
        <v>0</v>
      </c>
      <c r="K248">
        <v>0</v>
      </c>
      <c r="L248">
        <v>0</v>
      </c>
      <c r="M248" s="108">
        <v>0</v>
      </c>
      <c r="N248" s="108">
        <v>0</v>
      </c>
      <c r="O248" s="108">
        <v>0</v>
      </c>
      <c r="P248" s="108">
        <v>0</v>
      </c>
      <c r="Q248" s="108">
        <v>0</v>
      </c>
      <c r="R248" s="108">
        <v>0</v>
      </c>
      <c r="S248">
        <v>73273</v>
      </c>
      <c r="T248">
        <v>3660</v>
      </c>
      <c r="U248">
        <v>1465</v>
      </c>
      <c r="V248" s="108">
        <v>1138</v>
      </c>
      <c r="W248" s="108">
        <v>39263</v>
      </c>
      <c r="X248" s="108">
        <v>727</v>
      </c>
      <c r="Y248" s="108">
        <v>0</v>
      </c>
      <c r="Z248" s="108">
        <v>151</v>
      </c>
      <c r="AA248" s="108">
        <v>102</v>
      </c>
      <c r="AB248" s="108">
        <v>24</v>
      </c>
      <c r="AC248" s="108">
        <v>815</v>
      </c>
      <c r="AD248" s="108">
        <v>15</v>
      </c>
    </row>
    <row r="249" spans="1:30" ht="15" x14ac:dyDescent="0.25">
      <c r="A249">
        <v>759</v>
      </c>
      <c r="B249" s="109" t="s">
        <v>375</v>
      </c>
      <c r="C249" s="108">
        <v>15643</v>
      </c>
      <c r="D249" s="108">
        <v>0</v>
      </c>
      <c r="E249" s="108">
        <v>0</v>
      </c>
      <c r="F249" s="108">
        <v>0</v>
      </c>
      <c r="G249" s="108">
        <v>0</v>
      </c>
      <c r="H249" s="108">
        <v>11</v>
      </c>
      <c r="I249" s="108">
        <v>0</v>
      </c>
      <c r="J249">
        <v>0</v>
      </c>
      <c r="K249">
        <v>0</v>
      </c>
      <c r="L249">
        <v>0</v>
      </c>
      <c r="M249" s="108">
        <v>0</v>
      </c>
      <c r="N249" s="108">
        <v>0</v>
      </c>
      <c r="O249" s="108">
        <v>0</v>
      </c>
      <c r="P249" s="108">
        <v>0</v>
      </c>
      <c r="Q249" s="108">
        <v>0</v>
      </c>
      <c r="R249" s="108">
        <v>0</v>
      </c>
      <c r="S249">
        <v>28868</v>
      </c>
      <c r="T249">
        <v>507</v>
      </c>
      <c r="U249">
        <v>0</v>
      </c>
      <c r="V249" s="108">
        <v>75</v>
      </c>
      <c r="W249" s="108">
        <v>8947</v>
      </c>
      <c r="X249" s="108">
        <v>191</v>
      </c>
      <c r="Y249" s="108">
        <v>0</v>
      </c>
      <c r="Z249" s="108">
        <v>0</v>
      </c>
      <c r="AA249" s="108">
        <v>0</v>
      </c>
      <c r="AB249" s="108">
        <v>0</v>
      </c>
      <c r="AC249" s="108">
        <v>0</v>
      </c>
      <c r="AD249" s="108">
        <v>0</v>
      </c>
    </row>
    <row r="250" spans="1:30" ht="15" x14ac:dyDescent="0.25">
      <c r="A250">
        <v>761</v>
      </c>
      <c r="B250" s="109" t="s">
        <v>376</v>
      </c>
      <c r="C250" s="108">
        <v>17452</v>
      </c>
      <c r="D250" s="108">
        <v>0</v>
      </c>
      <c r="E250" s="108">
        <v>0</v>
      </c>
      <c r="F250" s="108">
        <v>0</v>
      </c>
      <c r="G250" s="108">
        <v>242</v>
      </c>
      <c r="H250" s="108">
        <v>5243</v>
      </c>
      <c r="I250" s="108">
        <v>20</v>
      </c>
      <c r="J250">
        <v>0</v>
      </c>
      <c r="K250">
        <v>0</v>
      </c>
      <c r="L250">
        <v>0</v>
      </c>
      <c r="M250" s="108">
        <v>0</v>
      </c>
      <c r="N250" s="108">
        <v>0</v>
      </c>
      <c r="O250" s="108">
        <v>0</v>
      </c>
      <c r="P250" s="108">
        <v>0</v>
      </c>
      <c r="Q250" s="108">
        <v>0</v>
      </c>
      <c r="R250" s="108">
        <v>0</v>
      </c>
      <c r="S250">
        <v>65923</v>
      </c>
      <c r="T250">
        <v>2442</v>
      </c>
      <c r="U250">
        <v>0</v>
      </c>
      <c r="V250" s="108">
        <v>503</v>
      </c>
      <c r="W250" s="108">
        <v>37144</v>
      </c>
      <c r="X250" s="108">
        <v>656</v>
      </c>
      <c r="Y250" s="108">
        <v>1</v>
      </c>
      <c r="Z250" s="108">
        <v>95</v>
      </c>
      <c r="AA250" s="108">
        <v>0</v>
      </c>
      <c r="AB250" s="108">
        <v>0</v>
      </c>
      <c r="AC250" s="108">
        <v>0</v>
      </c>
      <c r="AD250" s="108">
        <v>0</v>
      </c>
    </row>
    <row r="251" spans="1:30" ht="15" x14ac:dyDescent="0.25">
      <c r="A251">
        <v>762</v>
      </c>
      <c r="B251" s="109" t="s">
        <v>377</v>
      </c>
      <c r="C251" s="108">
        <v>5518</v>
      </c>
      <c r="D251" s="108">
        <v>0</v>
      </c>
      <c r="E251" s="108">
        <v>29</v>
      </c>
      <c r="F251" s="108">
        <v>243</v>
      </c>
      <c r="G251" s="108">
        <v>161</v>
      </c>
      <c r="H251" s="108">
        <v>296</v>
      </c>
      <c r="I251" s="108">
        <v>0</v>
      </c>
      <c r="J251">
        <v>0</v>
      </c>
      <c r="K251">
        <v>0</v>
      </c>
      <c r="L251">
        <v>0</v>
      </c>
      <c r="M251" s="108">
        <v>13</v>
      </c>
      <c r="N251" s="108">
        <v>13</v>
      </c>
      <c r="O251" s="108">
        <v>0</v>
      </c>
      <c r="P251" s="108">
        <v>0</v>
      </c>
      <c r="Q251" s="108">
        <v>0</v>
      </c>
      <c r="R251" s="108">
        <v>0</v>
      </c>
      <c r="S251">
        <v>31794</v>
      </c>
      <c r="T251">
        <v>1804</v>
      </c>
      <c r="U251">
        <v>243</v>
      </c>
      <c r="V251" s="108">
        <v>793</v>
      </c>
      <c r="W251" s="108">
        <v>18433</v>
      </c>
      <c r="X251" s="108">
        <v>372</v>
      </c>
      <c r="Y251" s="108">
        <v>0</v>
      </c>
      <c r="Z251" s="108">
        <v>0</v>
      </c>
      <c r="AA251" s="108">
        <v>0</v>
      </c>
      <c r="AB251" s="108">
        <v>10</v>
      </c>
      <c r="AC251" s="108">
        <v>10</v>
      </c>
      <c r="AD251" s="108">
        <v>0</v>
      </c>
    </row>
    <row r="252" spans="1:30" ht="15" x14ac:dyDescent="0.25">
      <c r="A252">
        <v>765</v>
      </c>
      <c r="B252" s="109" t="s">
        <v>378</v>
      </c>
      <c r="C252" s="108">
        <v>15238</v>
      </c>
      <c r="D252" s="108">
        <v>0</v>
      </c>
      <c r="E252" s="108">
        <v>0</v>
      </c>
      <c r="F252" s="108">
        <v>433</v>
      </c>
      <c r="G252" s="108">
        <v>0</v>
      </c>
      <c r="H252" s="108">
        <v>19</v>
      </c>
      <c r="I252" s="108">
        <v>0</v>
      </c>
      <c r="J252">
        <v>0</v>
      </c>
      <c r="K252">
        <v>0</v>
      </c>
      <c r="L252">
        <v>0</v>
      </c>
      <c r="M252" s="108">
        <v>0</v>
      </c>
      <c r="N252" s="108">
        <v>0</v>
      </c>
      <c r="O252" s="108">
        <v>0</v>
      </c>
      <c r="P252" s="108">
        <v>0</v>
      </c>
      <c r="Q252" s="108">
        <v>0</v>
      </c>
      <c r="R252" s="108">
        <v>0</v>
      </c>
      <c r="S252">
        <v>80647</v>
      </c>
      <c r="T252">
        <v>2583</v>
      </c>
      <c r="U252">
        <v>433</v>
      </c>
      <c r="V252" s="108">
        <v>130</v>
      </c>
      <c r="W252" s="108">
        <v>37348</v>
      </c>
      <c r="X252" s="108">
        <v>931</v>
      </c>
      <c r="Y252" s="108">
        <v>0</v>
      </c>
      <c r="Z252" s="108">
        <v>0</v>
      </c>
      <c r="AA252" s="108">
        <v>0</v>
      </c>
      <c r="AB252" s="108">
        <v>0</v>
      </c>
      <c r="AC252" s="108">
        <v>0</v>
      </c>
      <c r="AD252" s="108">
        <v>12</v>
      </c>
    </row>
    <row r="253" spans="1:30" ht="15" x14ac:dyDescent="0.25">
      <c r="A253">
        <v>768</v>
      </c>
      <c r="B253" s="109" t="s">
        <v>379</v>
      </c>
      <c r="C253" s="108">
        <v>3026</v>
      </c>
      <c r="D253" s="108">
        <v>0</v>
      </c>
      <c r="E253" s="108">
        <v>0</v>
      </c>
      <c r="F253" s="108">
        <v>0</v>
      </c>
      <c r="G253" s="108">
        <v>4</v>
      </c>
      <c r="H253" s="108">
        <v>948</v>
      </c>
      <c r="I253" s="108">
        <v>41</v>
      </c>
      <c r="J253">
        <v>0</v>
      </c>
      <c r="K253">
        <v>0</v>
      </c>
      <c r="L253">
        <v>0</v>
      </c>
      <c r="M253" s="108">
        <v>0</v>
      </c>
      <c r="N253" s="108">
        <v>0</v>
      </c>
      <c r="O253" s="108">
        <v>0</v>
      </c>
      <c r="P253" s="108">
        <v>0</v>
      </c>
      <c r="Q253" s="108">
        <v>0</v>
      </c>
      <c r="R253" s="108">
        <v>0</v>
      </c>
      <c r="S253">
        <v>21917</v>
      </c>
      <c r="T253">
        <v>416</v>
      </c>
      <c r="U253">
        <v>0</v>
      </c>
      <c r="V253" s="108">
        <v>151</v>
      </c>
      <c r="W253" s="108">
        <v>14104</v>
      </c>
      <c r="X253" s="108">
        <v>279</v>
      </c>
      <c r="Y253" s="108">
        <v>0</v>
      </c>
      <c r="Z253" s="108">
        <v>78</v>
      </c>
      <c r="AA253" s="108">
        <v>1</v>
      </c>
      <c r="AB253" s="108">
        <v>0</v>
      </c>
      <c r="AC253" s="108">
        <v>0</v>
      </c>
      <c r="AD253" s="108">
        <v>0</v>
      </c>
    </row>
    <row r="254" spans="1:30" ht="15" x14ac:dyDescent="0.25">
      <c r="A254">
        <v>777</v>
      </c>
      <c r="B254" s="109" t="s">
        <v>380</v>
      </c>
      <c r="C254" s="108">
        <v>13101</v>
      </c>
      <c r="D254" s="108">
        <v>0</v>
      </c>
      <c r="E254" s="108">
        <v>0</v>
      </c>
      <c r="F254" s="108">
        <v>0</v>
      </c>
      <c r="G254" s="108">
        <v>0</v>
      </c>
      <c r="H254" s="108">
        <v>267</v>
      </c>
      <c r="I254" s="108">
        <v>0</v>
      </c>
      <c r="J254">
        <v>0</v>
      </c>
      <c r="K254">
        <v>0</v>
      </c>
      <c r="L254">
        <v>0</v>
      </c>
      <c r="M254" s="108">
        <v>0</v>
      </c>
      <c r="N254" s="108">
        <v>0</v>
      </c>
      <c r="O254" s="108">
        <v>0</v>
      </c>
      <c r="P254" s="108">
        <v>0</v>
      </c>
      <c r="Q254" s="108">
        <v>0</v>
      </c>
      <c r="R254" s="108">
        <v>0</v>
      </c>
      <c r="S254">
        <v>70815</v>
      </c>
      <c r="T254">
        <v>3220</v>
      </c>
      <c r="U254">
        <v>0</v>
      </c>
      <c r="V254" s="108">
        <v>133</v>
      </c>
      <c r="W254" s="108">
        <v>39698</v>
      </c>
      <c r="X254" s="108">
        <v>733</v>
      </c>
      <c r="Y254" s="108">
        <v>0</v>
      </c>
      <c r="Z254" s="108">
        <v>0</v>
      </c>
      <c r="AA254" s="108">
        <v>0</v>
      </c>
      <c r="AB254" s="108">
        <v>0</v>
      </c>
      <c r="AC254" s="108">
        <v>0</v>
      </c>
      <c r="AD254" s="108">
        <v>0</v>
      </c>
    </row>
    <row r="255" spans="1:30" ht="15" x14ac:dyDescent="0.25">
      <c r="A255">
        <v>778</v>
      </c>
      <c r="B255" s="109" t="s">
        <v>381</v>
      </c>
      <c r="C255" s="108">
        <v>10457</v>
      </c>
      <c r="D255" s="108">
        <v>0</v>
      </c>
      <c r="E255" s="108">
        <v>67</v>
      </c>
      <c r="F255" s="108">
        <v>657</v>
      </c>
      <c r="G255" s="108">
        <v>31</v>
      </c>
      <c r="H255" s="108">
        <v>2952</v>
      </c>
      <c r="I255" s="108">
        <v>0</v>
      </c>
      <c r="J255">
        <v>0</v>
      </c>
      <c r="K255">
        <v>0</v>
      </c>
      <c r="L255">
        <v>0</v>
      </c>
      <c r="M255" s="108">
        <v>0</v>
      </c>
      <c r="N255" s="108">
        <v>0</v>
      </c>
      <c r="O255" s="108">
        <v>0</v>
      </c>
      <c r="P255" s="108">
        <v>0</v>
      </c>
      <c r="Q255" s="108">
        <v>26</v>
      </c>
      <c r="R255" s="108">
        <v>0</v>
      </c>
      <c r="S255">
        <v>54115</v>
      </c>
      <c r="T255">
        <v>3060</v>
      </c>
      <c r="U255">
        <v>657</v>
      </c>
      <c r="V255" s="108">
        <v>74</v>
      </c>
      <c r="W255" s="108">
        <v>33299</v>
      </c>
      <c r="X255" s="108">
        <v>581</v>
      </c>
      <c r="Y255" s="108">
        <v>0</v>
      </c>
      <c r="Z255" s="108">
        <v>158</v>
      </c>
      <c r="AA255" s="108">
        <v>0</v>
      </c>
      <c r="AB255" s="108">
        <v>1</v>
      </c>
      <c r="AC255" s="108">
        <v>316</v>
      </c>
      <c r="AD255" s="108">
        <v>0</v>
      </c>
    </row>
    <row r="256" spans="1:30" ht="15" x14ac:dyDescent="0.25">
      <c r="A256">
        <v>781</v>
      </c>
      <c r="B256" s="109" t="s">
        <v>382</v>
      </c>
      <c r="C256" s="108">
        <v>11426</v>
      </c>
      <c r="D256" s="108">
        <v>0</v>
      </c>
      <c r="E256" s="108">
        <v>3</v>
      </c>
      <c r="F256" s="108">
        <v>281</v>
      </c>
      <c r="G256" s="108">
        <v>0</v>
      </c>
      <c r="H256" s="108">
        <v>0</v>
      </c>
      <c r="I256" s="108">
        <v>0</v>
      </c>
      <c r="J256">
        <v>0</v>
      </c>
      <c r="K256">
        <v>0</v>
      </c>
      <c r="L256">
        <v>0</v>
      </c>
      <c r="M256" s="108">
        <v>0</v>
      </c>
      <c r="N256" s="108">
        <v>0</v>
      </c>
      <c r="O256" s="108">
        <v>0</v>
      </c>
      <c r="P256" s="108">
        <v>0</v>
      </c>
      <c r="Q256" s="108">
        <v>0</v>
      </c>
      <c r="R256" s="108">
        <v>0</v>
      </c>
      <c r="S256">
        <v>35229</v>
      </c>
      <c r="T256">
        <v>929</v>
      </c>
      <c r="U256">
        <v>275</v>
      </c>
      <c r="V256" s="108">
        <v>496</v>
      </c>
      <c r="W256" s="108">
        <v>16010</v>
      </c>
      <c r="X256" s="108">
        <v>282</v>
      </c>
      <c r="Y256" s="108">
        <v>0</v>
      </c>
      <c r="Z256" s="108">
        <v>0</v>
      </c>
      <c r="AA256" s="108">
        <v>0</v>
      </c>
      <c r="AB256" s="108">
        <v>2</v>
      </c>
      <c r="AC256" s="108">
        <v>89</v>
      </c>
      <c r="AD256" s="108">
        <v>0</v>
      </c>
    </row>
    <row r="257" spans="1:30" ht="15" x14ac:dyDescent="0.25">
      <c r="A257">
        <v>783</v>
      </c>
      <c r="B257" s="109" t="s">
        <v>383</v>
      </c>
      <c r="C257" s="108">
        <v>5965</v>
      </c>
      <c r="D257" s="108">
        <v>0</v>
      </c>
      <c r="E257" s="108">
        <v>0</v>
      </c>
      <c r="F257" s="108">
        <v>2267</v>
      </c>
      <c r="G257" s="108">
        <v>51</v>
      </c>
      <c r="H257" s="108">
        <v>1654</v>
      </c>
      <c r="I257" s="108">
        <v>0</v>
      </c>
      <c r="J257">
        <v>0</v>
      </c>
      <c r="K257">
        <v>0</v>
      </c>
      <c r="L257">
        <v>0</v>
      </c>
      <c r="M257" s="108">
        <v>0</v>
      </c>
      <c r="N257" s="108">
        <v>0</v>
      </c>
      <c r="O257" s="108">
        <v>0</v>
      </c>
      <c r="P257" s="108">
        <v>27</v>
      </c>
      <c r="Q257" s="108">
        <v>182</v>
      </c>
      <c r="R257" s="108">
        <v>0</v>
      </c>
      <c r="S257">
        <v>30209</v>
      </c>
      <c r="T257">
        <v>1514</v>
      </c>
      <c r="U257">
        <v>2267</v>
      </c>
      <c r="V257" s="108">
        <v>239</v>
      </c>
      <c r="W257" s="108">
        <v>17508</v>
      </c>
      <c r="X257" s="108">
        <v>468</v>
      </c>
      <c r="Y257" s="108">
        <v>0</v>
      </c>
      <c r="Z257" s="108">
        <v>15</v>
      </c>
      <c r="AA257" s="108">
        <v>0</v>
      </c>
      <c r="AB257" s="108">
        <v>20</v>
      </c>
      <c r="AC257" s="108">
        <v>451</v>
      </c>
      <c r="AD257" s="108">
        <v>19</v>
      </c>
    </row>
    <row r="258" spans="1:30" ht="15" x14ac:dyDescent="0.25">
      <c r="A258">
        <v>785</v>
      </c>
      <c r="B258" s="109" t="s">
        <v>407</v>
      </c>
      <c r="C258" s="108">
        <v>5122</v>
      </c>
      <c r="D258" s="108">
        <v>0</v>
      </c>
      <c r="E258" s="108">
        <v>45</v>
      </c>
      <c r="F258" s="108">
        <v>690</v>
      </c>
      <c r="G258" s="108">
        <v>65</v>
      </c>
      <c r="H258" s="108">
        <v>158</v>
      </c>
      <c r="I258" s="108">
        <v>0</v>
      </c>
      <c r="J258">
        <v>0</v>
      </c>
      <c r="K258">
        <v>0</v>
      </c>
      <c r="L258">
        <v>0</v>
      </c>
      <c r="M258" s="108">
        <v>0</v>
      </c>
      <c r="N258" s="108">
        <v>0</v>
      </c>
      <c r="O258" s="108">
        <v>0</v>
      </c>
      <c r="P258" s="108">
        <v>0</v>
      </c>
      <c r="Q258" s="108">
        <v>0</v>
      </c>
      <c r="R258" s="108">
        <v>0</v>
      </c>
      <c r="S258">
        <v>27261</v>
      </c>
      <c r="T258">
        <v>1449</v>
      </c>
      <c r="U258">
        <v>690</v>
      </c>
      <c r="V258" s="108">
        <v>255</v>
      </c>
      <c r="W258" s="108">
        <v>14036</v>
      </c>
      <c r="X258" s="108">
        <v>258</v>
      </c>
      <c r="Y258" s="108">
        <v>0</v>
      </c>
      <c r="Z258" s="108">
        <v>0</v>
      </c>
      <c r="AA258" s="108">
        <v>15</v>
      </c>
      <c r="AB258" s="108">
        <v>0</v>
      </c>
      <c r="AC258" s="108">
        <v>0</v>
      </c>
      <c r="AD258" s="108">
        <v>5</v>
      </c>
    </row>
    <row r="259" spans="1:30" ht="15" x14ac:dyDescent="0.25">
      <c r="A259">
        <v>790</v>
      </c>
      <c r="B259" s="109" t="s">
        <v>134</v>
      </c>
      <c r="C259" s="108">
        <v>57556</v>
      </c>
      <c r="D259" s="108">
        <v>0</v>
      </c>
      <c r="E259" s="108">
        <v>477</v>
      </c>
      <c r="F259" s="108">
        <v>0</v>
      </c>
      <c r="G259" s="108">
        <v>692</v>
      </c>
      <c r="H259" s="108">
        <v>22530</v>
      </c>
      <c r="I259" s="108">
        <v>0</v>
      </c>
      <c r="J259">
        <v>0</v>
      </c>
      <c r="K259">
        <v>0</v>
      </c>
      <c r="L259">
        <v>0</v>
      </c>
      <c r="M259" s="108">
        <v>0</v>
      </c>
      <c r="N259" s="108">
        <v>0</v>
      </c>
      <c r="O259" s="108">
        <v>0</v>
      </c>
      <c r="P259" s="108">
        <v>0</v>
      </c>
      <c r="Q259" s="108">
        <v>0</v>
      </c>
      <c r="R259" s="108">
        <v>0</v>
      </c>
      <c r="S259">
        <v>191792</v>
      </c>
      <c r="T259">
        <v>7231</v>
      </c>
      <c r="U259">
        <v>0</v>
      </c>
      <c r="V259" s="108">
        <v>1247</v>
      </c>
      <c r="W259" s="108">
        <v>112485</v>
      </c>
      <c r="X259" s="108">
        <v>1844</v>
      </c>
      <c r="Y259" s="108">
        <v>0</v>
      </c>
      <c r="Z259" s="108">
        <v>96</v>
      </c>
      <c r="AA259" s="108">
        <v>0</v>
      </c>
      <c r="AB259" s="108">
        <v>0</v>
      </c>
      <c r="AC259" s="108">
        <v>0</v>
      </c>
      <c r="AD259" s="108">
        <v>0</v>
      </c>
    </row>
    <row r="260" spans="1:30" ht="15" x14ac:dyDescent="0.25">
      <c r="A260">
        <v>791</v>
      </c>
      <c r="B260" s="109" t="s">
        <v>135</v>
      </c>
      <c r="C260" s="108">
        <v>11442</v>
      </c>
      <c r="D260" s="108">
        <v>0</v>
      </c>
      <c r="E260" s="108">
        <v>0</v>
      </c>
      <c r="F260" s="108">
        <v>0</v>
      </c>
      <c r="G260" s="108">
        <v>0</v>
      </c>
      <c r="H260" s="108">
        <v>68</v>
      </c>
      <c r="I260" s="108">
        <v>0</v>
      </c>
      <c r="J260">
        <v>0</v>
      </c>
      <c r="K260">
        <v>0</v>
      </c>
      <c r="L260">
        <v>0</v>
      </c>
      <c r="M260" s="108">
        <v>0</v>
      </c>
      <c r="N260" s="108">
        <v>0</v>
      </c>
      <c r="O260" s="108">
        <v>0</v>
      </c>
      <c r="P260" s="108">
        <v>0</v>
      </c>
      <c r="Q260" s="108">
        <v>0</v>
      </c>
      <c r="R260" s="108">
        <v>0</v>
      </c>
      <c r="S260">
        <v>50399</v>
      </c>
      <c r="T260">
        <v>1248</v>
      </c>
      <c r="U260">
        <v>0</v>
      </c>
      <c r="V260" s="108">
        <v>77</v>
      </c>
      <c r="W260" s="108">
        <v>26456</v>
      </c>
      <c r="X260" s="108">
        <v>626</v>
      </c>
      <c r="Y260" s="108">
        <v>0</v>
      </c>
      <c r="Z260" s="108">
        <v>4</v>
      </c>
      <c r="AA260" s="108">
        <v>0</v>
      </c>
      <c r="AB260" s="108">
        <v>0</v>
      </c>
      <c r="AC260" s="108">
        <v>0</v>
      </c>
      <c r="AD260" s="108">
        <v>0</v>
      </c>
    </row>
    <row r="261" spans="1:30" ht="15" x14ac:dyDescent="0.25">
      <c r="A261">
        <v>831</v>
      </c>
      <c r="B261" s="109" t="s">
        <v>384</v>
      </c>
      <c r="C261" s="108">
        <v>4147</v>
      </c>
      <c r="D261" s="108">
        <v>0</v>
      </c>
      <c r="E261" s="108">
        <v>0</v>
      </c>
      <c r="F261" s="108">
        <v>0</v>
      </c>
      <c r="G261" s="108">
        <v>0</v>
      </c>
      <c r="H261" s="108">
        <v>428</v>
      </c>
      <c r="I261" s="108">
        <v>0</v>
      </c>
      <c r="J261">
        <v>0</v>
      </c>
      <c r="K261">
        <v>0</v>
      </c>
      <c r="L261">
        <v>0</v>
      </c>
      <c r="M261" s="108">
        <v>0</v>
      </c>
      <c r="N261" s="108">
        <v>0</v>
      </c>
      <c r="O261" s="108">
        <v>0</v>
      </c>
      <c r="P261" s="108">
        <v>0</v>
      </c>
      <c r="Q261" s="108">
        <v>0</v>
      </c>
      <c r="R261" s="108">
        <v>0</v>
      </c>
      <c r="S261">
        <v>27463</v>
      </c>
      <c r="T261">
        <v>1563</v>
      </c>
      <c r="U261">
        <v>0</v>
      </c>
      <c r="V261" s="108">
        <v>115</v>
      </c>
      <c r="W261" s="108">
        <v>13525</v>
      </c>
      <c r="X261" s="108">
        <v>378</v>
      </c>
      <c r="Y261" s="108">
        <v>0</v>
      </c>
      <c r="Z261" s="108">
        <v>0</v>
      </c>
      <c r="AA261" s="108">
        <v>0</v>
      </c>
      <c r="AB261" s="108">
        <v>0</v>
      </c>
      <c r="AC261" s="108">
        <v>0</v>
      </c>
      <c r="AD261" s="108">
        <v>0</v>
      </c>
    </row>
    <row r="262" spans="1:30" ht="15" x14ac:dyDescent="0.25">
      <c r="A262">
        <v>832</v>
      </c>
      <c r="B262" s="109" t="s">
        <v>385</v>
      </c>
      <c r="C262" s="108">
        <v>8655</v>
      </c>
      <c r="D262" s="108">
        <v>0</v>
      </c>
      <c r="E262" s="108">
        <v>0</v>
      </c>
      <c r="F262" s="108">
        <v>733</v>
      </c>
      <c r="G262" s="108">
        <v>13</v>
      </c>
      <c r="H262" s="108">
        <v>2177</v>
      </c>
      <c r="I262" s="108">
        <v>66</v>
      </c>
      <c r="J262">
        <v>0</v>
      </c>
      <c r="K262">
        <v>0</v>
      </c>
      <c r="L262">
        <v>0</v>
      </c>
      <c r="M262" s="108">
        <v>0</v>
      </c>
      <c r="N262" s="108">
        <v>0</v>
      </c>
      <c r="O262" s="108">
        <v>0</v>
      </c>
      <c r="P262" s="108">
        <v>0</v>
      </c>
      <c r="Q262" s="108">
        <v>0</v>
      </c>
      <c r="R262" s="108">
        <v>0</v>
      </c>
      <c r="S262">
        <v>36171</v>
      </c>
      <c r="T262">
        <v>2005</v>
      </c>
      <c r="U262">
        <v>733</v>
      </c>
      <c r="V262" s="108">
        <v>239</v>
      </c>
      <c r="W262" s="108">
        <v>18591</v>
      </c>
      <c r="X262" s="108">
        <v>316</v>
      </c>
      <c r="Y262" s="108">
        <v>0</v>
      </c>
      <c r="Z262" s="108">
        <v>104</v>
      </c>
      <c r="AA262" s="108">
        <v>0</v>
      </c>
      <c r="AB262" s="108">
        <v>1</v>
      </c>
      <c r="AC262" s="108">
        <v>312</v>
      </c>
      <c r="AD262" s="108">
        <v>10</v>
      </c>
    </row>
    <row r="263" spans="1:30" ht="15" x14ac:dyDescent="0.25">
      <c r="A263">
        <v>833</v>
      </c>
      <c r="B263" s="109" t="s">
        <v>386</v>
      </c>
      <c r="C263" s="108">
        <v>2901</v>
      </c>
      <c r="D263" s="108">
        <v>0</v>
      </c>
      <c r="E263" s="108">
        <v>0</v>
      </c>
      <c r="F263" s="108">
        <v>0</v>
      </c>
      <c r="G263" s="108">
        <v>0</v>
      </c>
      <c r="H263" s="108">
        <v>579</v>
      </c>
      <c r="I263" s="108">
        <v>0</v>
      </c>
      <c r="J263">
        <v>0</v>
      </c>
      <c r="K263">
        <v>0</v>
      </c>
      <c r="L263">
        <v>0</v>
      </c>
      <c r="M263" s="108">
        <v>0</v>
      </c>
      <c r="N263" s="108">
        <v>0</v>
      </c>
      <c r="O263" s="108">
        <v>0</v>
      </c>
      <c r="P263" s="108">
        <v>0</v>
      </c>
      <c r="Q263" s="108">
        <v>0</v>
      </c>
      <c r="R263" s="108">
        <v>0</v>
      </c>
      <c r="S263">
        <v>12088</v>
      </c>
      <c r="T263">
        <v>694</v>
      </c>
      <c r="U263">
        <v>0</v>
      </c>
      <c r="V263" s="108">
        <v>1</v>
      </c>
      <c r="W263" s="108">
        <v>6213</v>
      </c>
      <c r="X263" s="108">
        <v>126</v>
      </c>
      <c r="Y263" s="108">
        <v>0</v>
      </c>
      <c r="Z263" s="108">
        <v>28</v>
      </c>
      <c r="AA263" s="108">
        <v>0</v>
      </c>
      <c r="AB263" s="108">
        <v>0</v>
      </c>
      <c r="AC263" s="108">
        <v>0</v>
      </c>
      <c r="AD263" s="108">
        <v>0</v>
      </c>
    </row>
    <row r="264" spans="1:30" ht="15" x14ac:dyDescent="0.25">
      <c r="A264">
        <v>834</v>
      </c>
      <c r="B264" s="109" t="s">
        <v>387</v>
      </c>
      <c r="C264" s="108">
        <v>6633</v>
      </c>
      <c r="D264" s="108">
        <v>0</v>
      </c>
      <c r="E264" s="108">
        <v>0</v>
      </c>
      <c r="F264" s="108">
        <v>282</v>
      </c>
      <c r="G264" s="108">
        <v>123</v>
      </c>
      <c r="H264" s="108">
        <v>123</v>
      </c>
      <c r="I264" s="108">
        <v>0</v>
      </c>
      <c r="J264">
        <v>0</v>
      </c>
      <c r="K264">
        <v>0</v>
      </c>
      <c r="L264">
        <v>0</v>
      </c>
      <c r="M264" s="108">
        <v>0</v>
      </c>
      <c r="N264" s="108">
        <v>0</v>
      </c>
      <c r="O264" s="108">
        <v>0</v>
      </c>
      <c r="P264" s="108">
        <v>0</v>
      </c>
      <c r="Q264" s="108">
        <v>0</v>
      </c>
      <c r="R264" s="108">
        <v>0</v>
      </c>
      <c r="S264">
        <v>38347</v>
      </c>
      <c r="T264">
        <v>2003</v>
      </c>
      <c r="U264">
        <v>283</v>
      </c>
      <c r="V264" s="108">
        <v>538</v>
      </c>
      <c r="W264" s="108">
        <v>19336</v>
      </c>
      <c r="X264" s="108">
        <v>344</v>
      </c>
      <c r="Y264" s="108">
        <v>0</v>
      </c>
      <c r="Z264" s="108">
        <v>12</v>
      </c>
      <c r="AA264" s="108">
        <v>0</v>
      </c>
      <c r="AB264" s="108">
        <v>0</v>
      </c>
      <c r="AC264" s="108">
        <v>0</v>
      </c>
      <c r="AD264" s="108">
        <v>0</v>
      </c>
    </row>
    <row r="265" spans="1:30" ht="15" x14ac:dyDescent="0.25">
      <c r="A265">
        <v>837</v>
      </c>
      <c r="B265" s="109" t="s">
        <v>388</v>
      </c>
      <c r="C265" s="108">
        <v>760039</v>
      </c>
      <c r="D265" s="108">
        <v>-156</v>
      </c>
      <c r="E265" s="108">
        <v>22457</v>
      </c>
      <c r="F265" s="108">
        <v>0</v>
      </c>
      <c r="G265" s="108">
        <v>1712</v>
      </c>
      <c r="H265" s="108">
        <v>161296</v>
      </c>
      <c r="I265" s="108">
        <v>20476</v>
      </c>
      <c r="J265">
        <v>0</v>
      </c>
      <c r="K265">
        <v>0</v>
      </c>
      <c r="L265">
        <v>0</v>
      </c>
      <c r="M265" s="108">
        <v>0</v>
      </c>
      <c r="N265" s="108">
        <v>0</v>
      </c>
      <c r="O265" s="108">
        <v>0</v>
      </c>
      <c r="P265" s="108">
        <v>0</v>
      </c>
      <c r="Q265" s="108">
        <v>0</v>
      </c>
      <c r="R265" s="108">
        <v>0</v>
      </c>
      <c r="S265">
        <v>1905780</v>
      </c>
      <c r="T265">
        <v>103136</v>
      </c>
      <c r="U265">
        <v>0</v>
      </c>
      <c r="V265" s="108">
        <v>38270</v>
      </c>
      <c r="W265" s="108">
        <v>883128</v>
      </c>
      <c r="X265" s="108">
        <v>35038</v>
      </c>
      <c r="Y265" s="108">
        <v>0</v>
      </c>
      <c r="Z265" s="108">
        <v>4079</v>
      </c>
      <c r="AA265" s="108">
        <v>1565</v>
      </c>
      <c r="AB265" s="108">
        <v>0</v>
      </c>
      <c r="AC265" s="108">
        <v>0</v>
      </c>
      <c r="AD265" s="108">
        <v>0</v>
      </c>
    </row>
    <row r="266" spans="1:30" ht="15" x14ac:dyDescent="0.25">
      <c r="A266">
        <v>844</v>
      </c>
      <c r="B266" s="109" t="s">
        <v>389</v>
      </c>
      <c r="C266" s="108">
        <v>3631</v>
      </c>
      <c r="D266" s="108">
        <v>0</v>
      </c>
      <c r="E266" s="108">
        <v>0</v>
      </c>
      <c r="F266" s="108">
        <v>297</v>
      </c>
      <c r="G266" s="108">
        <v>3</v>
      </c>
      <c r="H266" s="108">
        <v>2043</v>
      </c>
      <c r="I266" s="108">
        <v>15</v>
      </c>
      <c r="J266">
        <v>0</v>
      </c>
      <c r="K266">
        <v>0</v>
      </c>
      <c r="L266">
        <v>0</v>
      </c>
      <c r="M266" s="108">
        <v>0</v>
      </c>
      <c r="N266" s="108">
        <v>0</v>
      </c>
      <c r="O266" s="108">
        <v>0</v>
      </c>
      <c r="P266" s="108">
        <v>0</v>
      </c>
      <c r="Q266" s="108">
        <v>0</v>
      </c>
      <c r="R266" s="108">
        <v>0</v>
      </c>
      <c r="S266">
        <v>14317</v>
      </c>
      <c r="T266">
        <v>403</v>
      </c>
      <c r="U266">
        <v>295</v>
      </c>
      <c r="V266" s="108">
        <v>143</v>
      </c>
      <c r="W266" s="108">
        <v>9531</v>
      </c>
      <c r="X266" s="108">
        <v>150</v>
      </c>
      <c r="Y266" s="108">
        <v>0</v>
      </c>
      <c r="Z266" s="108">
        <v>26</v>
      </c>
      <c r="AA266" s="108">
        <v>3</v>
      </c>
      <c r="AB266" s="108">
        <v>3</v>
      </c>
      <c r="AC266" s="108">
        <v>141</v>
      </c>
      <c r="AD266" s="108">
        <v>0</v>
      </c>
    </row>
    <row r="267" spans="1:30" ht="15" x14ac:dyDescent="0.25">
      <c r="A267">
        <v>845</v>
      </c>
      <c r="B267" s="109" t="s">
        <v>390</v>
      </c>
      <c r="C267" s="108">
        <v>8112</v>
      </c>
      <c r="D267" s="108">
        <v>0</v>
      </c>
      <c r="E267" s="108">
        <v>0</v>
      </c>
      <c r="F267" s="108">
        <v>2586</v>
      </c>
      <c r="G267" s="108">
        <v>15</v>
      </c>
      <c r="H267" s="108">
        <v>1661</v>
      </c>
      <c r="I267" s="108">
        <v>0</v>
      </c>
      <c r="J267">
        <v>0</v>
      </c>
      <c r="K267">
        <v>0</v>
      </c>
      <c r="L267">
        <v>0</v>
      </c>
      <c r="M267" s="108">
        <v>0</v>
      </c>
      <c r="N267" s="108">
        <v>0</v>
      </c>
      <c r="O267" s="108">
        <v>0</v>
      </c>
      <c r="P267" s="108">
        <v>0</v>
      </c>
      <c r="Q267" s="108">
        <v>0</v>
      </c>
      <c r="R267" s="108">
        <v>0</v>
      </c>
      <c r="S267">
        <v>29331</v>
      </c>
      <c r="T267">
        <v>1330</v>
      </c>
      <c r="U267">
        <v>2586</v>
      </c>
      <c r="V267" s="108">
        <v>40</v>
      </c>
      <c r="W267" s="108">
        <v>14373</v>
      </c>
      <c r="X267" s="108">
        <v>303</v>
      </c>
      <c r="Y267" s="108">
        <v>0</v>
      </c>
      <c r="Z267" s="108">
        <v>34</v>
      </c>
      <c r="AA267" s="108">
        <v>0</v>
      </c>
      <c r="AB267" s="108">
        <v>1</v>
      </c>
      <c r="AC267" s="108">
        <v>1111</v>
      </c>
      <c r="AD267" s="108">
        <v>0</v>
      </c>
    </row>
    <row r="268" spans="1:30" ht="15" x14ac:dyDescent="0.25">
      <c r="A268">
        <v>846</v>
      </c>
      <c r="B268" s="109" t="s">
        <v>391</v>
      </c>
      <c r="C268" s="108">
        <v>8233</v>
      </c>
      <c r="D268" s="108">
        <v>0</v>
      </c>
      <c r="E268" s="108">
        <v>0</v>
      </c>
      <c r="F268" s="108">
        <v>680</v>
      </c>
      <c r="G268" s="108">
        <v>0</v>
      </c>
      <c r="H268" s="108">
        <v>151</v>
      </c>
      <c r="I268" s="108">
        <v>0</v>
      </c>
      <c r="J268">
        <v>0</v>
      </c>
      <c r="K268">
        <v>0</v>
      </c>
      <c r="L268">
        <v>0</v>
      </c>
      <c r="M268" s="108">
        <v>0</v>
      </c>
      <c r="N268" s="108">
        <v>0</v>
      </c>
      <c r="O268" s="108">
        <v>0</v>
      </c>
      <c r="P268" s="108">
        <v>0</v>
      </c>
      <c r="Q268" s="108">
        <v>0</v>
      </c>
      <c r="R268" s="108">
        <v>0</v>
      </c>
      <c r="S268">
        <v>41705</v>
      </c>
      <c r="T268">
        <v>1515</v>
      </c>
      <c r="U268">
        <v>680</v>
      </c>
      <c r="V268" s="108">
        <v>78</v>
      </c>
      <c r="W268" s="108">
        <v>22741</v>
      </c>
      <c r="X268" s="108">
        <v>509</v>
      </c>
      <c r="Y268" s="108">
        <v>0</v>
      </c>
      <c r="Z268" s="108">
        <v>0</v>
      </c>
      <c r="AA268" s="108">
        <v>0</v>
      </c>
      <c r="AB268" s="108">
        <v>0</v>
      </c>
      <c r="AC268" s="108">
        <v>0</v>
      </c>
      <c r="AD268" s="108">
        <v>13</v>
      </c>
    </row>
    <row r="269" spans="1:30" ht="15" x14ac:dyDescent="0.25">
      <c r="A269">
        <v>848</v>
      </c>
      <c r="B269" s="109" t="s">
        <v>392</v>
      </c>
      <c r="C269" s="108">
        <v>12305</v>
      </c>
      <c r="D269" s="108">
        <v>0</v>
      </c>
      <c r="E269" s="108">
        <v>0</v>
      </c>
      <c r="F269" s="108">
        <v>0</v>
      </c>
      <c r="G269" s="108">
        <v>50</v>
      </c>
      <c r="H269" s="108">
        <v>2184</v>
      </c>
      <c r="I269" s="108">
        <v>0</v>
      </c>
      <c r="J269">
        <v>0</v>
      </c>
      <c r="K269">
        <v>0</v>
      </c>
      <c r="L269">
        <v>0</v>
      </c>
      <c r="M269" s="108">
        <v>0</v>
      </c>
      <c r="N269" s="108">
        <v>0</v>
      </c>
      <c r="O269" s="108">
        <v>0</v>
      </c>
      <c r="P269" s="108">
        <v>0</v>
      </c>
      <c r="Q269" s="108">
        <v>0</v>
      </c>
      <c r="R269" s="108">
        <v>0</v>
      </c>
      <c r="S269">
        <v>40934</v>
      </c>
      <c r="T269">
        <v>840</v>
      </c>
      <c r="U269">
        <v>0</v>
      </c>
      <c r="V269" s="108">
        <v>430</v>
      </c>
      <c r="W269" s="108">
        <v>20799</v>
      </c>
      <c r="X269" s="108">
        <v>379</v>
      </c>
      <c r="Y269" s="108">
        <v>0</v>
      </c>
      <c r="Z269" s="108">
        <v>3</v>
      </c>
      <c r="AA269" s="108">
        <v>0</v>
      </c>
      <c r="AB269" s="108">
        <v>0</v>
      </c>
      <c r="AC269" s="108">
        <v>0</v>
      </c>
      <c r="AD269" s="108">
        <v>0</v>
      </c>
    </row>
    <row r="270" spans="1:30" ht="15" x14ac:dyDescent="0.25">
      <c r="A270">
        <v>849</v>
      </c>
      <c r="B270" s="109" t="s">
        <v>393</v>
      </c>
      <c r="C270" s="108">
        <v>12699</v>
      </c>
      <c r="D270" s="108">
        <v>0</v>
      </c>
      <c r="E270" s="108">
        <v>0</v>
      </c>
      <c r="F270" s="108">
        <v>0</v>
      </c>
      <c r="G270" s="108">
        <v>0</v>
      </c>
      <c r="H270" s="108">
        <v>0</v>
      </c>
      <c r="I270" s="108">
        <v>2</v>
      </c>
      <c r="J270">
        <v>0</v>
      </c>
      <c r="K270">
        <v>0</v>
      </c>
      <c r="L270">
        <v>0</v>
      </c>
      <c r="M270" s="108">
        <v>0</v>
      </c>
      <c r="N270" s="108">
        <v>0</v>
      </c>
      <c r="O270" s="108">
        <v>0</v>
      </c>
      <c r="P270" s="108">
        <v>0</v>
      </c>
      <c r="Q270" s="108">
        <v>0</v>
      </c>
      <c r="R270" s="108">
        <v>0</v>
      </c>
      <c r="S270">
        <v>30513</v>
      </c>
      <c r="T270">
        <v>1971</v>
      </c>
      <c r="U270">
        <v>0</v>
      </c>
      <c r="V270" s="108">
        <v>54</v>
      </c>
      <c r="W270" s="108">
        <v>11252</v>
      </c>
      <c r="X270" s="108">
        <v>244</v>
      </c>
      <c r="Y270" s="108">
        <v>0</v>
      </c>
      <c r="Z270" s="108">
        <v>27</v>
      </c>
      <c r="AA270" s="108">
        <v>31</v>
      </c>
      <c r="AB270" s="108">
        <v>0</v>
      </c>
      <c r="AC270" s="108">
        <v>0</v>
      </c>
      <c r="AD270" s="108">
        <v>0</v>
      </c>
    </row>
    <row r="271" spans="1:30" ht="15" x14ac:dyDescent="0.25">
      <c r="A271">
        <v>850</v>
      </c>
      <c r="B271" s="109" t="s">
        <v>394</v>
      </c>
      <c r="C271" s="108">
        <v>3863</v>
      </c>
      <c r="D271" s="108">
        <v>0</v>
      </c>
      <c r="E271" s="108">
        <v>0</v>
      </c>
      <c r="F271" s="108">
        <v>0</v>
      </c>
      <c r="G271" s="108">
        <v>0</v>
      </c>
      <c r="H271" s="108">
        <v>618</v>
      </c>
      <c r="I271" s="108">
        <v>0</v>
      </c>
      <c r="J271">
        <v>0</v>
      </c>
      <c r="K271">
        <v>0</v>
      </c>
      <c r="L271">
        <v>0</v>
      </c>
      <c r="M271" s="108">
        <v>0</v>
      </c>
      <c r="N271" s="108">
        <v>0</v>
      </c>
      <c r="O271" s="108">
        <v>0</v>
      </c>
      <c r="P271" s="108">
        <v>0</v>
      </c>
      <c r="Q271" s="108">
        <v>0</v>
      </c>
      <c r="R271" s="108">
        <v>0</v>
      </c>
      <c r="S271">
        <v>17040</v>
      </c>
      <c r="T271">
        <v>495</v>
      </c>
      <c r="U271">
        <v>0</v>
      </c>
      <c r="V271" s="108">
        <v>30</v>
      </c>
      <c r="W271" s="108">
        <v>8118</v>
      </c>
      <c r="X271" s="108">
        <v>197</v>
      </c>
      <c r="Y271" s="108">
        <v>0</v>
      </c>
      <c r="Z271" s="108">
        <v>22</v>
      </c>
      <c r="AA271" s="108">
        <v>0</v>
      </c>
      <c r="AB271" s="108">
        <v>0</v>
      </c>
      <c r="AC271" s="108">
        <v>0</v>
      </c>
      <c r="AD271" s="108">
        <v>0</v>
      </c>
    </row>
    <row r="272" spans="1:30" ht="15" x14ac:dyDescent="0.25">
      <c r="A272">
        <v>851</v>
      </c>
      <c r="B272" s="109" t="s">
        <v>395</v>
      </c>
      <c r="C272" s="108">
        <v>33566</v>
      </c>
      <c r="D272" s="108">
        <v>0</v>
      </c>
      <c r="E272" s="108">
        <v>0</v>
      </c>
      <c r="F272" s="108">
        <v>0</v>
      </c>
      <c r="G272" s="108">
        <v>81</v>
      </c>
      <c r="H272" s="108">
        <v>10797</v>
      </c>
      <c r="I272" s="108">
        <v>0</v>
      </c>
      <c r="J272">
        <v>0</v>
      </c>
      <c r="K272">
        <v>0</v>
      </c>
      <c r="L272">
        <v>0</v>
      </c>
      <c r="M272" s="108">
        <v>0</v>
      </c>
      <c r="N272" s="108">
        <v>0</v>
      </c>
      <c r="O272" s="108">
        <v>0</v>
      </c>
      <c r="P272" s="108">
        <v>0</v>
      </c>
      <c r="Q272" s="108">
        <v>0</v>
      </c>
      <c r="R272" s="108">
        <v>0</v>
      </c>
      <c r="S272">
        <v>147187</v>
      </c>
      <c r="T272">
        <v>5415</v>
      </c>
      <c r="U272">
        <v>0</v>
      </c>
      <c r="V272" s="108">
        <v>2022</v>
      </c>
      <c r="W272" s="108">
        <v>80684</v>
      </c>
      <c r="X272" s="108">
        <v>2192</v>
      </c>
      <c r="Y272" s="108">
        <v>0</v>
      </c>
      <c r="Z272" s="108">
        <v>60</v>
      </c>
      <c r="AA272" s="108">
        <v>0</v>
      </c>
      <c r="AB272" s="108">
        <v>0</v>
      </c>
      <c r="AC272" s="108">
        <v>0</v>
      </c>
      <c r="AD272" s="108">
        <v>0</v>
      </c>
    </row>
    <row r="273" spans="1:30" ht="15" x14ac:dyDescent="0.25">
      <c r="A273">
        <v>853</v>
      </c>
      <c r="B273" s="109" t="s">
        <v>396</v>
      </c>
      <c r="C273" s="108">
        <v>510413</v>
      </c>
      <c r="D273" s="108">
        <v>0</v>
      </c>
      <c r="E273" s="108">
        <v>3856</v>
      </c>
      <c r="F273" s="108">
        <v>2310</v>
      </c>
      <c r="G273" s="108">
        <v>1862</v>
      </c>
      <c r="H273" s="108">
        <v>97730</v>
      </c>
      <c r="I273" s="108">
        <v>29315</v>
      </c>
      <c r="J273">
        <v>0</v>
      </c>
      <c r="K273">
        <v>0</v>
      </c>
      <c r="L273">
        <v>0</v>
      </c>
      <c r="M273" s="108">
        <v>0</v>
      </c>
      <c r="N273" s="108">
        <v>206</v>
      </c>
      <c r="O273" s="108">
        <v>0</v>
      </c>
      <c r="P273" s="108">
        <v>0</v>
      </c>
      <c r="Q273" s="108">
        <v>0</v>
      </c>
      <c r="R273" s="108">
        <v>0</v>
      </c>
      <c r="S273">
        <v>1475757</v>
      </c>
      <c r="T273">
        <v>62705</v>
      </c>
      <c r="U273">
        <v>2310</v>
      </c>
      <c r="V273" s="108">
        <v>31723</v>
      </c>
      <c r="W273" s="108">
        <v>708956</v>
      </c>
      <c r="X273" s="108">
        <v>41071</v>
      </c>
      <c r="Y273" s="108">
        <v>0</v>
      </c>
      <c r="Z273" s="108">
        <v>372</v>
      </c>
      <c r="AA273" s="108">
        <v>1607</v>
      </c>
      <c r="AB273" s="108">
        <v>0</v>
      </c>
      <c r="AC273" s="108">
        <v>0</v>
      </c>
      <c r="AD273" s="108">
        <v>0</v>
      </c>
    </row>
    <row r="274" spans="1:30" ht="15" x14ac:dyDescent="0.25">
      <c r="A274">
        <v>854</v>
      </c>
      <c r="B274" s="109" t="s">
        <v>318</v>
      </c>
      <c r="C274" s="108">
        <v>4372</v>
      </c>
      <c r="D274" s="108">
        <v>0</v>
      </c>
      <c r="E274" s="108">
        <v>0</v>
      </c>
      <c r="F274" s="108">
        <v>2163</v>
      </c>
      <c r="G274" s="108">
        <v>0</v>
      </c>
      <c r="H274" s="108">
        <v>2532</v>
      </c>
      <c r="I274" s="108">
        <v>0</v>
      </c>
      <c r="J274">
        <v>0</v>
      </c>
      <c r="K274">
        <v>0</v>
      </c>
      <c r="L274">
        <v>0</v>
      </c>
      <c r="M274" s="108">
        <v>0</v>
      </c>
      <c r="N274" s="108">
        <v>0</v>
      </c>
      <c r="O274" s="108">
        <v>0</v>
      </c>
      <c r="P274" s="108">
        <v>0</v>
      </c>
      <c r="Q274" s="108">
        <v>344</v>
      </c>
      <c r="R274" s="108">
        <v>0</v>
      </c>
      <c r="S274">
        <v>30030</v>
      </c>
      <c r="T274">
        <v>1142</v>
      </c>
      <c r="U274">
        <v>2163</v>
      </c>
      <c r="V274" s="108">
        <v>135</v>
      </c>
      <c r="W274" s="108">
        <v>20337</v>
      </c>
      <c r="X274" s="108">
        <v>381</v>
      </c>
      <c r="Y274" s="108">
        <v>0</v>
      </c>
      <c r="Z274" s="108">
        <v>327</v>
      </c>
      <c r="AA274" s="108">
        <v>0</v>
      </c>
      <c r="AB274" s="108">
        <v>0</v>
      </c>
      <c r="AC274" s="108">
        <v>1050</v>
      </c>
      <c r="AD274" s="108">
        <v>6</v>
      </c>
    </row>
    <row r="275" spans="1:30" ht="15" x14ac:dyDescent="0.25">
      <c r="A275">
        <v>857</v>
      </c>
      <c r="B275" s="109" t="s">
        <v>397</v>
      </c>
      <c r="C275" s="108">
        <v>4806</v>
      </c>
      <c r="D275" s="108">
        <v>0</v>
      </c>
      <c r="E275" s="108">
        <v>0</v>
      </c>
      <c r="F275" s="108">
        <v>0</v>
      </c>
      <c r="G275" s="108">
        <v>23</v>
      </c>
      <c r="H275" s="108">
        <v>1135</v>
      </c>
      <c r="I275" s="108">
        <v>0</v>
      </c>
      <c r="J275">
        <v>0</v>
      </c>
      <c r="K275">
        <v>0</v>
      </c>
      <c r="L275">
        <v>0</v>
      </c>
      <c r="M275" s="108">
        <v>0</v>
      </c>
      <c r="N275" s="108">
        <v>0</v>
      </c>
      <c r="O275" s="108">
        <v>0</v>
      </c>
      <c r="P275" s="108">
        <v>0</v>
      </c>
      <c r="Q275" s="108">
        <v>0</v>
      </c>
      <c r="R275" s="108">
        <v>0</v>
      </c>
      <c r="S275">
        <v>21808</v>
      </c>
      <c r="T275">
        <v>1241</v>
      </c>
      <c r="U275">
        <v>0</v>
      </c>
      <c r="V275" s="108">
        <v>267</v>
      </c>
      <c r="W275" s="108">
        <v>13274</v>
      </c>
      <c r="X275" s="108">
        <v>270</v>
      </c>
      <c r="Y275" s="108">
        <v>0</v>
      </c>
      <c r="Z275" s="108">
        <v>276</v>
      </c>
      <c r="AA275" s="108">
        <v>0</v>
      </c>
      <c r="AB275" s="108">
        <v>0</v>
      </c>
      <c r="AC275" s="108">
        <v>0</v>
      </c>
      <c r="AD275" s="108">
        <v>0</v>
      </c>
    </row>
    <row r="276" spans="1:30" ht="15" x14ac:dyDescent="0.25">
      <c r="A276">
        <v>858</v>
      </c>
      <c r="B276" s="109" t="s">
        <v>398</v>
      </c>
      <c r="C276" s="108">
        <v>72512</v>
      </c>
      <c r="D276" s="108">
        <v>0</v>
      </c>
      <c r="E276" s="108">
        <v>120</v>
      </c>
      <c r="F276" s="108">
        <v>0</v>
      </c>
      <c r="G276" s="108">
        <v>97</v>
      </c>
      <c r="H276" s="108">
        <v>12605</v>
      </c>
      <c r="I276" s="108">
        <v>0</v>
      </c>
      <c r="J276">
        <v>0</v>
      </c>
      <c r="K276">
        <v>0</v>
      </c>
      <c r="L276">
        <v>0</v>
      </c>
      <c r="M276" s="108">
        <v>0</v>
      </c>
      <c r="N276" s="108">
        <v>0</v>
      </c>
      <c r="O276" s="108">
        <v>0</v>
      </c>
      <c r="P276" s="108">
        <v>0</v>
      </c>
      <c r="Q276" s="108">
        <v>0</v>
      </c>
      <c r="R276" s="108">
        <v>0</v>
      </c>
      <c r="S276">
        <v>252432</v>
      </c>
      <c r="T276">
        <v>12154</v>
      </c>
      <c r="U276">
        <v>0</v>
      </c>
      <c r="V276" s="108">
        <v>2059</v>
      </c>
      <c r="W276" s="108">
        <v>116711</v>
      </c>
      <c r="X276" s="108">
        <v>2939</v>
      </c>
      <c r="Y276" s="108">
        <v>4</v>
      </c>
      <c r="Z276" s="108">
        <v>573</v>
      </c>
      <c r="AA276" s="108">
        <v>35</v>
      </c>
      <c r="AB276" s="108">
        <v>0</v>
      </c>
      <c r="AC276" s="108">
        <v>0</v>
      </c>
      <c r="AD276" s="108">
        <v>0</v>
      </c>
    </row>
    <row r="277" spans="1:30" ht="15" x14ac:dyDescent="0.25">
      <c r="A277">
        <v>859</v>
      </c>
      <c r="B277" s="109" t="s">
        <v>399</v>
      </c>
      <c r="C277" s="108">
        <v>7419</v>
      </c>
      <c r="D277" s="108">
        <v>0</v>
      </c>
      <c r="E277" s="108">
        <v>0</v>
      </c>
      <c r="F277" s="108">
        <v>1432</v>
      </c>
      <c r="G277" s="108">
        <v>87</v>
      </c>
      <c r="H277" s="108">
        <v>1239</v>
      </c>
      <c r="I277" s="108">
        <v>0</v>
      </c>
      <c r="J277">
        <v>0</v>
      </c>
      <c r="K277">
        <v>0</v>
      </c>
      <c r="L277">
        <v>0</v>
      </c>
      <c r="M277" s="108">
        <v>0</v>
      </c>
      <c r="N277" s="108">
        <v>0</v>
      </c>
      <c r="O277" s="108">
        <v>0</v>
      </c>
      <c r="P277" s="108">
        <v>0</v>
      </c>
      <c r="Q277" s="108">
        <v>0</v>
      </c>
      <c r="R277" s="108">
        <v>0</v>
      </c>
      <c r="S277">
        <v>41964</v>
      </c>
      <c r="T277">
        <v>1604</v>
      </c>
      <c r="U277">
        <v>1429</v>
      </c>
      <c r="V277" s="108">
        <v>478</v>
      </c>
      <c r="W277" s="108">
        <v>19864</v>
      </c>
      <c r="X277" s="108">
        <v>417</v>
      </c>
      <c r="Y277" s="108">
        <v>0</v>
      </c>
      <c r="Z277" s="108">
        <v>186</v>
      </c>
      <c r="AA277" s="108">
        <v>0</v>
      </c>
      <c r="AB277" s="108">
        <v>19</v>
      </c>
      <c r="AC277" s="108">
        <v>526</v>
      </c>
      <c r="AD277" s="108">
        <v>17</v>
      </c>
    </row>
    <row r="278" spans="1:30" ht="15" x14ac:dyDescent="0.25">
      <c r="A278">
        <v>886</v>
      </c>
      <c r="B278" s="109" t="s">
        <v>400</v>
      </c>
      <c r="C278" s="108">
        <v>13542</v>
      </c>
      <c r="D278" s="108">
        <v>0</v>
      </c>
      <c r="E278" s="108">
        <v>0</v>
      </c>
      <c r="F278" s="108">
        <v>0</v>
      </c>
      <c r="G278" s="108">
        <v>132</v>
      </c>
      <c r="H278" s="108">
        <v>876</v>
      </c>
      <c r="I278" s="108">
        <v>412</v>
      </c>
      <c r="J278">
        <v>0</v>
      </c>
      <c r="K278">
        <v>0</v>
      </c>
      <c r="L278">
        <v>0</v>
      </c>
      <c r="M278" s="108">
        <v>0</v>
      </c>
      <c r="N278" s="108">
        <v>0</v>
      </c>
      <c r="O278" s="108">
        <v>0</v>
      </c>
      <c r="P278" s="108">
        <v>0</v>
      </c>
      <c r="Q278" s="108">
        <v>0</v>
      </c>
      <c r="R278" s="108">
        <v>0</v>
      </c>
      <c r="S278">
        <v>81917</v>
      </c>
      <c r="T278">
        <v>2953</v>
      </c>
      <c r="U278">
        <v>0</v>
      </c>
      <c r="V278" s="108">
        <v>253</v>
      </c>
      <c r="W278" s="108">
        <v>42374</v>
      </c>
      <c r="X278" s="108">
        <v>1581</v>
      </c>
      <c r="Y278" s="108">
        <v>0</v>
      </c>
      <c r="Z278" s="108">
        <v>67</v>
      </c>
      <c r="AA278" s="108">
        <v>0</v>
      </c>
      <c r="AB278" s="108">
        <v>0</v>
      </c>
      <c r="AC278" s="108">
        <v>0</v>
      </c>
      <c r="AD278" s="108">
        <v>0</v>
      </c>
    </row>
    <row r="279" spans="1:30" ht="15" x14ac:dyDescent="0.25">
      <c r="A279">
        <v>887</v>
      </c>
      <c r="B279" s="109" t="s">
        <v>401</v>
      </c>
      <c r="C279" s="108">
        <v>5638</v>
      </c>
      <c r="D279" s="108">
        <v>0</v>
      </c>
      <c r="E279" s="108">
        <v>0</v>
      </c>
      <c r="F279" s="108">
        <v>0</v>
      </c>
      <c r="G279" s="108">
        <v>507</v>
      </c>
      <c r="H279" s="108">
        <v>654</v>
      </c>
      <c r="I279" s="108">
        <v>0</v>
      </c>
      <c r="J279">
        <v>0</v>
      </c>
      <c r="K279">
        <v>0</v>
      </c>
      <c r="L279">
        <v>0</v>
      </c>
      <c r="M279" s="108">
        <v>0</v>
      </c>
      <c r="N279" s="108">
        <v>0</v>
      </c>
      <c r="O279" s="108">
        <v>0</v>
      </c>
      <c r="P279" s="108">
        <v>0</v>
      </c>
      <c r="Q279" s="108">
        <v>0</v>
      </c>
      <c r="R279" s="108">
        <v>0</v>
      </c>
      <c r="S279">
        <v>32701</v>
      </c>
      <c r="T279">
        <v>842</v>
      </c>
      <c r="U279">
        <v>136</v>
      </c>
      <c r="V279" s="108">
        <v>1328</v>
      </c>
      <c r="W279" s="108">
        <v>18552</v>
      </c>
      <c r="X279" s="108">
        <v>349</v>
      </c>
      <c r="Y279" s="108">
        <v>0</v>
      </c>
      <c r="Z279" s="108">
        <v>26</v>
      </c>
      <c r="AA279" s="108">
        <v>2</v>
      </c>
      <c r="AB279" s="108">
        <v>0</v>
      </c>
      <c r="AC279" s="108">
        <v>0</v>
      </c>
      <c r="AD279" s="108">
        <v>0</v>
      </c>
    </row>
    <row r="280" spans="1:30" ht="15" x14ac:dyDescent="0.25">
      <c r="A280">
        <v>889</v>
      </c>
      <c r="B280" s="109" t="s">
        <v>402</v>
      </c>
      <c r="C280" s="108">
        <v>4562</v>
      </c>
      <c r="D280" s="108">
        <v>0</v>
      </c>
      <c r="E280" s="108">
        <v>0</v>
      </c>
      <c r="F280" s="108">
        <v>409</v>
      </c>
      <c r="G280" s="108">
        <v>56</v>
      </c>
      <c r="H280" s="108">
        <v>89</v>
      </c>
      <c r="I280" s="108">
        <v>0</v>
      </c>
      <c r="J280">
        <v>0</v>
      </c>
      <c r="K280">
        <v>0</v>
      </c>
      <c r="L280">
        <v>0</v>
      </c>
      <c r="M280" s="108">
        <v>0</v>
      </c>
      <c r="N280" s="108">
        <v>0</v>
      </c>
      <c r="O280" s="108">
        <v>0</v>
      </c>
      <c r="P280" s="108">
        <v>0</v>
      </c>
      <c r="Q280" s="108">
        <v>60</v>
      </c>
      <c r="R280" s="108">
        <v>0</v>
      </c>
      <c r="S280">
        <v>25379</v>
      </c>
      <c r="T280">
        <v>1234</v>
      </c>
      <c r="U280">
        <v>409</v>
      </c>
      <c r="V280" s="108">
        <v>265</v>
      </c>
      <c r="W280" s="108">
        <v>11775</v>
      </c>
      <c r="X280" s="108">
        <v>185</v>
      </c>
      <c r="Y280" s="108">
        <v>0</v>
      </c>
      <c r="Z280" s="108">
        <v>0</v>
      </c>
      <c r="AA280" s="108">
        <v>0</v>
      </c>
      <c r="AB280" s="108">
        <v>0</v>
      </c>
      <c r="AC280" s="108">
        <v>0</v>
      </c>
      <c r="AD280" s="108">
        <v>0</v>
      </c>
    </row>
    <row r="281" spans="1:30" ht="15" x14ac:dyDescent="0.25">
      <c r="A281">
        <v>890</v>
      </c>
      <c r="B281" s="109" t="s">
        <v>403</v>
      </c>
      <c r="C281" s="108">
        <v>3401</v>
      </c>
      <c r="D281" s="108">
        <v>0</v>
      </c>
      <c r="E281" s="108">
        <v>0</v>
      </c>
      <c r="F281" s="108">
        <v>349</v>
      </c>
      <c r="G281" s="108">
        <v>4</v>
      </c>
      <c r="H281" s="108">
        <v>557</v>
      </c>
      <c r="I281" s="108">
        <v>0</v>
      </c>
      <c r="J281">
        <v>0</v>
      </c>
      <c r="K281">
        <v>0</v>
      </c>
      <c r="L281">
        <v>0</v>
      </c>
      <c r="M281" s="108">
        <v>0</v>
      </c>
      <c r="N281" s="108">
        <v>0</v>
      </c>
      <c r="O281" s="108">
        <v>0</v>
      </c>
      <c r="P281" s="108">
        <v>0</v>
      </c>
      <c r="Q281" s="108">
        <v>0</v>
      </c>
      <c r="R281" s="108">
        <v>0</v>
      </c>
      <c r="S281">
        <v>13825</v>
      </c>
      <c r="T281">
        <v>527</v>
      </c>
      <c r="U281">
        <v>335</v>
      </c>
      <c r="V281" s="108">
        <v>116</v>
      </c>
      <c r="W281" s="108">
        <v>6820</v>
      </c>
      <c r="X281" s="108">
        <v>165</v>
      </c>
      <c r="Y281" s="108">
        <v>0</v>
      </c>
      <c r="Z281" s="108">
        <v>83</v>
      </c>
      <c r="AA281" s="108">
        <v>0</v>
      </c>
      <c r="AB281" s="108">
        <v>1</v>
      </c>
      <c r="AC281" s="108">
        <v>120</v>
      </c>
      <c r="AD281" s="108">
        <v>1</v>
      </c>
    </row>
    <row r="282" spans="1:30" ht="15" x14ac:dyDescent="0.25">
      <c r="A282">
        <v>892</v>
      </c>
      <c r="B282" s="109" t="s">
        <v>404</v>
      </c>
      <c r="C282" s="108">
        <v>4729</v>
      </c>
      <c r="D282" s="108">
        <v>0</v>
      </c>
      <c r="E282" s="108">
        <v>25</v>
      </c>
      <c r="F282" s="108">
        <v>483</v>
      </c>
      <c r="G282" s="108">
        <v>55</v>
      </c>
      <c r="H282" s="108">
        <v>1225</v>
      </c>
      <c r="I282" s="108">
        <v>0</v>
      </c>
      <c r="J282">
        <v>0</v>
      </c>
      <c r="K282">
        <v>0</v>
      </c>
      <c r="L282">
        <v>0</v>
      </c>
      <c r="M282" s="108">
        <v>0</v>
      </c>
      <c r="N282" s="108">
        <v>0</v>
      </c>
      <c r="O282" s="108">
        <v>0</v>
      </c>
      <c r="P282" s="108">
        <v>0</v>
      </c>
      <c r="Q282" s="108">
        <v>0</v>
      </c>
      <c r="R282" s="108">
        <v>0</v>
      </c>
      <c r="S282">
        <v>23059</v>
      </c>
      <c r="T282">
        <v>1068</v>
      </c>
      <c r="U282">
        <v>483</v>
      </c>
      <c r="V282" s="108">
        <v>104</v>
      </c>
      <c r="W282" s="108">
        <v>10850</v>
      </c>
      <c r="X282" s="108">
        <v>291</v>
      </c>
      <c r="Y282" s="108">
        <v>0</v>
      </c>
      <c r="Z282" s="108">
        <v>87</v>
      </c>
      <c r="AA282" s="108">
        <v>0</v>
      </c>
      <c r="AB282" s="108">
        <v>3</v>
      </c>
      <c r="AC282" s="108">
        <v>138</v>
      </c>
      <c r="AD282" s="108">
        <v>1</v>
      </c>
    </row>
    <row r="283" spans="1:30" ht="15" x14ac:dyDescent="0.25">
      <c r="A283">
        <v>893</v>
      </c>
      <c r="B283" s="109" t="s">
        <v>405</v>
      </c>
      <c r="C283" s="108">
        <v>8134</v>
      </c>
      <c r="D283" s="108">
        <v>0</v>
      </c>
      <c r="E283" s="108">
        <v>76</v>
      </c>
      <c r="F283" s="108">
        <v>0</v>
      </c>
      <c r="G283" s="108">
        <v>0</v>
      </c>
      <c r="H283" s="108">
        <v>327</v>
      </c>
      <c r="I283" s="108">
        <v>0</v>
      </c>
      <c r="J283">
        <v>0</v>
      </c>
      <c r="K283">
        <v>0</v>
      </c>
      <c r="L283">
        <v>0</v>
      </c>
      <c r="M283" s="108">
        <v>0</v>
      </c>
      <c r="N283" s="108">
        <v>0</v>
      </c>
      <c r="O283" s="108">
        <v>0</v>
      </c>
      <c r="P283" s="108">
        <v>0</v>
      </c>
      <c r="Q283" s="108">
        <v>0</v>
      </c>
      <c r="R283" s="108">
        <v>0</v>
      </c>
      <c r="S283">
        <v>51897</v>
      </c>
      <c r="T283">
        <v>1725</v>
      </c>
      <c r="U283">
        <v>0</v>
      </c>
      <c r="V283" s="108">
        <v>561</v>
      </c>
      <c r="W283" s="108">
        <v>26455</v>
      </c>
      <c r="X283" s="108">
        <v>540</v>
      </c>
      <c r="Y283" s="108">
        <v>0</v>
      </c>
      <c r="Z283" s="108">
        <v>49</v>
      </c>
      <c r="AA283" s="108">
        <v>0</v>
      </c>
      <c r="AB283" s="108">
        <v>0</v>
      </c>
      <c r="AC283" s="108">
        <v>0</v>
      </c>
      <c r="AD283" s="108">
        <v>0</v>
      </c>
    </row>
    <row r="284" spans="1:30" ht="15" x14ac:dyDescent="0.25">
      <c r="A284">
        <v>895</v>
      </c>
      <c r="B284" s="109" t="s">
        <v>406</v>
      </c>
      <c r="C284" s="108">
        <v>44598</v>
      </c>
      <c r="D284" s="108">
        <v>0</v>
      </c>
      <c r="E284" s="108">
        <v>448</v>
      </c>
      <c r="F284" s="108">
        <v>0</v>
      </c>
      <c r="G284" s="108">
        <v>142</v>
      </c>
      <c r="H284" s="108">
        <v>15276</v>
      </c>
      <c r="I284" s="108">
        <v>0</v>
      </c>
      <c r="J284">
        <v>0</v>
      </c>
      <c r="K284">
        <v>0</v>
      </c>
      <c r="L284">
        <v>0</v>
      </c>
      <c r="M284" s="108">
        <v>0</v>
      </c>
      <c r="N284" s="108">
        <v>0</v>
      </c>
      <c r="O284" s="108">
        <v>0</v>
      </c>
      <c r="P284" s="108">
        <v>0</v>
      </c>
      <c r="Q284" s="108">
        <v>0</v>
      </c>
      <c r="R284" s="108">
        <v>0</v>
      </c>
      <c r="S284">
        <v>123011</v>
      </c>
      <c r="T284">
        <v>5510</v>
      </c>
      <c r="U284">
        <v>0</v>
      </c>
      <c r="V284" s="108">
        <v>780</v>
      </c>
      <c r="W284" s="108">
        <v>71524</v>
      </c>
      <c r="X284" s="108">
        <v>1169</v>
      </c>
      <c r="Y284" s="108">
        <v>0</v>
      </c>
      <c r="Z284" s="108">
        <v>270</v>
      </c>
      <c r="AA284" s="108">
        <v>0</v>
      </c>
      <c r="AB284" s="108">
        <v>0</v>
      </c>
      <c r="AC284" s="108">
        <v>0</v>
      </c>
      <c r="AD284" s="108">
        <v>0</v>
      </c>
    </row>
    <row r="285" spans="1:30" ht="15" x14ac:dyDescent="0.25">
      <c r="A285">
        <v>905</v>
      </c>
      <c r="B285" s="109" t="s">
        <v>408</v>
      </c>
      <c r="C285" s="108">
        <v>194830</v>
      </c>
      <c r="D285" s="108">
        <v>0</v>
      </c>
      <c r="E285" s="108">
        <v>2473</v>
      </c>
      <c r="F285" s="108">
        <v>5543</v>
      </c>
      <c r="G285" s="108">
        <v>1646</v>
      </c>
      <c r="H285" s="108">
        <v>49575</v>
      </c>
      <c r="I285" s="108">
        <v>6113</v>
      </c>
      <c r="J285">
        <v>0</v>
      </c>
      <c r="K285">
        <v>0</v>
      </c>
      <c r="L285">
        <v>0</v>
      </c>
      <c r="M285" s="108">
        <v>0</v>
      </c>
      <c r="N285" s="108">
        <v>0</v>
      </c>
      <c r="O285" s="108">
        <v>0</v>
      </c>
      <c r="P285" s="108">
        <v>0</v>
      </c>
      <c r="Q285" s="108">
        <v>715</v>
      </c>
      <c r="R285" s="108">
        <v>0</v>
      </c>
      <c r="S285">
        <v>574248</v>
      </c>
      <c r="T285">
        <v>30904</v>
      </c>
      <c r="U285">
        <v>5544</v>
      </c>
      <c r="V285" s="108">
        <v>6530</v>
      </c>
      <c r="W285" s="108">
        <v>281395</v>
      </c>
      <c r="X285" s="108">
        <v>10208</v>
      </c>
      <c r="Y285" s="108">
        <v>1</v>
      </c>
      <c r="Z285" s="108">
        <v>1132</v>
      </c>
      <c r="AA285" s="108">
        <v>421</v>
      </c>
      <c r="AB285" s="108">
        <v>17</v>
      </c>
      <c r="AC285" s="108">
        <v>2722</v>
      </c>
      <c r="AD285" s="108">
        <v>0</v>
      </c>
    </row>
    <row r="286" spans="1:30" ht="15" x14ac:dyDescent="0.25">
      <c r="A286">
        <v>908</v>
      </c>
      <c r="B286" s="109" t="s">
        <v>409</v>
      </c>
      <c r="C286" s="108">
        <v>52869</v>
      </c>
      <c r="D286" s="108">
        <v>0</v>
      </c>
      <c r="E286" s="108">
        <v>283</v>
      </c>
      <c r="F286" s="108">
        <v>0</v>
      </c>
      <c r="G286" s="108">
        <v>584</v>
      </c>
      <c r="H286" s="108">
        <v>10766</v>
      </c>
      <c r="I286" s="108">
        <v>0</v>
      </c>
      <c r="J286">
        <v>0</v>
      </c>
      <c r="K286">
        <v>0</v>
      </c>
      <c r="L286">
        <v>0</v>
      </c>
      <c r="M286" s="108">
        <v>0</v>
      </c>
      <c r="N286" s="108">
        <v>0</v>
      </c>
      <c r="O286" s="108">
        <v>0</v>
      </c>
      <c r="P286" s="108">
        <v>0</v>
      </c>
      <c r="Q286" s="108">
        <v>0</v>
      </c>
      <c r="R286" s="108">
        <v>0</v>
      </c>
      <c r="S286">
        <v>160366</v>
      </c>
      <c r="T286">
        <v>9254</v>
      </c>
      <c r="U286">
        <v>0</v>
      </c>
      <c r="V286" s="108">
        <v>1735</v>
      </c>
      <c r="W286" s="108">
        <v>79366</v>
      </c>
      <c r="X286" s="108">
        <v>1505</v>
      </c>
      <c r="Y286" s="108">
        <v>0</v>
      </c>
      <c r="Z286" s="108">
        <v>81</v>
      </c>
      <c r="AA286" s="108">
        <v>2</v>
      </c>
      <c r="AB286" s="108">
        <v>0</v>
      </c>
      <c r="AC286" s="108">
        <v>0</v>
      </c>
      <c r="AD286" s="108">
        <v>0</v>
      </c>
    </row>
    <row r="287" spans="1:30" ht="15" x14ac:dyDescent="0.25">
      <c r="A287">
        <v>911</v>
      </c>
      <c r="B287" s="109" t="s">
        <v>410</v>
      </c>
      <c r="C287" s="108">
        <v>8320</v>
      </c>
      <c r="D287" s="108">
        <v>0</v>
      </c>
      <c r="E287" s="108">
        <v>23</v>
      </c>
      <c r="F287" s="108">
        <v>0</v>
      </c>
      <c r="G287" s="108">
        <v>15</v>
      </c>
      <c r="H287" s="108">
        <v>772</v>
      </c>
      <c r="I287" s="108">
        <v>0</v>
      </c>
      <c r="J287">
        <v>0</v>
      </c>
      <c r="K287">
        <v>0</v>
      </c>
      <c r="L287">
        <v>0</v>
      </c>
      <c r="M287" s="108">
        <v>0</v>
      </c>
      <c r="N287" s="108">
        <v>1</v>
      </c>
      <c r="O287" s="108">
        <v>0</v>
      </c>
      <c r="P287" s="108">
        <v>0</v>
      </c>
      <c r="Q287" s="108">
        <v>0</v>
      </c>
      <c r="R287" s="108">
        <v>0</v>
      </c>
      <c r="S287">
        <v>24748</v>
      </c>
      <c r="T287">
        <v>940</v>
      </c>
      <c r="U287">
        <v>0</v>
      </c>
      <c r="V287" s="108">
        <v>45</v>
      </c>
      <c r="W287" s="108">
        <v>12274</v>
      </c>
      <c r="X287" s="108">
        <v>172</v>
      </c>
      <c r="Y287" s="108">
        <v>0</v>
      </c>
      <c r="Z287" s="108">
        <v>0</v>
      </c>
      <c r="AA287" s="108">
        <v>0</v>
      </c>
      <c r="AB287" s="108">
        <v>0</v>
      </c>
      <c r="AC287" s="108">
        <v>0</v>
      </c>
      <c r="AD287" s="108">
        <v>0</v>
      </c>
    </row>
    <row r="288" spans="1:30" ht="15" x14ac:dyDescent="0.25">
      <c r="A288">
        <v>915</v>
      </c>
      <c r="B288" s="109" t="s">
        <v>412</v>
      </c>
      <c r="C288" s="108">
        <v>75131</v>
      </c>
      <c r="D288" s="108">
        <v>0</v>
      </c>
      <c r="E288" s="108">
        <v>338</v>
      </c>
      <c r="F288" s="108">
        <v>0</v>
      </c>
      <c r="G288" s="108">
        <v>777</v>
      </c>
      <c r="H288" s="108">
        <v>45664</v>
      </c>
      <c r="I288" s="108">
        <v>0</v>
      </c>
      <c r="J288">
        <v>0</v>
      </c>
      <c r="K288">
        <v>0</v>
      </c>
      <c r="L288">
        <v>0</v>
      </c>
      <c r="M288" s="108">
        <v>0</v>
      </c>
      <c r="N288" s="108">
        <v>0</v>
      </c>
      <c r="O288" s="108">
        <v>0</v>
      </c>
      <c r="P288" s="108">
        <v>0</v>
      </c>
      <c r="Q288" s="108">
        <v>0</v>
      </c>
      <c r="R288" s="108">
        <v>0</v>
      </c>
      <c r="S288">
        <v>195467</v>
      </c>
      <c r="T288">
        <v>5048</v>
      </c>
      <c r="U288">
        <v>0</v>
      </c>
      <c r="V288" s="108">
        <v>3491</v>
      </c>
      <c r="W288" s="108">
        <v>127441</v>
      </c>
      <c r="X288" s="108">
        <v>2490</v>
      </c>
      <c r="Y288" s="108">
        <v>0</v>
      </c>
      <c r="Z288" s="108">
        <v>599</v>
      </c>
      <c r="AA288" s="108">
        <v>0</v>
      </c>
      <c r="AB288" s="108">
        <v>0</v>
      </c>
      <c r="AC288" s="108">
        <v>0</v>
      </c>
      <c r="AD288" s="108">
        <v>0</v>
      </c>
    </row>
    <row r="289" spans="1:30" ht="15" x14ac:dyDescent="0.25">
      <c r="A289">
        <v>918</v>
      </c>
      <c r="B289" s="109" t="s">
        <v>413</v>
      </c>
      <c r="C289" s="108">
        <v>6967</v>
      </c>
      <c r="D289" s="108">
        <v>0</v>
      </c>
      <c r="E289" s="108">
        <v>0</v>
      </c>
      <c r="F289" s="108">
        <v>0</v>
      </c>
      <c r="G289" s="108">
        <v>0</v>
      </c>
      <c r="H289" s="108">
        <v>1366</v>
      </c>
      <c r="I289" s="108">
        <v>86</v>
      </c>
      <c r="J289">
        <v>0</v>
      </c>
      <c r="K289">
        <v>0</v>
      </c>
      <c r="L289">
        <v>0</v>
      </c>
      <c r="M289" s="108">
        <v>0</v>
      </c>
      <c r="N289" s="108">
        <v>0</v>
      </c>
      <c r="O289" s="108">
        <v>0</v>
      </c>
      <c r="P289" s="108">
        <v>0</v>
      </c>
      <c r="Q289" s="108">
        <v>0</v>
      </c>
      <c r="R289" s="108">
        <v>0</v>
      </c>
      <c r="S289">
        <v>20362</v>
      </c>
      <c r="T289">
        <v>391</v>
      </c>
      <c r="U289">
        <v>0</v>
      </c>
      <c r="V289" s="108">
        <v>54</v>
      </c>
      <c r="W289" s="108">
        <v>10798</v>
      </c>
      <c r="X289" s="108">
        <v>233</v>
      </c>
      <c r="Y289" s="108">
        <v>0</v>
      </c>
      <c r="Z289" s="108">
        <v>9</v>
      </c>
      <c r="AA289" s="108">
        <v>4</v>
      </c>
      <c r="AB289" s="108">
        <v>0</v>
      </c>
      <c r="AC289" s="108">
        <v>0</v>
      </c>
      <c r="AD289" s="108">
        <v>0</v>
      </c>
    </row>
    <row r="290" spans="1:30" ht="15" x14ac:dyDescent="0.25">
      <c r="A290">
        <v>921</v>
      </c>
      <c r="B290" s="109" t="s">
        <v>414</v>
      </c>
      <c r="C290" s="108">
        <v>3446</v>
      </c>
      <c r="D290" s="108">
        <v>0</v>
      </c>
      <c r="E290" s="108">
        <v>0</v>
      </c>
      <c r="F290" s="108">
        <v>821</v>
      </c>
      <c r="G290" s="108">
        <v>50</v>
      </c>
      <c r="H290" s="108">
        <v>1008</v>
      </c>
      <c r="I290" s="108">
        <v>0</v>
      </c>
      <c r="J290">
        <v>0</v>
      </c>
      <c r="K290">
        <v>0</v>
      </c>
      <c r="L290">
        <v>0</v>
      </c>
      <c r="M290" s="108">
        <v>0</v>
      </c>
      <c r="N290" s="108">
        <v>0</v>
      </c>
      <c r="O290" s="108">
        <v>0</v>
      </c>
      <c r="P290" s="108">
        <v>0</v>
      </c>
      <c r="Q290" s="108">
        <v>96</v>
      </c>
      <c r="R290" s="108">
        <v>0</v>
      </c>
      <c r="S290">
        <v>19366</v>
      </c>
      <c r="T290">
        <v>596</v>
      </c>
      <c r="U290">
        <v>810</v>
      </c>
      <c r="V290" s="108">
        <v>187</v>
      </c>
      <c r="W290" s="108">
        <v>12154</v>
      </c>
      <c r="X290" s="108">
        <v>230</v>
      </c>
      <c r="Y290" s="108">
        <v>1</v>
      </c>
      <c r="Z290" s="108">
        <v>16</v>
      </c>
      <c r="AA290" s="108">
        <v>0</v>
      </c>
      <c r="AB290" s="108">
        <v>24</v>
      </c>
      <c r="AC290" s="108">
        <v>259</v>
      </c>
      <c r="AD290" s="108">
        <v>0</v>
      </c>
    </row>
    <row r="291" spans="1:30" ht="15" x14ac:dyDescent="0.25">
      <c r="A291">
        <v>922</v>
      </c>
      <c r="B291" s="109" t="s">
        <v>415</v>
      </c>
      <c r="C291" s="108">
        <v>6078</v>
      </c>
      <c r="D291" s="108">
        <v>0</v>
      </c>
      <c r="E291" s="108">
        <v>0</v>
      </c>
      <c r="F291" s="108">
        <v>421</v>
      </c>
      <c r="G291" s="108">
        <v>47</v>
      </c>
      <c r="H291" s="108">
        <v>175</v>
      </c>
      <c r="I291" s="108">
        <v>0</v>
      </c>
      <c r="J291">
        <v>0</v>
      </c>
      <c r="K291">
        <v>0</v>
      </c>
      <c r="L291">
        <v>0</v>
      </c>
      <c r="M291" s="108">
        <v>0</v>
      </c>
      <c r="N291" s="108">
        <v>0</v>
      </c>
      <c r="O291" s="108">
        <v>0</v>
      </c>
      <c r="P291" s="108">
        <v>0</v>
      </c>
      <c r="Q291" s="108">
        <v>0</v>
      </c>
      <c r="R291" s="108">
        <v>0</v>
      </c>
      <c r="S291">
        <v>29585</v>
      </c>
      <c r="T291">
        <v>1823</v>
      </c>
      <c r="U291">
        <v>418</v>
      </c>
      <c r="V291" s="108">
        <v>204</v>
      </c>
      <c r="W291" s="108">
        <v>13829</v>
      </c>
      <c r="X291" s="108">
        <v>307</v>
      </c>
      <c r="Y291" s="108">
        <v>0</v>
      </c>
      <c r="Z291" s="108">
        <v>12</v>
      </c>
      <c r="AA291" s="108">
        <v>0</v>
      </c>
      <c r="AB291" s="108">
        <v>3</v>
      </c>
      <c r="AC291" s="108">
        <v>150</v>
      </c>
      <c r="AD291" s="108">
        <v>3</v>
      </c>
    </row>
    <row r="292" spans="1:30" ht="15" x14ac:dyDescent="0.25">
      <c r="A292">
        <v>924</v>
      </c>
      <c r="B292" s="109" t="s">
        <v>416</v>
      </c>
      <c r="C292" s="108">
        <v>8226</v>
      </c>
      <c r="D292" s="108">
        <v>0</v>
      </c>
      <c r="E292" s="108">
        <v>0</v>
      </c>
      <c r="F292" s="108">
        <v>457</v>
      </c>
      <c r="G292" s="108">
        <v>0</v>
      </c>
      <c r="H292" s="108">
        <v>0</v>
      </c>
      <c r="I292" s="108">
        <v>0</v>
      </c>
      <c r="J292">
        <v>0</v>
      </c>
      <c r="K292">
        <v>0</v>
      </c>
      <c r="L292">
        <v>0</v>
      </c>
      <c r="M292" s="108">
        <v>0</v>
      </c>
      <c r="N292" s="108">
        <v>0</v>
      </c>
      <c r="O292" s="108">
        <v>0</v>
      </c>
      <c r="P292" s="108">
        <v>0</v>
      </c>
      <c r="Q292" s="108">
        <v>0</v>
      </c>
      <c r="R292" s="108">
        <v>0</v>
      </c>
      <c r="S292">
        <v>24358</v>
      </c>
      <c r="T292">
        <v>1621</v>
      </c>
      <c r="U292">
        <v>461</v>
      </c>
      <c r="V292" s="108">
        <v>101</v>
      </c>
      <c r="W292" s="108">
        <v>12557</v>
      </c>
      <c r="X292" s="108">
        <v>274</v>
      </c>
      <c r="Y292" s="108">
        <v>0</v>
      </c>
      <c r="Z292" s="108">
        <v>0</v>
      </c>
      <c r="AA292" s="108">
        <v>8</v>
      </c>
      <c r="AB292" s="108">
        <v>0</v>
      </c>
      <c r="AC292" s="108">
        <v>0</v>
      </c>
      <c r="AD292" s="108">
        <v>13</v>
      </c>
    </row>
    <row r="293" spans="1:30" ht="15" x14ac:dyDescent="0.25">
      <c r="A293">
        <v>925</v>
      </c>
      <c r="B293" s="109" t="s">
        <v>417</v>
      </c>
      <c r="C293" s="108">
        <v>3667</v>
      </c>
      <c r="D293" s="108">
        <v>0</v>
      </c>
      <c r="E293" s="108">
        <v>0</v>
      </c>
      <c r="F293" s="108">
        <v>383</v>
      </c>
      <c r="G293" s="108">
        <v>23</v>
      </c>
      <c r="H293" s="108">
        <v>73</v>
      </c>
      <c r="I293" s="108">
        <v>0</v>
      </c>
      <c r="J293">
        <v>0</v>
      </c>
      <c r="K293">
        <v>0</v>
      </c>
      <c r="L293">
        <v>0</v>
      </c>
      <c r="M293" s="108">
        <v>0</v>
      </c>
      <c r="N293" s="108">
        <v>0</v>
      </c>
      <c r="O293" s="108">
        <v>0</v>
      </c>
      <c r="P293" s="108">
        <v>0</v>
      </c>
      <c r="Q293" s="108">
        <v>0</v>
      </c>
      <c r="R293" s="108">
        <v>0</v>
      </c>
      <c r="S293">
        <v>25833</v>
      </c>
      <c r="T293">
        <v>704</v>
      </c>
      <c r="U293">
        <v>383</v>
      </c>
      <c r="V293" s="108">
        <v>108</v>
      </c>
      <c r="W293" s="108">
        <v>14239</v>
      </c>
      <c r="X293" s="108">
        <v>353</v>
      </c>
      <c r="Y293" s="108">
        <v>0</v>
      </c>
      <c r="Z293" s="108">
        <v>0</v>
      </c>
      <c r="AA293" s="108">
        <v>0</v>
      </c>
      <c r="AB293" s="108">
        <v>2</v>
      </c>
      <c r="AC293" s="108">
        <v>3</v>
      </c>
      <c r="AD293" s="108">
        <v>0</v>
      </c>
    </row>
    <row r="294" spans="1:30" ht="15" x14ac:dyDescent="0.25">
      <c r="A294">
        <v>927</v>
      </c>
      <c r="B294" s="109" t="s">
        <v>418</v>
      </c>
      <c r="C294" s="108">
        <v>43593</v>
      </c>
      <c r="D294" s="108">
        <v>0</v>
      </c>
      <c r="E294" s="108">
        <v>205</v>
      </c>
      <c r="F294" s="108">
        <v>3048</v>
      </c>
      <c r="G294" s="108">
        <v>59</v>
      </c>
      <c r="H294" s="108">
        <v>1870</v>
      </c>
      <c r="I294" s="108">
        <v>0</v>
      </c>
      <c r="J294">
        <v>0</v>
      </c>
      <c r="K294">
        <v>0</v>
      </c>
      <c r="L294">
        <v>0</v>
      </c>
      <c r="M294" s="108">
        <v>0</v>
      </c>
      <c r="N294" s="108">
        <v>0</v>
      </c>
      <c r="O294" s="108">
        <v>0</v>
      </c>
      <c r="P294" s="108">
        <v>0</v>
      </c>
      <c r="Q294" s="108">
        <v>0</v>
      </c>
      <c r="R294" s="108">
        <v>0</v>
      </c>
      <c r="S294">
        <v>178135</v>
      </c>
      <c r="T294">
        <v>9348</v>
      </c>
      <c r="U294">
        <v>3046</v>
      </c>
      <c r="V294" s="108">
        <v>2340</v>
      </c>
      <c r="W294" s="108">
        <v>84008</v>
      </c>
      <c r="X294" s="108">
        <v>1865</v>
      </c>
      <c r="Y294" s="108">
        <v>0</v>
      </c>
      <c r="Z294" s="108">
        <v>0</v>
      </c>
      <c r="AA294" s="108">
        <v>0</v>
      </c>
      <c r="AB294" s="108">
        <v>6</v>
      </c>
      <c r="AC294" s="108">
        <v>6</v>
      </c>
      <c r="AD294" s="108">
        <v>0</v>
      </c>
    </row>
    <row r="295" spans="1:30" ht="15" x14ac:dyDescent="0.25">
      <c r="A295">
        <v>931</v>
      </c>
      <c r="B295" s="109" t="s">
        <v>419</v>
      </c>
      <c r="C295" s="108">
        <v>33784</v>
      </c>
      <c r="D295" s="108">
        <v>0</v>
      </c>
      <c r="E295" s="108">
        <v>0</v>
      </c>
      <c r="F295" s="108">
        <v>0</v>
      </c>
      <c r="G295" s="108">
        <v>21</v>
      </c>
      <c r="H295" s="108">
        <v>24946</v>
      </c>
      <c r="I295" s="108">
        <v>0</v>
      </c>
      <c r="J295">
        <v>0</v>
      </c>
      <c r="K295">
        <v>0</v>
      </c>
      <c r="L295">
        <v>0</v>
      </c>
      <c r="M295" s="108">
        <v>0</v>
      </c>
      <c r="N295" s="108">
        <v>0</v>
      </c>
      <c r="O295" s="108">
        <v>0</v>
      </c>
      <c r="P295" s="108">
        <v>0</v>
      </c>
      <c r="Q295" s="108">
        <v>0</v>
      </c>
      <c r="R295" s="108">
        <v>0</v>
      </c>
      <c r="S295">
        <v>74303</v>
      </c>
      <c r="T295">
        <v>2555</v>
      </c>
      <c r="U295">
        <v>0</v>
      </c>
      <c r="V295" s="108">
        <v>11</v>
      </c>
      <c r="W295" s="108">
        <v>53427</v>
      </c>
      <c r="X295" s="108">
        <v>548</v>
      </c>
      <c r="Y295" s="108">
        <v>0</v>
      </c>
      <c r="Z295" s="108">
        <v>92</v>
      </c>
      <c r="AA295" s="108">
        <v>0</v>
      </c>
      <c r="AB295" s="108">
        <v>0</v>
      </c>
      <c r="AC295" s="108">
        <v>0</v>
      </c>
      <c r="AD295" s="108">
        <v>0</v>
      </c>
    </row>
    <row r="296" spans="1:30" ht="15" x14ac:dyDescent="0.25">
      <c r="A296">
        <v>934</v>
      </c>
      <c r="B296" s="109" t="s">
        <v>420</v>
      </c>
      <c r="C296" s="108">
        <v>2376</v>
      </c>
      <c r="D296" s="108">
        <v>0</v>
      </c>
      <c r="E296" s="108">
        <v>0</v>
      </c>
      <c r="F296" s="108">
        <v>0</v>
      </c>
      <c r="G296" s="108">
        <v>0</v>
      </c>
      <c r="H296" s="108">
        <v>0</v>
      </c>
      <c r="I296" s="108">
        <v>0</v>
      </c>
      <c r="J296">
        <v>0</v>
      </c>
      <c r="K296">
        <v>0</v>
      </c>
      <c r="L296">
        <v>0</v>
      </c>
      <c r="M296" s="108">
        <v>0</v>
      </c>
      <c r="N296" s="108">
        <v>0</v>
      </c>
      <c r="O296" s="108">
        <v>0</v>
      </c>
      <c r="P296" s="108">
        <v>0</v>
      </c>
      <c r="Q296" s="108">
        <v>0</v>
      </c>
      <c r="R296" s="108">
        <v>0</v>
      </c>
      <c r="S296">
        <v>18677</v>
      </c>
      <c r="T296">
        <v>818</v>
      </c>
      <c r="U296">
        <v>0</v>
      </c>
      <c r="V296" s="108">
        <v>127</v>
      </c>
      <c r="W296" s="108">
        <v>10999</v>
      </c>
      <c r="X296" s="108">
        <v>263</v>
      </c>
      <c r="Y296" s="108">
        <v>0</v>
      </c>
      <c r="Z296" s="108">
        <v>0</v>
      </c>
      <c r="AA296" s="108">
        <v>0</v>
      </c>
      <c r="AB296" s="108">
        <v>0</v>
      </c>
      <c r="AC296" s="108">
        <v>0</v>
      </c>
      <c r="AD296" s="108">
        <v>0</v>
      </c>
    </row>
    <row r="297" spans="1:30" ht="15" x14ac:dyDescent="0.25">
      <c r="A297">
        <v>935</v>
      </c>
      <c r="B297" s="109" t="s">
        <v>421</v>
      </c>
      <c r="C297" s="108">
        <v>10188</v>
      </c>
      <c r="D297" s="108">
        <v>0</v>
      </c>
      <c r="E297" s="108">
        <v>0</v>
      </c>
      <c r="F297" s="108">
        <v>0</v>
      </c>
      <c r="G297" s="108">
        <v>0</v>
      </c>
      <c r="H297" s="108">
        <v>3</v>
      </c>
      <c r="I297" s="108">
        <v>0</v>
      </c>
      <c r="J297">
        <v>0</v>
      </c>
      <c r="K297">
        <v>0</v>
      </c>
      <c r="L297">
        <v>0</v>
      </c>
      <c r="M297" s="108">
        <v>0</v>
      </c>
      <c r="N297" s="108">
        <v>0</v>
      </c>
      <c r="O297" s="108">
        <v>0</v>
      </c>
      <c r="P297" s="108">
        <v>0</v>
      </c>
      <c r="Q297" s="108">
        <v>0</v>
      </c>
      <c r="R297" s="108">
        <v>0</v>
      </c>
      <c r="S297">
        <v>28583</v>
      </c>
      <c r="T297">
        <v>1098</v>
      </c>
      <c r="U297">
        <v>0</v>
      </c>
      <c r="V297" s="108">
        <v>199</v>
      </c>
      <c r="W297" s="108">
        <v>10729</v>
      </c>
      <c r="X297" s="108">
        <v>358</v>
      </c>
      <c r="Y297" s="108">
        <v>0</v>
      </c>
      <c r="Z297" s="108">
        <v>45</v>
      </c>
      <c r="AA297" s="108">
        <v>0</v>
      </c>
      <c r="AB297" s="108">
        <v>0</v>
      </c>
      <c r="AC297" s="108">
        <v>0</v>
      </c>
      <c r="AD297" s="108">
        <v>0</v>
      </c>
    </row>
    <row r="298" spans="1:30" ht="15" x14ac:dyDescent="0.25">
      <c r="A298">
        <v>936</v>
      </c>
      <c r="B298" s="109" t="s">
        <v>422</v>
      </c>
      <c r="C298" s="108">
        <v>40747</v>
      </c>
      <c r="D298" s="108">
        <v>86</v>
      </c>
      <c r="E298" s="108">
        <v>0</v>
      </c>
      <c r="F298" s="108">
        <v>1806</v>
      </c>
      <c r="G298" s="108">
        <v>118</v>
      </c>
      <c r="H298" s="108">
        <v>27034</v>
      </c>
      <c r="I298" s="108">
        <v>0</v>
      </c>
      <c r="J298">
        <v>0</v>
      </c>
      <c r="K298">
        <v>0</v>
      </c>
      <c r="L298">
        <v>0</v>
      </c>
      <c r="M298" s="108">
        <v>0</v>
      </c>
      <c r="N298" s="108">
        <v>0</v>
      </c>
      <c r="O298" s="108">
        <v>0</v>
      </c>
      <c r="P298" s="108">
        <v>0</v>
      </c>
      <c r="Q298" s="108">
        <v>8</v>
      </c>
      <c r="R298" s="108">
        <v>0</v>
      </c>
      <c r="S298">
        <v>79428</v>
      </c>
      <c r="T298">
        <v>3154</v>
      </c>
      <c r="U298">
        <v>1806</v>
      </c>
      <c r="V298" s="108">
        <v>75</v>
      </c>
      <c r="W298" s="108">
        <v>50969</v>
      </c>
      <c r="X298" s="108">
        <v>526</v>
      </c>
      <c r="Y298" s="108">
        <v>0</v>
      </c>
      <c r="Z298" s="108">
        <v>38</v>
      </c>
      <c r="AA298" s="108">
        <v>9</v>
      </c>
      <c r="AB298" s="108">
        <v>4</v>
      </c>
      <c r="AC298" s="108">
        <v>1435</v>
      </c>
      <c r="AD298" s="108">
        <v>11</v>
      </c>
    </row>
    <row r="299" spans="1:30" ht="15" x14ac:dyDescent="0.25">
      <c r="A299">
        <v>946</v>
      </c>
      <c r="B299" s="109" t="s">
        <v>136</v>
      </c>
      <c r="C299" s="108">
        <v>21371</v>
      </c>
      <c r="D299" s="108">
        <v>0</v>
      </c>
      <c r="E299" s="108">
        <v>0</v>
      </c>
      <c r="F299" s="108">
        <v>0</v>
      </c>
      <c r="G299" s="108">
        <v>4</v>
      </c>
      <c r="H299" s="108">
        <v>11210</v>
      </c>
      <c r="I299" s="108">
        <v>27</v>
      </c>
      <c r="J299">
        <v>0</v>
      </c>
      <c r="K299">
        <v>0</v>
      </c>
      <c r="L299">
        <v>0</v>
      </c>
      <c r="M299" s="108">
        <v>0</v>
      </c>
      <c r="N299" s="108">
        <v>0</v>
      </c>
      <c r="O299" s="108">
        <v>0</v>
      </c>
      <c r="P299" s="108">
        <v>0</v>
      </c>
      <c r="Q299" s="108">
        <v>0</v>
      </c>
      <c r="R299" s="108">
        <v>0</v>
      </c>
      <c r="S299">
        <v>60610</v>
      </c>
      <c r="T299">
        <v>1485</v>
      </c>
      <c r="U299">
        <v>0</v>
      </c>
      <c r="V299" s="108">
        <v>534</v>
      </c>
      <c r="W299" s="108">
        <v>34698</v>
      </c>
      <c r="X299" s="108">
        <v>470</v>
      </c>
      <c r="Y299" s="108">
        <v>0</v>
      </c>
      <c r="Z299" s="108">
        <v>181</v>
      </c>
      <c r="AA299" s="108">
        <v>0</v>
      </c>
      <c r="AB299" s="108">
        <v>0</v>
      </c>
      <c r="AC299" s="108">
        <v>0</v>
      </c>
      <c r="AD299" s="108">
        <v>0</v>
      </c>
    </row>
    <row r="300" spans="1:30" ht="15" x14ac:dyDescent="0.25">
      <c r="A300">
        <v>976</v>
      </c>
      <c r="B300" s="109" t="s">
        <v>423</v>
      </c>
      <c r="C300" s="108">
        <v>12981</v>
      </c>
      <c r="D300" s="108">
        <v>0</v>
      </c>
      <c r="E300" s="108">
        <v>0</v>
      </c>
      <c r="F300" s="108">
        <v>0</v>
      </c>
      <c r="G300" s="108">
        <v>2</v>
      </c>
      <c r="H300" s="108">
        <v>2552</v>
      </c>
      <c r="I300" s="108">
        <v>77</v>
      </c>
      <c r="J300">
        <v>0</v>
      </c>
      <c r="K300">
        <v>0</v>
      </c>
      <c r="L300">
        <v>0</v>
      </c>
      <c r="M300" s="108">
        <v>0</v>
      </c>
      <c r="N300" s="108">
        <v>0</v>
      </c>
      <c r="O300" s="108">
        <v>0</v>
      </c>
      <c r="P300" s="108">
        <v>0</v>
      </c>
      <c r="Q300" s="108">
        <v>0</v>
      </c>
      <c r="R300" s="108">
        <v>0</v>
      </c>
      <c r="S300">
        <v>42837</v>
      </c>
      <c r="T300">
        <v>1564</v>
      </c>
      <c r="U300">
        <v>0</v>
      </c>
      <c r="V300" s="108">
        <v>65</v>
      </c>
      <c r="W300" s="108">
        <v>23464</v>
      </c>
      <c r="X300" s="108">
        <v>489</v>
      </c>
      <c r="Y300" s="108">
        <v>0</v>
      </c>
      <c r="Z300" s="108">
        <v>116</v>
      </c>
      <c r="AA300" s="108">
        <v>0</v>
      </c>
      <c r="AB300" s="108">
        <v>0</v>
      </c>
      <c r="AC300" s="108">
        <v>0</v>
      </c>
      <c r="AD300" s="108">
        <v>0</v>
      </c>
    </row>
    <row r="301" spans="1:30" ht="15" x14ac:dyDescent="0.25">
      <c r="A301">
        <v>977</v>
      </c>
      <c r="B301" s="109" t="s">
        <v>424</v>
      </c>
      <c r="C301" s="108">
        <v>38804</v>
      </c>
      <c r="D301" s="108">
        <v>0</v>
      </c>
      <c r="E301" s="108">
        <v>0</v>
      </c>
      <c r="F301" s="108">
        <v>0</v>
      </c>
      <c r="G301" s="108">
        <v>20</v>
      </c>
      <c r="H301" s="108">
        <v>20</v>
      </c>
      <c r="I301" s="108">
        <v>22410</v>
      </c>
      <c r="J301">
        <v>0</v>
      </c>
      <c r="K301">
        <v>0</v>
      </c>
      <c r="L301">
        <v>0</v>
      </c>
      <c r="M301" s="108">
        <v>0</v>
      </c>
      <c r="N301" s="108">
        <v>0</v>
      </c>
      <c r="O301" s="108">
        <v>0</v>
      </c>
      <c r="P301" s="108">
        <v>0</v>
      </c>
      <c r="Q301" s="108">
        <v>0</v>
      </c>
      <c r="R301" s="108">
        <v>0</v>
      </c>
      <c r="S301">
        <v>119952</v>
      </c>
      <c r="T301">
        <v>4064</v>
      </c>
      <c r="U301">
        <v>0</v>
      </c>
      <c r="V301" s="108">
        <v>1504</v>
      </c>
      <c r="W301" s="108">
        <v>47851</v>
      </c>
      <c r="X301" s="108">
        <v>23210</v>
      </c>
      <c r="Y301" s="108">
        <v>0</v>
      </c>
      <c r="Z301" s="108">
        <v>0</v>
      </c>
      <c r="AA301" s="108">
        <v>553</v>
      </c>
      <c r="AB301" s="108">
        <v>0</v>
      </c>
      <c r="AC301" s="108">
        <v>0</v>
      </c>
      <c r="AD301" s="108">
        <v>0</v>
      </c>
    </row>
    <row r="302" spans="1:30" ht="15" x14ac:dyDescent="0.25">
      <c r="A302">
        <v>980</v>
      </c>
      <c r="B302" s="109" t="s">
        <v>425</v>
      </c>
      <c r="C302" s="108">
        <v>64426</v>
      </c>
      <c r="D302" s="108">
        <v>0</v>
      </c>
      <c r="E302" s="108">
        <v>3497</v>
      </c>
      <c r="F302" s="108">
        <v>3089</v>
      </c>
      <c r="G302" s="108">
        <v>970</v>
      </c>
      <c r="H302" s="108">
        <v>16074</v>
      </c>
      <c r="I302" s="108">
        <v>0</v>
      </c>
      <c r="J302">
        <v>0</v>
      </c>
      <c r="K302">
        <v>0</v>
      </c>
      <c r="L302">
        <v>0</v>
      </c>
      <c r="M302" s="108">
        <v>0</v>
      </c>
      <c r="N302" s="108">
        <v>0</v>
      </c>
      <c r="O302" s="108">
        <v>0</v>
      </c>
      <c r="P302" s="108">
        <v>0</v>
      </c>
      <c r="Q302" s="108">
        <v>0</v>
      </c>
      <c r="R302" s="108">
        <v>0</v>
      </c>
      <c r="S302">
        <v>214192</v>
      </c>
      <c r="T302">
        <v>12388</v>
      </c>
      <c r="U302">
        <v>3077</v>
      </c>
      <c r="V302" s="108">
        <v>3818</v>
      </c>
      <c r="W302" s="108">
        <v>100840</v>
      </c>
      <c r="X302" s="108">
        <v>2199</v>
      </c>
      <c r="Y302" s="108">
        <v>0</v>
      </c>
      <c r="Z302" s="108">
        <v>389</v>
      </c>
      <c r="AA302" s="108">
        <v>0</v>
      </c>
      <c r="AB302" s="108">
        <v>27</v>
      </c>
      <c r="AC302" s="108">
        <v>928</v>
      </c>
      <c r="AD302" s="108">
        <v>0</v>
      </c>
    </row>
    <row r="303" spans="1:30" ht="15" x14ac:dyDescent="0.25">
      <c r="A303">
        <v>981</v>
      </c>
      <c r="B303" s="109" t="s">
        <v>426</v>
      </c>
      <c r="C303" s="108">
        <v>7066</v>
      </c>
      <c r="D303" s="108">
        <v>0</v>
      </c>
      <c r="E303" s="108">
        <v>0</v>
      </c>
      <c r="F303" s="108">
        <v>0</v>
      </c>
      <c r="G303" s="108">
        <v>0</v>
      </c>
      <c r="H303" s="108">
        <v>0</v>
      </c>
      <c r="I303" s="108">
        <v>0</v>
      </c>
      <c r="J303">
        <v>0</v>
      </c>
      <c r="K303">
        <v>0</v>
      </c>
      <c r="L303">
        <v>0</v>
      </c>
      <c r="M303" s="108">
        <v>0</v>
      </c>
      <c r="N303" s="108">
        <v>0</v>
      </c>
      <c r="O303" s="108">
        <v>0</v>
      </c>
      <c r="P303" s="108">
        <v>0</v>
      </c>
      <c r="Q303" s="108">
        <v>0</v>
      </c>
      <c r="R303" s="108">
        <v>0</v>
      </c>
      <c r="S303">
        <v>19114</v>
      </c>
      <c r="T303">
        <v>633</v>
      </c>
      <c r="U303">
        <v>0</v>
      </c>
      <c r="V303" s="108">
        <v>2</v>
      </c>
      <c r="W303" s="108">
        <v>7280</v>
      </c>
      <c r="X303" s="108">
        <v>130</v>
      </c>
      <c r="Y303" s="108">
        <v>0</v>
      </c>
      <c r="Z303" s="108">
        <v>0</v>
      </c>
      <c r="AA303" s="108">
        <v>4</v>
      </c>
      <c r="AB303" s="108">
        <v>0</v>
      </c>
      <c r="AC303" s="108">
        <v>0</v>
      </c>
      <c r="AD303" s="108">
        <v>0</v>
      </c>
    </row>
    <row r="304" spans="1:30" ht="15" x14ac:dyDescent="0.25">
      <c r="A304">
        <v>989</v>
      </c>
      <c r="B304" s="109" t="s">
        <v>427</v>
      </c>
      <c r="C304" s="108">
        <v>7250</v>
      </c>
      <c r="D304" s="108">
        <v>0</v>
      </c>
      <c r="E304" s="108">
        <v>0</v>
      </c>
      <c r="F304" s="108">
        <v>0</v>
      </c>
      <c r="G304" s="108">
        <v>79</v>
      </c>
      <c r="H304" s="108">
        <v>2893</v>
      </c>
      <c r="I304" s="108">
        <v>0</v>
      </c>
      <c r="J304">
        <v>0</v>
      </c>
      <c r="K304">
        <v>0</v>
      </c>
      <c r="L304">
        <v>0</v>
      </c>
      <c r="M304" s="108">
        <v>0</v>
      </c>
      <c r="N304" s="108">
        <v>0</v>
      </c>
      <c r="O304" s="108">
        <v>0</v>
      </c>
      <c r="P304" s="108">
        <v>0</v>
      </c>
      <c r="Q304" s="108">
        <v>0</v>
      </c>
      <c r="R304" s="108">
        <v>0</v>
      </c>
      <c r="S304">
        <v>44883</v>
      </c>
      <c r="T304">
        <v>973</v>
      </c>
      <c r="U304">
        <v>0</v>
      </c>
      <c r="V304" s="108">
        <v>499</v>
      </c>
      <c r="W304" s="108">
        <v>28162</v>
      </c>
      <c r="X304" s="108">
        <v>524</v>
      </c>
      <c r="Y304" s="108">
        <v>0</v>
      </c>
      <c r="Z304" s="108">
        <v>30</v>
      </c>
      <c r="AA304" s="108">
        <v>0</v>
      </c>
      <c r="AB304" s="108">
        <v>0</v>
      </c>
      <c r="AC304" s="108">
        <v>0</v>
      </c>
      <c r="AD304" s="108">
        <v>0</v>
      </c>
    </row>
    <row r="305" spans="1:30" ht="15" x14ac:dyDescent="0.25">
      <c r="A305">
        <v>992</v>
      </c>
      <c r="B305" s="109" t="s">
        <v>428</v>
      </c>
      <c r="C305" s="108">
        <v>25552</v>
      </c>
      <c r="D305" s="108">
        <v>0</v>
      </c>
      <c r="E305" s="108">
        <v>35</v>
      </c>
      <c r="F305" s="108">
        <v>17676</v>
      </c>
      <c r="G305" s="108">
        <v>0</v>
      </c>
      <c r="H305" s="108">
        <v>10609</v>
      </c>
      <c r="I305" s="108">
        <v>0</v>
      </c>
      <c r="J305">
        <v>0</v>
      </c>
      <c r="K305">
        <v>0</v>
      </c>
      <c r="L305">
        <v>0</v>
      </c>
      <c r="M305" s="108">
        <v>0</v>
      </c>
      <c r="N305" s="108">
        <v>0</v>
      </c>
      <c r="O305" s="108">
        <v>0</v>
      </c>
      <c r="P305" s="108">
        <v>0</v>
      </c>
      <c r="Q305" s="108">
        <v>2590</v>
      </c>
      <c r="R305" s="108">
        <v>0</v>
      </c>
      <c r="S305">
        <v>133291</v>
      </c>
      <c r="T305">
        <v>6765</v>
      </c>
      <c r="U305">
        <v>17676</v>
      </c>
      <c r="V305" s="108">
        <v>0</v>
      </c>
      <c r="W305" s="108">
        <v>75154</v>
      </c>
      <c r="X305" s="108">
        <v>2297</v>
      </c>
      <c r="Y305" s="108">
        <v>0</v>
      </c>
      <c r="Z305" s="108">
        <v>182</v>
      </c>
      <c r="AA305" s="108">
        <v>0</v>
      </c>
      <c r="AB305" s="108">
        <v>0</v>
      </c>
      <c r="AC305" s="108">
        <v>7245</v>
      </c>
      <c r="AD305" s="108">
        <v>260</v>
      </c>
    </row>
    <row r="307" spans="1:30" ht="15" x14ac:dyDescent="0.25">
      <c r="B307" s="108"/>
      <c r="C307" s="108"/>
      <c r="D307" s="108"/>
      <c r="E307" s="108"/>
      <c r="F307" s="108"/>
      <c r="G307" s="108"/>
      <c r="H307" s="108"/>
      <c r="I307" s="108"/>
      <c r="M307" s="108"/>
      <c r="N307" s="108"/>
      <c r="O307" s="108"/>
      <c r="P307" s="108"/>
      <c r="Q307" s="108"/>
      <c r="R307" s="108"/>
      <c r="V307" s="108"/>
      <c r="W307" s="108"/>
      <c r="X307" s="108"/>
      <c r="Y307" s="108"/>
      <c r="Z307" s="108"/>
      <c r="AA307" s="108"/>
      <c r="AB307" s="108"/>
      <c r="AC307" s="108"/>
      <c r="AD307" s="108"/>
    </row>
    <row r="309" spans="1:30" ht="15" x14ac:dyDescent="0.25">
      <c r="B309" s="108" t="s">
        <v>521</v>
      </c>
      <c r="C309" s="108"/>
      <c r="D309" s="108"/>
      <c r="E309" s="108"/>
      <c r="F309" s="108"/>
      <c r="G309" s="108"/>
      <c r="H309" s="108"/>
      <c r="I309" s="108"/>
      <c r="M309" s="108"/>
      <c r="N309" s="108"/>
      <c r="O309" s="108"/>
      <c r="P309" s="108"/>
      <c r="Q309" s="108"/>
      <c r="R309" s="108"/>
      <c r="V309" s="108"/>
      <c r="W309" s="108"/>
      <c r="X309" s="108"/>
      <c r="Y309" s="108"/>
      <c r="Z309" s="108"/>
      <c r="AA309" s="108"/>
      <c r="AB309" s="108"/>
      <c r="AC309" s="108"/>
      <c r="AD309" s="108"/>
    </row>
    <row r="311" spans="1:30" ht="15" x14ac:dyDescent="0.25">
      <c r="B311" s="108" t="s">
        <v>522</v>
      </c>
      <c r="C311" s="108"/>
      <c r="D311" s="108"/>
      <c r="E311" s="108"/>
      <c r="F311" s="108"/>
      <c r="G311" s="108"/>
      <c r="H311" s="108"/>
      <c r="I311" s="108"/>
      <c r="M311" s="108"/>
      <c r="N311" s="108"/>
      <c r="O311" s="108"/>
      <c r="P311" s="108"/>
      <c r="Q311" s="108"/>
      <c r="R311" s="108"/>
      <c r="V311" s="108"/>
      <c r="W311" s="108"/>
      <c r="X311" s="108"/>
      <c r="Y311" s="108"/>
      <c r="Z311" s="108"/>
      <c r="AA311" s="108"/>
      <c r="AB311" s="108"/>
      <c r="AC311" s="108"/>
      <c r="AD311" s="108"/>
    </row>
    <row r="313" spans="1:30" ht="15" x14ac:dyDescent="0.25">
      <c r="B313" s="108" t="s">
        <v>522</v>
      </c>
      <c r="C313" s="108"/>
      <c r="D313" s="108"/>
      <c r="E313" s="108"/>
      <c r="F313" s="108"/>
      <c r="G313" s="108"/>
      <c r="H313" s="108"/>
      <c r="I313" s="108"/>
      <c r="M313" s="108"/>
      <c r="N313" s="108"/>
      <c r="O313" s="108"/>
      <c r="P313" s="108"/>
      <c r="Q313" s="108"/>
      <c r="R313" s="108"/>
      <c r="V313" s="108"/>
      <c r="W313" s="108"/>
      <c r="X313" s="108"/>
      <c r="Y313" s="108"/>
      <c r="Z313" s="108"/>
      <c r="AA313" s="108"/>
      <c r="AB313" s="108"/>
      <c r="AC313" s="108"/>
      <c r="AD313" s="108"/>
    </row>
    <row r="314" spans="1:30" ht="15" x14ac:dyDescent="0.25">
      <c r="B314" s="108" t="s">
        <v>523</v>
      </c>
      <c r="C314" s="108"/>
      <c r="D314" s="108"/>
      <c r="E314" s="108"/>
      <c r="F314" s="108"/>
      <c r="G314" s="108"/>
      <c r="H314" s="108"/>
      <c r="I314" s="108"/>
      <c r="M314" s="108"/>
      <c r="N314" s="108"/>
      <c r="O314" s="108"/>
      <c r="P314" s="108"/>
      <c r="Q314" s="108"/>
      <c r="R314" s="108"/>
      <c r="V314" s="108"/>
      <c r="W314" s="108"/>
      <c r="X314" s="108"/>
      <c r="Y314" s="108"/>
      <c r="Z314" s="108"/>
      <c r="AA314" s="108"/>
      <c r="AB314" s="108"/>
      <c r="AC314" s="108"/>
      <c r="AD314" s="108"/>
    </row>
    <row r="315" spans="1:30" ht="15" x14ac:dyDescent="0.25">
      <c r="B315" s="108" t="s">
        <v>524</v>
      </c>
      <c r="C315" s="108"/>
      <c r="D315" s="108"/>
      <c r="E315" s="108"/>
      <c r="F315" s="108"/>
      <c r="G315" s="108"/>
      <c r="H315" s="108"/>
      <c r="I315" s="108"/>
      <c r="M315" s="108"/>
      <c r="N315" s="108"/>
      <c r="O315" s="108"/>
      <c r="P315" s="108"/>
      <c r="Q315" s="108"/>
      <c r="R315" s="108"/>
      <c r="V315" s="108"/>
      <c r="W315" s="108"/>
      <c r="X315" s="108"/>
      <c r="Y315" s="108"/>
      <c r="Z315" s="108"/>
      <c r="AA315" s="108"/>
      <c r="AB315" s="108"/>
      <c r="AC315" s="108"/>
      <c r="AD315" s="108"/>
    </row>
    <row r="317" spans="1:30" ht="15" x14ac:dyDescent="0.25">
      <c r="B317" s="108"/>
      <c r="C317" s="108"/>
      <c r="D317" s="108"/>
      <c r="E317" s="108"/>
      <c r="F317" s="108"/>
      <c r="G317" s="108"/>
      <c r="H317" s="108"/>
      <c r="I317" s="108"/>
      <c r="M317" s="108"/>
      <c r="N317" s="108"/>
      <c r="O317" s="108"/>
      <c r="P317" s="108"/>
      <c r="Q317" s="108"/>
      <c r="R317" s="108"/>
      <c r="V317" s="108"/>
      <c r="W317" s="108"/>
      <c r="X317" s="108"/>
      <c r="Y317" s="108"/>
      <c r="Z317" s="108"/>
      <c r="AA317" s="108"/>
      <c r="AB317" s="108"/>
      <c r="AC317" s="108"/>
      <c r="AD317" s="108"/>
    </row>
    <row r="319" spans="1:30" ht="15" x14ac:dyDescent="0.25">
      <c r="B319" s="108" t="s">
        <v>525</v>
      </c>
      <c r="C319" s="108"/>
      <c r="D319" s="108"/>
      <c r="E319" s="108"/>
      <c r="F319" s="108"/>
      <c r="G319" s="108"/>
      <c r="H319" s="108"/>
      <c r="I319" s="108"/>
      <c r="M319" s="108"/>
      <c r="N319" s="108"/>
      <c r="O319" s="108"/>
      <c r="P319" s="108"/>
      <c r="Q319" s="108"/>
      <c r="R319" s="108"/>
      <c r="V319" s="108"/>
      <c r="W319" s="108"/>
      <c r="X319" s="108"/>
      <c r="Y319" s="108"/>
      <c r="Z319" s="108"/>
      <c r="AA319" s="108"/>
      <c r="AB319" s="108"/>
      <c r="AC319" s="108"/>
      <c r="AD319" s="108"/>
    </row>
    <row r="328" spans="2:2" ht="15" x14ac:dyDescent="0.25">
      <c r="B328" s="108" t="s">
        <v>526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ul4"/>
  <dimension ref="B1:BI29"/>
  <sheetViews>
    <sheetView zoomScale="90" zoomScaleNormal="90" workbookViewId="0">
      <selection activeCell="S31" sqref="S31"/>
    </sheetView>
  </sheetViews>
  <sheetFormatPr defaultRowHeight="12.75" x14ac:dyDescent="0.2"/>
  <cols>
    <col min="2" max="2" width="10.85546875" customWidth="1"/>
    <col min="3" max="3" width="8.28515625" customWidth="1"/>
    <col min="4" max="4" width="12.28515625" customWidth="1"/>
    <col min="5" max="5" width="11.7109375" customWidth="1"/>
    <col min="6" max="6" width="8.85546875" customWidth="1"/>
    <col min="7" max="7" width="9.5703125" customWidth="1"/>
    <col min="11" max="11" width="12.42578125" customWidth="1"/>
    <col min="19" max="19" width="19" customWidth="1"/>
    <col min="20" max="20" width="12.7109375" customWidth="1"/>
    <col min="21" max="21" width="13.7109375" customWidth="1"/>
    <col min="22" max="22" width="9.7109375" customWidth="1"/>
    <col min="23" max="23" width="9" customWidth="1"/>
    <col min="24" max="24" width="8.85546875" customWidth="1"/>
    <col min="25" max="25" width="10.7109375" customWidth="1"/>
    <col min="33" max="33" width="11.5703125" customWidth="1"/>
    <col min="34" max="34" width="10.28515625" customWidth="1"/>
    <col min="41" max="41" width="16.7109375" customWidth="1"/>
    <col min="42" max="42" width="18.7109375" customWidth="1"/>
    <col min="43" max="43" width="20.140625" customWidth="1"/>
    <col min="44" max="44" width="22.140625" customWidth="1"/>
    <col min="45" max="45" width="27" customWidth="1"/>
    <col min="46" max="46" width="18.42578125" customWidth="1"/>
    <col min="47" max="47" width="16.140625" customWidth="1"/>
    <col min="48" max="48" width="23.28515625" customWidth="1"/>
    <col min="49" max="49" width="16.28515625" customWidth="1"/>
    <col min="50" max="50" width="19.5703125" customWidth="1"/>
    <col min="51" max="51" width="23.7109375" customWidth="1"/>
    <col min="52" max="52" width="18.28515625" customWidth="1"/>
    <col min="53" max="53" width="17.5703125" customWidth="1"/>
    <col min="54" max="54" width="19.85546875" customWidth="1"/>
    <col min="55" max="55" width="18.140625" customWidth="1"/>
    <col min="56" max="56" width="17.140625" customWidth="1"/>
    <col min="57" max="57" width="15.5703125" customWidth="1"/>
    <col min="58" max="58" width="10.28515625" customWidth="1"/>
    <col min="59" max="59" width="17.42578125" customWidth="1"/>
    <col min="60" max="60" width="17.28515625" customWidth="1"/>
    <col min="61" max="61" width="19.7109375" customWidth="1"/>
  </cols>
  <sheetData>
    <row r="1" spans="2:61" x14ac:dyDescent="0.2">
      <c r="B1" s="99" t="s">
        <v>511</v>
      </c>
    </row>
    <row r="2" spans="2:61" x14ac:dyDescent="0.2">
      <c r="B2" s="100" t="s">
        <v>508</v>
      </c>
    </row>
    <row r="3" spans="2:61" x14ac:dyDescent="0.2">
      <c r="B3" s="3" t="str">
        <f>"Vanha " &amp;Tuloslaskelma!A8</f>
        <v>Vanha Alajärvi</v>
      </c>
      <c r="I3" s="3" t="str">
        <f>"Uusi " &amp;Tuloslaskelma!$A$8&amp;" vuonna 2023"</f>
        <v>Uusi Alajärvi vuonna 2023</v>
      </c>
      <c r="J3" s="3"/>
      <c r="K3" s="3"/>
      <c r="L3" s="3"/>
      <c r="M3" s="3"/>
      <c r="N3" s="3"/>
      <c r="O3" s="3"/>
      <c r="P3" s="3"/>
      <c r="Q3" s="3" t="str">
        <f>"Uusi " &amp;Tuloslaskelma!$A$8&amp;" vuonna 2024"</f>
        <v>Uusi Alajärvi vuonna 2024</v>
      </c>
      <c r="R3" s="3"/>
      <c r="S3" s="3"/>
      <c r="T3" s="3"/>
      <c r="U3" s="3"/>
      <c r="V3" s="3"/>
      <c r="W3" s="3" t="str">
        <f>"Uusi " &amp;Tuloslaskelma!$A$8&amp;" vuonna 2025"</f>
        <v>Uusi Alajärvi vuonna 2025</v>
      </c>
      <c r="X3" s="3"/>
      <c r="Y3" s="3"/>
      <c r="Z3" s="3"/>
      <c r="AA3" s="3"/>
      <c r="AB3" s="3"/>
      <c r="AC3" s="3"/>
      <c r="AD3" s="3"/>
      <c r="AE3" s="3" t="str">
        <f>"Uusi " &amp;Tuloslaskelma!$A$8&amp;" vuonna 2026"</f>
        <v>Uusi Alajärvi vuonna 2026</v>
      </c>
      <c r="AF3" s="3"/>
      <c r="AG3" s="3"/>
      <c r="AH3" s="3"/>
      <c r="AI3" s="3"/>
      <c r="AJ3" s="3"/>
      <c r="AK3" s="3"/>
      <c r="AL3" s="3"/>
      <c r="AM3" s="3" t="str">
        <f>"Uusi " &amp;Tuloslaskelma!$A$8&amp;" vuonna 2027"</f>
        <v>Uusi Alajärvi vuonna 2027</v>
      </c>
      <c r="AU3">
        <v>2023</v>
      </c>
      <c r="AX3">
        <v>2024</v>
      </c>
      <c r="BA3">
        <v>2025</v>
      </c>
      <c r="BD3">
        <v>2026</v>
      </c>
      <c r="BG3">
        <v>2027</v>
      </c>
    </row>
    <row r="5" spans="2:61" x14ac:dyDescent="0.2">
      <c r="AR5" s="96"/>
      <c r="AS5" s="96" t="str">
        <f>"Toimintakate+poistot "&amp;IF(AS11="","","+rahoituserät(netto) ")&amp;IF(AS13&gt;1000000,ROUND(AS13/1000000,1)&amp;" mrd.€",ROUND(AS13/1000,0)&amp;" milj. €")</f>
        <v>Toimintakate+poistot +rahoituserät(netto) 70 milj. €</v>
      </c>
      <c r="AT5" s="96" t="str">
        <f>"Rahoitus " &amp;IF(AS13&gt;1000000,ROUND(AT13/1000000,1)&amp;" mrd.€",ROUND(AT13/1000,0)&amp;" milj. €")</f>
        <v>Rahoitus 72 milj. €</v>
      </c>
      <c r="AU5" s="96"/>
      <c r="AV5" s="96" t="str">
        <f>"Toimintakate+poistot"&amp;IF(AV11="","","+rahoituser.(netto) ")&amp;" "&amp;IF(AV10="","","+vos(neg.) ") &amp;IF(AV13&gt;1000000,ROUND(AV13/1000000,1)&amp;" mrd.€",ROUND(AV13/1000,0)&amp;" milj. €")</f>
        <v>Toimintakate+poistot+rahoituser.(netto)  27 milj. €</v>
      </c>
      <c r="AW5" s="96" t="str">
        <f>"Rahoitus " &amp;IF(AV13&gt;1000000,ROUND(AW13/1000000,1)&amp;" mrd.€",ROUND(AW13/1000,0)&amp;" milj. €")</f>
        <v>Rahoitus 31 milj. €</v>
      </c>
      <c r="AX5" s="96"/>
      <c r="AY5" s="96" t="str">
        <f>"Toimintakate+poistot"&amp;IF(AY11="","","+rahoituser.(netto) ")&amp;" "&amp;IF(AY10="","","+vos(neg.) ") &amp;IF(AY13&gt;1000000,ROUND(AY13/1000000,1)&amp;" mrd.€",ROUND(AY13/1000,0)&amp;" milj. €")</f>
        <v>Toimintakate+poistot+rahoituser.(netto)  27 milj. €</v>
      </c>
      <c r="AZ5" s="96" t="str">
        <f>"Rahoitus " &amp;IF(AY13&gt;1000000,ROUND(AZ13/1000000,1)&amp;" mrd.€",ROUND(AZ13/1000,0)&amp;" milj. €")</f>
        <v>Rahoitus 28 milj. €</v>
      </c>
      <c r="BA5" s="96"/>
      <c r="BB5" s="96" t="str">
        <f>"Toimintakate+poistot"&amp;IF(BB11="","","+rahoituser.(netto) ")&amp;" "&amp;IF(BB10="","","+vos(neg.) ") &amp;IF(BB13&gt;1000000,ROUND(BB13/1000000,1)&amp;" mrd.€",ROUND(BB13/1000,0)&amp;" milj. €")</f>
        <v>Toimintakate+poistot+rahoituser.(netto)  27 milj. €</v>
      </c>
      <c r="BC5" s="96" t="str">
        <f>"Rahoitus " &amp;IF(BB13&gt;1000000,ROUND(BC13/1000000,1)&amp;" mrd.€",ROUND(BC13/1000,0)&amp;" milj. €")</f>
        <v>Rahoitus 29 milj. €</v>
      </c>
      <c r="BD5" s="96"/>
      <c r="BE5" s="96" t="str">
        <f>"Toimintakate+poistot"&amp;IF(BE11="","","+rahoituser.(netto) ")&amp;" "&amp;IF(BE10="","","+vos(neg.) ") &amp;IF(BE13&gt;1000000,ROUND(BE13/1000000,1)&amp;" mrd.€",ROUND(BE13/1000,0)&amp;" milj. €")</f>
        <v>Toimintakate+poistot+rahoituser.(netto)  27 milj. €</v>
      </c>
      <c r="BF5" s="96" t="str">
        <f>"Rahoitus " &amp;IF(BE13&gt;1000000,ROUND(BF13/1000000,1)&amp;" mrd.€",ROUND(BF13/1000,0)&amp;" milj. €")</f>
        <v>Rahoitus 29 milj. €</v>
      </c>
      <c r="BG5" s="96"/>
      <c r="BH5" s="96" t="str">
        <f>"Toimintakate+poistot"&amp;IF(BH11="","","+rahoituser.(netto) ")&amp;" "&amp;IF(BH10="","","+vos(neg.) ") &amp;IF(BH13&gt;1000000,ROUND(BH13/1000000,1)&amp;" mrd.€",ROUND(BH13/1000,0)&amp;" milj. €")</f>
        <v>Toimintakate+poistot+rahoituser.(netto)  27 milj. €</v>
      </c>
      <c r="BI5" s="96" t="str">
        <f>"Rahoitus " &amp;IF(BH13&gt;1000000,ROUND(BI13/1000000,1)&amp;" mrd.€",ROUND(BI13/1000,0)&amp;" milj. €")</f>
        <v>Rahoitus 29 milj. €</v>
      </c>
    </row>
    <row r="6" spans="2:61" x14ac:dyDescent="0.2">
      <c r="AR6" s="96" t="s">
        <v>507</v>
      </c>
      <c r="AS6" s="97">
        <f>Tuloslaskelma!B29*(-1)</f>
        <v>69403.727047360939</v>
      </c>
      <c r="AU6" s="96" t="s">
        <v>507</v>
      </c>
      <c r="AV6" s="97">
        <f>Tuloslaskelma!D29*(-1)</f>
        <v>26273.622665702824</v>
      </c>
      <c r="AX6" s="96" t="s">
        <v>507</v>
      </c>
      <c r="AY6" s="97">
        <f>Tuloslaskelma!E29*(-1)</f>
        <v>26273.622665702824</v>
      </c>
      <c r="BA6" s="96" t="s">
        <v>507</v>
      </c>
      <c r="BB6" s="97">
        <f>Tuloslaskelma!F29*(-1)</f>
        <v>26273.622665702824</v>
      </c>
      <c r="BD6" s="96" t="s">
        <v>507</v>
      </c>
      <c r="BE6" s="97">
        <f>Tuloslaskelma!G29*(-1)</f>
        <v>26273.622665702824</v>
      </c>
      <c r="BG6" s="96" t="s">
        <v>507</v>
      </c>
      <c r="BH6" s="97">
        <f>Tuloslaskelma!H29*(-1)</f>
        <v>26273.622665702824</v>
      </c>
    </row>
    <row r="7" spans="2:61" x14ac:dyDescent="0.2">
      <c r="AR7" s="96" t="str">
        <f>IF(Tuloslaskelma!B47=0,"verot yhteensä ","kunnallisvero ")&amp;ROUND(AT7/AT13*100,0)&amp;"%"</f>
        <v>kunnallisvero 38%</v>
      </c>
      <c r="AT7" s="97">
        <f>IF(Tuloslaskelma!B47=0,Tuloslaskelma!B46,Tuloslaskelma!B47)</f>
        <v>27194.755138970093</v>
      </c>
      <c r="AU7" s="96" t="str">
        <f>IF(Tuloslaskelma!D47=0,"verot yhteensä ","kunnallisvero ")&amp;ROUND(AW7/AW13*100,0)&amp;"%"</f>
        <v>kunnallisvero 39%</v>
      </c>
      <c r="AW7" s="97">
        <f>IF(Tuloslaskelma!D47=0,Tuloslaskelma!D46,Tuloslaskelma!D47)</f>
        <v>12041.866224489415</v>
      </c>
      <c r="AX7" s="96" t="str">
        <f>IF(Tuloslaskelma!E47=0,"verot yhteensä ","kunnallisvero ")&amp;ROUND(AZ7/AZ13*100,0)&amp;"%"</f>
        <v>kunnallisvero 43%</v>
      </c>
      <c r="AZ7" s="97">
        <f>IF(Tuloslaskelma!E47=0,Tuloslaskelma!E46,Tuloslaskelma!E47)</f>
        <v>12092.819823804575</v>
      </c>
      <c r="BA7" s="96" t="str">
        <f>IF(Tuloslaskelma!F47=0,"verot yhteensä ","kunnallisvero ")&amp;ROUND(BC7/BC13*100,0)&amp;"%"</f>
        <v>kunnallisvero 42%</v>
      </c>
      <c r="BC7" s="97">
        <f>IF(Tuloslaskelma!F47=0,Tuloslaskelma!F46,Tuloslaskelma!F47)</f>
        <v>12092.819823804575</v>
      </c>
      <c r="BD7" s="96" t="str">
        <f>IF(Tuloslaskelma!G47=0,"verot yhteensä ","kunnallisvero ")&amp;ROUND(BF7/BF13*100,0)&amp;"%"</f>
        <v>kunnallisvero 42%</v>
      </c>
      <c r="BF7" s="97">
        <f>IF(Tuloslaskelma!G47=0,Tuloslaskelma!G46,Tuloslaskelma!G47)</f>
        <v>12092.819823804575</v>
      </c>
      <c r="BG7" s="96" t="str">
        <f>IF(Tuloslaskelma!H47=0,"verot yhteensä ","kunnallisvero ")&amp;ROUND(BI7/BI13*100,0)&amp;"%"</f>
        <v>kunnallisvero 42%</v>
      </c>
      <c r="BI7" s="97">
        <f>IF(Tuloslaskelma!H47=0,Tuloslaskelma!H46,Tuloslaskelma!H47)</f>
        <v>12092.819823804575</v>
      </c>
    </row>
    <row r="8" spans="2:61" x14ac:dyDescent="0.2">
      <c r="AR8" s="96" t="str">
        <f>"yhteisövero " &amp; ROUND(AT8/AT13*100,0) &amp; "%"</f>
        <v>yhteisövero 4%</v>
      </c>
      <c r="AT8" s="97">
        <f>Tuloslaskelma!B48</f>
        <v>2807.2363200000004</v>
      </c>
      <c r="AU8" s="96" t="str">
        <f>"yhteisövero " &amp; ROUND(AW8/AW13*100,0) &amp; "%"</f>
        <v>yhteisövero 6%</v>
      </c>
      <c r="AW8" s="97">
        <f>Tuloslaskelma!D48</f>
        <v>1724.4451680000002</v>
      </c>
      <c r="AX8" s="96" t="str">
        <f>"yhteisövero " &amp; ROUND(AZ8/AZ13*100,0) &amp; "%"</f>
        <v>yhteisövero 7%</v>
      </c>
      <c r="AZ8" s="97">
        <f>Tuloslaskelma!E48</f>
        <v>1871.4908800000003</v>
      </c>
      <c r="BA8" s="96" t="str">
        <f>"yhteisövero " &amp; ROUND(BC8/BC13*100,0) &amp; "%"</f>
        <v>yhteisövero 7%</v>
      </c>
      <c r="BC8" s="97">
        <f>Tuloslaskelma!F48</f>
        <v>1871.4908800000003</v>
      </c>
      <c r="BD8" s="96" t="str">
        <f>"yhteisövero " &amp; ROUND(BF8/BF13*100,0) &amp; "%"</f>
        <v>yhteisövero 6%</v>
      </c>
      <c r="BF8" s="97">
        <f>Tuloslaskelma!G48</f>
        <v>1871.4908800000003</v>
      </c>
      <c r="BG8" s="96" t="str">
        <f>"yhteisövero " &amp; ROUND(BI8/BI13*100,0) &amp; "%"</f>
        <v>yhteisövero 6%</v>
      </c>
      <c r="BI8" s="97">
        <f>Tuloslaskelma!H48</f>
        <v>1871.4908800000003</v>
      </c>
    </row>
    <row r="9" spans="2:61" x14ac:dyDescent="0.2">
      <c r="AR9" s="96" t="str">
        <f>"kiinteistövero " &amp; ROUND(AT9/AT13*100,0) &amp; "%"</f>
        <v>kiinteistövero 3%</v>
      </c>
      <c r="AT9" s="97">
        <f>Tuloslaskelma!B49</f>
        <v>2278.2456457000003</v>
      </c>
      <c r="AU9" s="96" t="str">
        <f>"kiinteistövero " &amp; ROUND(AW9/AW13*100,0) &amp; "%"</f>
        <v>kiinteistövero 7%</v>
      </c>
      <c r="AW9" s="97">
        <f>Tuloslaskelma!D49</f>
        <v>2278.2456457000003</v>
      </c>
      <c r="AX9" s="96" t="str">
        <f>"kiinteistövero " &amp; ROUND(AZ9/AZ13*100,0) &amp; "%"</f>
        <v>kiinteistövero 8%</v>
      </c>
      <c r="AZ9" s="97">
        <f>Tuloslaskelma!E49</f>
        <v>2278.2456457000003</v>
      </c>
      <c r="BA9" s="96" t="str">
        <f>"kiinteistövero " &amp; ROUND(BC9/BC13*100,0) &amp; "%"</f>
        <v>kiinteistövero 8%</v>
      </c>
      <c r="BC9" s="97">
        <f>Tuloslaskelma!F49</f>
        <v>2278.2456457000003</v>
      </c>
      <c r="BD9" s="96" t="str">
        <f>"kiinteistövero " &amp; ROUND(BF9/BF13*100,0) &amp; "%"</f>
        <v>kiinteistövero 8%</v>
      </c>
      <c r="BF9" s="97">
        <f>Tuloslaskelma!G49</f>
        <v>2278.2456457000003</v>
      </c>
      <c r="BG9" s="96" t="str">
        <f>"kiinteistövero " &amp; ROUND(BI9/BI13*100,0) &amp; "%"</f>
        <v>kiinteistövero 8%</v>
      </c>
      <c r="BI9" s="97">
        <f>Tuloslaskelma!H49</f>
        <v>2278.2456457000003</v>
      </c>
    </row>
    <row r="10" spans="2:61" x14ac:dyDescent="0.2">
      <c r="AR10" s="96" t="str">
        <f>"vos " &amp; ROUND(AT10/AT13*100,0) &amp; "%"</f>
        <v>vos 55%</v>
      </c>
      <c r="AS10" t="str">
        <f>IF(Tuloslaskelma!B51&lt;0,Tuloslaskelma!B51,"")</f>
        <v/>
      </c>
      <c r="AT10" s="97">
        <f>IF(Tuloslaskelma!B51&gt;0,Tuloslaskelma!B51,"")</f>
        <v>39223.963193778771</v>
      </c>
      <c r="AU10" s="96" t="str">
        <f>IF(AW10="","","vos " &amp; ROUND(AW10/AW13*100,0) &amp; "%")</f>
        <v>vos 48%</v>
      </c>
      <c r="AV10" s="102" t="str">
        <f>IF(Tuloslaskelma!D51&lt;0,Tuloslaskelma!D51*(-1),"")</f>
        <v/>
      </c>
      <c r="AW10" s="97">
        <f>IF(Tuloslaskelma!D51&gt;0,Tuloslaskelma!D51,"")</f>
        <v>14576.483097033459</v>
      </c>
      <c r="AX10" s="96" t="str">
        <f>IF(AZ10="","","vos " &amp; ROUND(AZ10/AZ13*100,0) &amp; "%")</f>
        <v>vos 43%</v>
      </c>
      <c r="AY10" s="102" t="str">
        <f>IF(Tuloslaskelma!E51&lt;0,Tuloslaskelma!E51*(-1),"")</f>
        <v/>
      </c>
      <c r="AZ10" s="97">
        <f>IF(Tuloslaskelma!E51&gt;0,Tuloslaskelma!E51,"")</f>
        <v>12204.816764402087</v>
      </c>
      <c r="BA10" s="96" t="str">
        <f>IF(BC10="","","vos " &amp; ROUND(BC10/BC13*100,0) &amp; "%")</f>
        <v>vos 43%</v>
      </c>
      <c r="BB10" s="102" t="str">
        <f>IF(Tuloslaskelma!F51&lt;0,Tuloslaskelma!F51*(-1),"")</f>
        <v/>
      </c>
      <c r="BC10" s="97">
        <f>IF(Tuloslaskelma!F51&gt;0,Tuloslaskelma!F51,"")</f>
        <v>12334.345189419511</v>
      </c>
      <c r="BD10" s="96" t="str">
        <f>IF(BF10="","","vos " &amp; ROUND(BF10/BF13*100,0) &amp; "%")</f>
        <v>vos 44%</v>
      </c>
      <c r="BE10" s="102" t="str">
        <f>IF(Tuloslaskelma!G51&lt;0,Tuloslaskelma!G51*(-1),"")</f>
        <v/>
      </c>
      <c r="BF10" s="97">
        <f>IF(Tuloslaskelma!G51&gt;0,Tuloslaskelma!G51,"")</f>
        <v>12556.037874164949</v>
      </c>
      <c r="BG10" s="96" t="str">
        <f>IF(BI10="","","vos " &amp; ROUND(BI10/BI13*100,0) &amp; "%")</f>
        <v>vos 44%</v>
      </c>
      <c r="BH10" s="102" t="str">
        <f>IF(Tuloslaskelma!H51&lt;0,Tuloslaskelma!H51*(-1),"")</f>
        <v/>
      </c>
      <c r="BI10" s="97">
        <f>IF(Tuloslaskelma!H51&gt;0,Tuloslaskelma!H51,"")</f>
        <v>12686.613483816112</v>
      </c>
    </row>
    <row r="11" spans="2:61" x14ac:dyDescent="0.2">
      <c r="AR11" s="96" t="str">
        <f>IF(AT11="","","rahoituserät (netto) " &amp; ROUND(AT11/AT13*100,0) &amp; "%")</f>
        <v/>
      </c>
      <c r="AS11" s="97">
        <f>IF(Tuloslaskelma!B60&lt;0,Tuloslaskelma!B60*(-1),"")</f>
        <v>430</v>
      </c>
      <c r="AT11" s="97" t="str">
        <f>IF(Tuloslaskelma!B60&gt;0,Tuloslaskelma!B60,"")</f>
        <v/>
      </c>
      <c r="AU11" s="96" t="str">
        <f>IF(AW11="","","rahoituserät (netto) " &amp; ROUND(AW11/AW13*100,0) &amp; "%")</f>
        <v/>
      </c>
      <c r="AV11" s="97">
        <f>IF(Tuloslaskelma!D60&lt;0,Tuloslaskelma!D60*(-1),"")</f>
        <v>430</v>
      </c>
      <c r="AW11" s="97" t="str">
        <f>IF(Tuloslaskelma!D60&gt;0,Tuloslaskelma!D60,"")</f>
        <v/>
      </c>
      <c r="AX11" s="96" t="str">
        <f>IF(AZ11="","","rahoituserät (netto) " &amp; ROUND(AZ11/AZ13*100,0) &amp; "%")</f>
        <v/>
      </c>
      <c r="AY11" s="97">
        <f>IF(Tuloslaskelma!E60&lt;0,Tuloslaskelma!E60*(-1),"")</f>
        <v>430</v>
      </c>
      <c r="AZ11" s="97" t="str">
        <f>IF(Tuloslaskelma!E60&gt;0,Tuloslaskelma!E60,"")</f>
        <v/>
      </c>
      <c r="BA11" s="96" t="str">
        <f>IF(BC11="","","rahoituserät (netto) " &amp; ROUND(BC11/BC13*100,0) &amp; "%")</f>
        <v/>
      </c>
      <c r="BB11" s="97">
        <f>IF(Tuloslaskelma!F60&lt;0,Tuloslaskelma!F60*(-1),"")</f>
        <v>430</v>
      </c>
      <c r="BC11" s="97" t="str">
        <f>IF(Tuloslaskelma!F60&gt;0,Tuloslaskelma!F60,"")</f>
        <v/>
      </c>
      <c r="BD11" s="96" t="str">
        <f>IF(BF11="","","rahoituserät (netto) " &amp; ROUND(BF11/BF13*100,0) &amp; "%")</f>
        <v/>
      </c>
      <c r="BE11" s="97">
        <f>IF(Tuloslaskelma!G60&lt;0,Tuloslaskelma!G60*(-1),"")</f>
        <v>430</v>
      </c>
      <c r="BF11" s="97" t="str">
        <f>IF(Tuloslaskelma!G60&gt;0,Tuloslaskelma!G60,"")</f>
        <v/>
      </c>
      <c r="BG11" s="96" t="str">
        <f>IF(BI11="","","rahoituserät (netto) " &amp; ROUND(BI11/BI13*100,0) &amp; "%")</f>
        <v/>
      </c>
      <c r="BH11" s="97">
        <f>IF(Tuloslaskelma!H60&lt;0,Tuloslaskelma!H60*(-1),"")</f>
        <v>430</v>
      </c>
      <c r="BI11" s="97" t="str">
        <f>IF(Tuloslaskelma!H60&gt;0,Tuloslaskelma!H60,"")</f>
        <v/>
      </c>
    </row>
    <row r="12" spans="2:61" x14ac:dyDescent="0.2">
      <c r="AR12" s="104" t="s">
        <v>510</v>
      </c>
      <c r="AS12" s="97" t="str">
        <f>IF(Tuloslaskelma!B69&lt;0,Tuloslaskelma!B69*(-1),"")</f>
        <v/>
      </c>
      <c r="AU12" s="104" t="s">
        <v>510</v>
      </c>
      <c r="AV12" s="97" t="str">
        <f>IF(Tuloslaskelma!D69&lt;0,Tuloslaskelma!D69*(-1),"")</f>
        <v/>
      </c>
      <c r="AX12" s="104" t="s">
        <v>510</v>
      </c>
      <c r="AY12" s="97" t="str">
        <f>IF(Tuloslaskelma!E69&lt;0,Tuloslaskelma!E69*(-1),"")</f>
        <v/>
      </c>
      <c r="BA12" s="104" t="s">
        <v>510</v>
      </c>
      <c r="BB12" s="97" t="str">
        <f>IF(Tuloslaskelma!F69&lt;0,Tuloslaskelma!F69*(-1),"")</f>
        <v/>
      </c>
      <c r="BD12" s="104" t="s">
        <v>510</v>
      </c>
      <c r="BE12" s="97" t="str">
        <f>IF(Tuloslaskelma!G69&lt;0,Tuloslaskelma!G69*(-1),"")</f>
        <v/>
      </c>
      <c r="BG12" s="104" t="s">
        <v>510</v>
      </c>
      <c r="BH12" s="97" t="str">
        <f>IF(Tuloslaskelma!H69&lt;0,Tuloslaskelma!H69*(-1),"")</f>
        <v/>
      </c>
    </row>
    <row r="13" spans="2:61" x14ac:dyDescent="0.2">
      <c r="AR13" s="96" t="s">
        <v>22</v>
      </c>
      <c r="AS13" s="98">
        <f>SUM(AS6:AS12)</f>
        <v>69833.727047360939</v>
      </c>
      <c r="AT13" s="98">
        <f>SUM(AT7:AT11)</f>
        <v>71504.200298448864</v>
      </c>
      <c r="AU13" s="96" t="s">
        <v>22</v>
      </c>
      <c r="AV13" s="98">
        <f>SUM(AV6:AV12)</f>
        <v>26703.622665702824</v>
      </c>
      <c r="AW13" s="98">
        <f>SUM(AW7:AW11)</f>
        <v>30621.040135222873</v>
      </c>
      <c r="AX13" s="96" t="s">
        <v>22</v>
      </c>
      <c r="AY13" s="98">
        <f>SUM(AY6:AY12)</f>
        <v>26703.622665702824</v>
      </c>
      <c r="AZ13" s="98">
        <f>SUM(AZ7:AZ11)</f>
        <v>28447.373113906662</v>
      </c>
      <c r="BA13" s="96" t="s">
        <v>22</v>
      </c>
      <c r="BB13" s="98">
        <f>SUM(BB6:BB12)</f>
        <v>26703.622665702824</v>
      </c>
      <c r="BC13" s="98">
        <f>SUM(BC7:BC11)</f>
        <v>28576.901538924089</v>
      </c>
      <c r="BD13" s="96" t="s">
        <v>22</v>
      </c>
      <c r="BE13" s="98">
        <f>SUM(BE6:BE12)</f>
        <v>26703.622665702824</v>
      </c>
      <c r="BF13" s="98">
        <f>SUM(BF7:BF11)</f>
        <v>28798.594223669526</v>
      </c>
      <c r="BG13" s="96" t="s">
        <v>22</v>
      </c>
      <c r="BH13" s="98">
        <f>SUM(BH6:BH12)</f>
        <v>26703.622665702824</v>
      </c>
      <c r="BI13" s="98">
        <f>SUM(BI7:BI11)</f>
        <v>28929.169833320688</v>
      </c>
    </row>
    <row r="14" spans="2:61" x14ac:dyDescent="0.2">
      <c r="AT14" s="3"/>
      <c r="AU14" s="101" t="s">
        <v>509</v>
      </c>
      <c r="AV14" s="97">
        <f>AS13-AV13</f>
        <v>43130.104381658115</v>
      </c>
      <c r="AW14" s="97">
        <f>AT13-AW13</f>
        <v>40883.160163225992</v>
      </c>
      <c r="AX14" s="101" t="s">
        <v>509</v>
      </c>
      <c r="AY14" s="97">
        <f>$AS$13-AY13</f>
        <v>43130.104381658115</v>
      </c>
      <c r="AZ14" s="97">
        <f>$AT$13-AZ13</f>
        <v>43056.827184542199</v>
      </c>
      <c r="BA14" s="101" t="s">
        <v>509</v>
      </c>
      <c r="BB14" s="97">
        <f>$AS$13-BB13</f>
        <v>43130.104381658115</v>
      </c>
      <c r="BC14" s="97">
        <f>$AT$13-BC13</f>
        <v>42927.298759524776</v>
      </c>
      <c r="BD14" s="101" t="s">
        <v>509</v>
      </c>
      <c r="BE14" s="97">
        <f>$AS$13-BE13</f>
        <v>43130.104381658115</v>
      </c>
      <c r="BF14" s="97">
        <f>$AT$13-BF13</f>
        <v>42705.606074779338</v>
      </c>
      <c r="BG14" s="101" t="s">
        <v>509</v>
      </c>
      <c r="BH14" s="97">
        <f>$AS$13-BH13</f>
        <v>43130.104381658115</v>
      </c>
      <c r="BI14" s="97">
        <f>$AT$13-BI13</f>
        <v>42575.030465128177</v>
      </c>
    </row>
    <row r="23" spans="2:52" ht="18" x14ac:dyDescent="0.25">
      <c r="AV23" s="193"/>
      <c r="AW23" s="193"/>
      <c r="AX23" s="193"/>
      <c r="AY23" s="193"/>
      <c r="AZ23" s="193"/>
    </row>
    <row r="24" spans="2:52" x14ac:dyDescent="0.2">
      <c r="J24" s="103"/>
      <c r="K24" s="103"/>
      <c r="L24" s="103"/>
      <c r="M24" s="103"/>
      <c r="N24" s="103"/>
      <c r="O24" s="103"/>
    </row>
    <row r="25" spans="2:52" x14ac:dyDescent="0.2">
      <c r="B25" s="1" t="s">
        <v>512</v>
      </c>
      <c r="D25" s="105">
        <f>Tuloslaskelma!B73*1000</f>
        <v>1670473.2510879259</v>
      </c>
      <c r="E25" s="1" t="s">
        <v>476</v>
      </c>
      <c r="I25" s="1" t="s">
        <v>513</v>
      </c>
      <c r="K25" s="105">
        <f>Tuloslaskelma!D73*1000</f>
        <v>3917417.469520051</v>
      </c>
      <c r="L25" s="1" t="s">
        <v>476</v>
      </c>
      <c r="Q25" s="1" t="s">
        <v>513</v>
      </c>
      <c r="S25" s="105">
        <f>Tuloslaskelma!$E$73*1000</f>
        <v>1743750.4482038384</v>
      </c>
      <c r="T25" s="1" t="s">
        <v>476</v>
      </c>
      <c r="W25" s="1" t="s">
        <v>513</v>
      </c>
      <c r="Y25" s="105">
        <f>Tuloslaskelma!$F$73*1000</f>
        <v>1873278.8732212631</v>
      </c>
      <c r="Z25" s="1" t="s">
        <v>476</v>
      </c>
      <c r="AE25" s="1" t="s">
        <v>513</v>
      </c>
      <c r="AG25" s="105">
        <f>Tuloslaskelma!$G$73*1000</f>
        <v>2094971.5579667008</v>
      </c>
      <c r="AH25" s="1" t="s">
        <v>476</v>
      </c>
      <c r="AM25" s="1" t="s">
        <v>513</v>
      </c>
      <c r="AO25" s="105">
        <f>Tuloslaskelma!$H$73*1000</f>
        <v>2225547.167617864</v>
      </c>
      <c r="AP25" s="1" t="s">
        <v>476</v>
      </c>
    </row>
    <row r="26" spans="2:52" x14ac:dyDescent="0.2">
      <c r="D26" s="105">
        <f>D25/Tuloslaskelma!A98</f>
        <v>179.40857599483684</v>
      </c>
      <c r="E26" s="1" t="s">
        <v>502</v>
      </c>
      <c r="K26" s="105">
        <f>Tuloslaskelma!D81</f>
        <v>420.7300472043874</v>
      </c>
      <c r="L26" s="1" t="s">
        <v>502</v>
      </c>
      <c r="S26" s="105">
        <f>Tuloslaskelma!$E$81</f>
        <v>187.2785359471419</v>
      </c>
      <c r="T26" s="1" t="s">
        <v>502</v>
      </c>
      <c r="Y26" s="105">
        <f>Tuloslaskelma!$F$81</f>
        <v>201.18986931814658</v>
      </c>
      <c r="Z26" s="1" t="s">
        <v>502</v>
      </c>
      <c r="AG26" s="105">
        <f>Tuloslaskelma!$G$81</f>
        <v>224.99963032614122</v>
      </c>
      <c r="AH26" s="1" t="s">
        <v>502</v>
      </c>
      <c r="AO26" s="105">
        <f>Tuloslaskelma!$H$81</f>
        <v>239.02343116935495</v>
      </c>
      <c r="AP26" s="1" t="s">
        <v>502</v>
      </c>
    </row>
    <row r="28" spans="2:52" x14ac:dyDescent="0.2">
      <c r="B28" s="146" t="str">
        <f>"&gt; "&amp;Tuloslaskelma!A45</f>
        <v xml:space="preserve">&gt; </v>
      </c>
      <c r="I28" s="146" t="s">
        <v>647</v>
      </c>
    </row>
    <row r="29" spans="2:52" x14ac:dyDescent="0.2">
      <c r="I29" s="146"/>
    </row>
  </sheetData>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ul1"/>
  <dimension ref="A1:M117"/>
  <sheetViews>
    <sheetView tabSelected="1" topLeftCell="A2" zoomScale="120" zoomScaleNormal="120" workbookViewId="0">
      <selection activeCell="A8" sqref="A8"/>
    </sheetView>
  </sheetViews>
  <sheetFormatPr defaultColWidth="9.140625" defaultRowHeight="12.75" x14ac:dyDescent="0.2"/>
  <cols>
    <col min="1" max="1" width="50" style="5" customWidth="1"/>
    <col min="2" max="2" width="25.7109375" style="5" customWidth="1"/>
    <col min="3" max="3" width="19.28515625" style="5" customWidth="1"/>
    <col min="4" max="4" width="18" style="361" customWidth="1"/>
    <col min="5" max="8" width="18.140625" style="5" customWidth="1"/>
    <col min="9" max="9" width="0.7109375" style="5" customWidth="1"/>
    <col min="10" max="10" width="72.7109375" style="5" customWidth="1"/>
    <col min="11" max="11" width="39" style="5" customWidth="1"/>
    <col min="12" max="12" width="44.7109375" style="5" customWidth="1"/>
    <col min="13" max="13" width="14.28515625" style="5" bestFit="1" customWidth="1"/>
    <col min="14" max="16384" width="9.140625" style="5"/>
  </cols>
  <sheetData>
    <row r="1" spans="1:11" hidden="1" x14ac:dyDescent="0.2">
      <c r="A1" s="38"/>
      <c r="B1" s="39"/>
      <c r="C1" s="41"/>
      <c r="D1" s="360"/>
      <c r="E1" s="39"/>
      <c r="F1" s="39"/>
      <c r="G1" s="39"/>
      <c r="H1" s="39"/>
      <c r="I1" s="39"/>
      <c r="J1" s="39"/>
      <c r="K1" s="39"/>
    </row>
    <row r="2" spans="1:11" ht="20.25" customHeight="1" x14ac:dyDescent="0.25">
      <c r="A2" s="197" t="s">
        <v>641</v>
      </c>
      <c r="B2" s="39"/>
      <c r="C2" s="40"/>
      <c r="D2" s="414"/>
      <c r="E2" s="39"/>
      <c r="F2" s="39"/>
      <c r="G2" s="39"/>
      <c r="H2" s="39"/>
      <c r="I2" s="39"/>
      <c r="J2" s="327"/>
      <c r="K2" s="39"/>
    </row>
    <row r="3" spans="1:11" ht="12" customHeight="1" x14ac:dyDescent="0.2">
      <c r="A3" s="94" t="s">
        <v>722</v>
      </c>
      <c r="C3" s="39"/>
      <c r="D3" s="41"/>
      <c r="E3" s="41"/>
      <c r="F3" s="41"/>
      <c r="G3" s="41"/>
      <c r="H3" s="41"/>
      <c r="I3" s="39"/>
      <c r="J3" s="198"/>
      <c r="K3" s="39"/>
    </row>
    <row r="4" spans="1:11" x14ac:dyDescent="0.2">
      <c r="A4" s="441" t="s">
        <v>756</v>
      </c>
      <c r="B4" s="198" t="s">
        <v>736</v>
      </c>
      <c r="C4" s="42"/>
      <c r="D4" s="42"/>
      <c r="E4" s="42"/>
      <c r="F4" s="42"/>
      <c r="G4" s="42"/>
      <c r="H4" s="42"/>
      <c r="I4" s="39"/>
      <c r="J4" s="328"/>
    </row>
    <row r="5" spans="1:11" ht="14.1" customHeight="1" x14ac:dyDescent="0.2">
      <c r="A5" s="442" t="s">
        <v>429</v>
      </c>
      <c r="B5" s="32"/>
      <c r="C5" s="32"/>
      <c r="E5" s="330"/>
      <c r="F5" s="32"/>
      <c r="G5" s="32"/>
      <c r="H5" s="32"/>
      <c r="I5" s="32"/>
      <c r="J5" s="329"/>
      <c r="K5" s="330"/>
    </row>
    <row r="6" spans="1:11" ht="14.1" customHeight="1" x14ac:dyDescent="0.2">
      <c r="A6" s="35"/>
      <c r="B6" s="32"/>
      <c r="C6" s="32"/>
      <c r="E6" s="32"/>
      <c r="F6" s="32"/>
      <c r="G6" s="32"/>
      <c r="H6" s="32"/>
      <c r="I6" s="32"/>
      <c r="J6" s="203"/>
      <c r="K6" s="330"/>
    </row>
    <row r="7" spans="1:11" ht="14.1" customHeight="1" x14ac:dyDescent="0.2">
      <c r="A7" s="145" t="s">
        <v>444</v>
      </c>
      <c r="B7" s="200"/>
      <c r="C7" s="200"/>
      <c r="D7" s="374" t="s">
        <v>547</v>
      </c>
      <c r="E7" s="410" t="s">
        <v>700</v>
      </c>
      <c r="F7" s="200"/>
      <c r="G7" s="200"/>
      <c r="H7" s="200"/>
      <c r="I7" s="135"/>
      <c r="J7" s="203"/>
      <c r="K7" s="147"/>
    </row>
    <row r="8" spans="1:11" ht="14.1" customHeight="1" x14ac:dyDescent="0.2">
      <c r="A8" s="66" t="s">
        <v>143</v>
      </c>
      <c r="B8" s="415">
        <v>2022</v>
      </c>
      <c r="C8" s="415" t="s">
        <v>713</v>
      </c>
      <c r="D8" s="416">
        <v>2023</v>
      </c>
      <c r="E8" s="415">
        <v>2024</v>
      </c>
      <c r="F8" s="415">
        <v>2025</v>
      </c>
      <c r="G8" s="415">
        <v>2026</v>
      </c>
      <c r="H8" s="415">
        <v>2027</v>
      </c>
      <c r="I8" s="135"/>
      <c r="J8" s="203"/>
      <c r="K8" s="330"/>
    </row>
    <row r="9" spans="1:11" ht="5.25" customHeight="1" x14ac:dyDescent="0.2">
      <c r="B9" s="396"/>
      <c r="C9" s="201"/>
      <c r="D9" s="374"/>
      <c r="E9" s="36"/>
      <c r="F9" s="202"/>
      <c r="G9" s="202"/>
      <c r="H9" s="202"/>
      <c r="I9" s="32"/>
      <c r="J9" s="413"/>
      <c r="K9" s="330"/>
    </row>
    <row r="10" spans="1:11" ht="15.6" hidden="1" customHeight="1" x14ac:dyDescent="0.2">
      <c r="B10" s="126"/>
      <c r="C10" s="44"/>
      <c r="E10" s="32"/>
      <c r="F10" s="32"/>
      <c r="G10" s="32"/>
      <c r="H10" s="32"/>
      <c r="I10" s="32"/>
      <c r="J10" s="399"/>
      <c r="K10" s="330"/>
    </row>
    <row r="11" spans="1:11" hidden="1" x14ac:dyDescent="0.2">
      <c r="B11" s="53" t="e">
        <f>B12/$B$12</f>
        <v>#DIV/0!</v>
      </c>
      <c r="C11" s="53" t="e">
        <f>C12/$B$12</f>
        <v>#DIV/0!</v>
      </c>
      <c r="D11" s="363" t="e">
        <f>D12/$B$12</f>
        <v>#DIV/0!</v>
      </c>
      <c r="E11" s="53"/>
      <c r="F11" s="53"/>
      <c r="G11" s="53"/>
      <c r="H11" s="53"/>
      <c r="I11" s="32"/>
      <c r="J11" s="330"/>
      <c r="K11" s="330"/>
    </row>
    <row r="12" spans="1:11" s="7" customFormat="1" hidden="1" x14ac:dyDescent="0.2">
      <c r="A12" s="7" t="s">
        <v>514</v>
      </c>
      <c r="B12" s="52">
        <f>SUM(B13:B18)</f>
        <v>0</v>
      </c>
      <c r="C12" s="52">
        <f>SUM(C13:C18)</f>
        <v>0</v>
      </c>
      <c r="D12" s="364">
        <f>B12-C12</f>
        <v>0</v>
      </c>
      <c r="E12" s="52"/>
      <c r="F12" s="52"/>
      <c r="G12" s="52"/>
      <c r="H12" s="52"/>
      <c r="I12" s="32"/>
      <c r="J12" s="203"/>
      <c r="K12" s="330"/>
    </row>
    <row r="13" spans="1:11" ht="15" hidden="1" customHeight="1" x14ac:dyDescent="0.2">
      <c r="A13" s="31" t="s">
        <v>432</v>
      </c>
      <c r="B13" s="54"/>
      <c r="C13" s="107"/>
      <c r="D13" s="365"/>
      <c r="E13" s="8"/>
      <c r="F13" s="8"/>
      <c r="G13" s="8"/>
      <c r="H13" s="8"/>
      <c r="I13" s="32"/>
      <c r="J13" s="203"/>
      <c r="K13" s="330"/>
    </row>
    <row r="14" spans="1:11" ht="15" hidden="1" customHeight="1" x14ac:dyDescent="0.2">
      <c r="A14" s="31" t="s">
        <v>431</v>
      </c>
      <c r="B14" s="54"/>
      <c r="C14" s="70"/>
      <c r="D14" s="366"/>
      <c r="E14" s="8"/>
      <c r="F14" s="8"/>
      <c r="G14" s="8"/>
      <c r="H14" s="8"/>
      <c r="I14" s="32"/>
      <c r="J14" s="203"/>
      <c r="K14" s="330"/>
    </row>
    <row r="15" spans="1:11" hidden="1" x14ac:dyDescent="0.2">
      <c r="A15" s="31" t="s">
        <v>433</v>
      </c>
      <c r="B15" s="54"/>
      <c r="C15" s="70"/>
      <c r="D15" s="365"/>
      <c r="E15" s="8"/>
      <c r="F15" s="8"/>
      <c r="G15" s="8"/>
      <c r="H15" s="8"/>
      <c r="I15" s="32"/>
      <c r="J15" s="203"/>
      <c r="K15" s="330"/>
    </row>
    <row r="16" spans="1:11" hidden="1" x14ac:dyDescent="0.2">
      <c r="A16" s="31" t="s">
        <v>434</v>
      </c>
      <c r="B16" s="54"/>
      <c r="C16" s="70"/>
      <c r="D16" s="362"/>
      <c r="E16" s="8"/>
      <c r="F16" s="8"/>
      <c r="G16" s="8"/>
      <c r="H16" s="8"/>
      <c r="I16" s="32"/>
      <c r="J16" s="203"/>
      <c r="K16" s="330"/>
    </row>
    <row r="17" spans="1:13" ht="15" hidden="1" customHeight="1" x14ac:dyDescent="0.2">
      <c r="A17" s="5" t="s">
        <v>23</v>
      </c>
      <c r="B17" s="54"/>
      <c r="C17" s="68"/>
      <c r="D17" s="365"/>
      <c r="E17" s="8"/>
      <c r="F17" s="8"/>
      <c r="G17" s="8"/>
      <c r="H17" s="8"/>
      <c r="I17" s="32"/>
      <c r="J17" s="203"/>
      <c r="K17" s="330"/>
    </row>
    <row r="18" spans="1:13" ht="15" hidden="1" customHeight="1" x14ac:dyDescent="0.2">
      <c r="A18" s="5" t="s">
        <v>8</v>
      </c>
      <c r="B18" s="55"/>
      <c r="C18" s="67"/>
      <c r="D18" s="365"/>
      <c r="E18" s="8"/>
      <c r="F18" s="8"/>
      <c r="G18" s="8"/>
      <c r="H18" s="8"/>
      <c r="I18" s="32"/>
      <c r="J18" s="331"/>
      <c r="K18" s="330"/>
    </row>
    <row r="19" spans="1:13" ht="17.100000000000001" hidden="1" customHeight="1" x14ac:dyDescent="0.2">
      <c r="B19" s="53" t="e">
        <f>B20/$B$20</f>
        <v>#DIV/0!</v>
      </c>
      <c r="C19" s="53" t="e">
        <f>C20/$B$20</f>
        <v>#DIV/0!</v>
      </c>
      <c r="D19" s="363" t="e">
        <f>D20/$B$20</f>
        <v>#DIV/0!</v>
      </c>
      <c r="E19" s="53"/>
      <c r="F19" s="53"/>
      <c r="G19" s="53"/>
      <c r="H19" s="53"/>
      <c r="I19" s="32"/>
      <c r="J19" s="147"/>
      <c r="K19" s="330"/>
    </row>
    <row r="20" spans="1:13" s="7" customFormat="1" ht="16.350000000000001" hidden="1" customHeight="1" x14ac:dyDescent="0.2">
      <c r="A20" s="7" t="s">
        <v>515</v>
      </c>
      <c r="B20" s="52">
        <f>B21+B24+B25+B26+B27</f>
        <v>0</v>
      </c>
      <c r="C20" s="52">
        <f>C21+C24+C25+C26+C27</f>
        <v>0</v>
      </c>
      <c r="D20" s="364">
        <f>B20-C20</f>
        <v>0</v>
      </c>
      <c r="E20" s="52"/>
      <c r="F20" s="52"/>
      <c r="G20" s="52"/>
      <c r="H20" s="52"/>
      <c r="I20" s="32"/>
      <c r="J20" s="326"/>
      <c r="K20" s="330"/>
    </row>
    <row r="21" spans="1:13" s="7" customFormat="1" ht="15" hidden="1" customHeight="1" x14ac:dyDescent="0.2">
      <c r="A21" s="31" t="s">
        <v>534</v>
      </c>
      <c r="B21" s="54">
        <f>B22+B23</f>
        <v>0</v>
      </c>
      <c r="C21" s="54">
        <f>C22+C23</f>
        <v>0</v>
      </c>
      <c r="D21" s="367"/>
      <c r="E21" s="43"/>
      <c r="F21" s="43"/>
      <c r="G21" s="43"/>
      <c r="H21" s="43"/>
      <c r="I21" s="349"/>
      <c r="J21" s="203"/>
      <c r="K21" s="330"/>
    </row>
    <row r="22" spans="1:13" ht="15.6" hidden="1" customHeight="1" x14ac:dyDescent="0.2">
      <c r="A22" s="56" t="s">
        <v>435</v>
      </c>
      <c r="B22" s="54"/>
      <c r="C22" s="107"/>
      <c r="D22" s="367"/>
      <c r="E22" s="43"/>
      <c r="F22" s="43"/>
      <c r="G22" s="43"/>
      <c r="H22" s="43"/>
      <c r="I22" s="32"/>
      <c r="J22" s="203"/>
      <c r="K22" s="330"/>
    </row>
    <row r="23" spans="1:13" ht="15" hidden="1" customHeight="1" x14ac:dyDescent="0.2">
      <c r="A23" s="56" t="s">
        <v>436</v>
      </c>
      <c r="B23" s="54"/>
      <c r="C23" s="68"/>
      <c r="D23" s="367"/>
      <c r="E23" s="240"/>
      <c r="F23" s="43"/>
      <c r="G23" s="43"/>
      <c r="H23" s="43"/>
      <c r="I23" s="32"/>
      <c r="J23" s="203"/>
      <c r="K23" s="203"/>
      <c r="M23" s="63"/>
    </row>
    <row r="24" spans="1:13" hidden="1" x14ac:dyDescent="0.2">
      <c r="A24" s="31" t="s">
        <v>437</v>
      </c>
      <c r="B24" s="54"/>
      <c r="C24" s="68"/>
      <c r="D24" s="367"/>
      <c r="E24" s="238"/>
      <c r="F24" s="43"/>
      <c r="G24" s="43"/>
      <c r="H24" s="43"/>
      <c r="I24" s="32"/>
      <c r="J24" s="203"/>
      <c r="K24" s="203"/>
    </row>
    <row r="25" spans="1:13" ht="15" hidden="1" customHeight="1" x14ac:dyDescent="0.2">
      <c r="A25" s="31" t="s">
        <v>438</v>
      </c>
      <c r="B25" s="54"/>
      <c r="C25" s="68"/>
      <c r="D25" s="367"/>
      <c r="E25" s="43"/>
      <c r="F25" s="43"/>
      <c r="G25" s="43"/>
      <c r="H25" s="43"/>
      <c r="I25" s="32"/>
      <c r="J25" s="203"/>
      <c r="K25" s="203"/>
    </row>
    <row r="26" spans="1:13" hidden="1" x14ac:dyDescent="0.2">
      <c r="A26" s="31" t="s">
        <v>439</v>
      </c>
      <c r="B26" s="54"/>
      <c r="C26" s="68"/>
      <c r="D26" s="367"/>
      <c r="E26" s="43"/>
      <c r="F26" s="43"/>
      <c r="G26" s="43"/>
      <c r="H26" s="43"/>
      <c r="I26" s="32"/>
      <c r="J26" s="203"/>
      <c r="K26" s="203"/>
    </row>
    <row r="27" spans="1:13" hidden="1" x14ac:dyDescent="0.2">
      <c r="A27" s="31" t="s">
        <v>440</v>
      </c>
      <c r="B27" s="54"/>
      <c r="C27" s="69"/>
      <c r="D27" s="367"/>
      <c r="E27" s="43"/>
      <c r="F27" s="43"/>
      <c r="G27" s="43"/>
      <c r="H27" s="43"/>
      <c r="I27" s="32"/>
      <c r="J27" s="203"/>
      <c r="K27" s="203"/>
    </row>
    <row r="28" spans="1:13" ht="15.6" hidden="1" customHeight="1" x14ac:dyDescent="0.2">
      <c r="A28" s="411"/>
      <c r="B28" s="394"/>
      <c r="C28" s="385"/>
      <c r="D28" s="380"/>
      <c r="E28" s="379"/>
      <c r="F28" s="379"/>
      <c r="G28" s="379"/>
      <c r="H28" s="379"/>
      <c r="I28" s="32"/>
      <c r="J28" s="399"/>
      <c r="K28" s="203"/>
    </row>
    <row r="29" spans="1:13" s="7" customFormat="1" ht="16.350000000000001" customHeight="1" x14ac:dyDescent="0.2">
      <c r="A29" s="93" t="s">
        <v>750</v>
      </c>
      <c r="B29" s="306">
        <f>C29+D29</f>
        <v>-69403.727047360939</v>
      </c>
      <c r="C29" s="306">
        <f>($B$34+$C$34)/2*sote_kerroin+($B$35+$C$35)/2*pela_kerroin+VLOOKUP(linkki,alue5,13,FALSE)*-0.001</f>
        <v>-43130.104381658108</v>
      </c>
      <c r="D29" s="368">
        <f>VLOOKUP(linkki,alue5,65,FALSE)*-0.001+VLOOKUP(linkki,alue5,13,FALSE)*0.001</f>
        <v>-26273.622665702824</v>
      </c>
      <c r="E29" s="481">
        <f>VLOOKUP(linkki,alue5,65,FALSE)*-0.001+VLOOKUP(linkki,alue5,13,FALSE)*0.001</f>
        <v>-26273.622665702824</v>
      </c>
      <c r="F29" s="481">
        <f>VLOOKUP(linkki,alue5,65,FALSE)*-0.001+VLOOKUP(linkki,alue5,13,FALSE)*0.001</f>
        <v>-26273.622665702824</v>
      </c>
      <c r="G29" s="481">
        <f>VLOOKUP(linkki,alue5,65,FALSE)*-0.001+VLOOKUP(linkki,alue5,13,FALSE)*0.001</f>
        <v>-26273.622665702824</v>
      </c>
      <c r="H29" s="481">
        <f>VLOOKUP(linkki,alue5,65,FALSE)*-0.001+VLOOKUP(linkki,alue5,13,FALSE)*0.001</f>
        <v>-26273.622665702824</v>
      </c>
      <c r="I29" s="306">
        <f>H29</f>
        <v>-26273.622665702824</v>
      </c>
      <c r="J29" s="203"/>
      <c r="K29" s="203"/>
    </row>
    <row r="30" spans="1:13" s="7" customFormat="1" ht="12" hidden="1" customHeight="1" x14ac:dyDescent="0.2">
      <c r="A30" s="397"/>
      <c r="B30" s="390"/>
      <c r="C30" s="390"/>
      <c r="D30" s="368"/>
      <c r="E30" s="390"/>
      <c r="F30" s="390"/>
      <c r="G30" s="390"/>
      <c r="H30" s="390"/>
      <c r="I30" s="350"/>
      <c r="J30" s="203"/>
      <c r="K30" s="203"/>
    </row>
    <row r="31" spans="1:13" s="7" customFormat="1" ht="13.35" hidden="1" customHeight="1" x14ac:dyDescent="0.2">
      <c r="B31" s="141"/>
      <c r="C31" s="189"/>
      <c r="D31" s="368"/>
      <c r="E31" s="195"/>
      <c r="F31" s="195"/>
      <c r="G31" s="195"/>
      <c r="H31" s="195"/>
      <c r="I31" s="350"/>
      <c r="J31" s="203"/>
      <c r="K31" s="203"/>
    </row>
    <row r="32" spans="1:13" s="7" customFormat="1" ht="13.35" hidden="1" customHeight="1" x14ac:dyDescent="0.2">
      <c r="A32" s="5"/>
      <c r="C32" s="5"/>
      <c r="D32" s="360"/>
      <c r="E32" s="352"/>
      <c r="F32" s="352"/>
      <c r="G32" s="352"/>
      <c r="H32" s="239"/>
      <c r="I32" s="350"/>
      <c r="J32" s="203"/>
      <c r="K32" s="203"/>
    </row>
    <row r="33" spans="1:11" s="7" customFormat="1" ht="13.35" customHeight="1" x14ac:dyDescent="0.2">
      <c r="B33" s="463" t="s">
        <v>757</v>
      </c>
      <c r="C33" s="464" t="s">
        <v>758</v>
      </c>
      <c r="D33" s="360"/>
      <c r="E33" s="352"/>
      <c r="F33" s="352"/>
      <c r="G33" s="352"/>
      <c r="H33" s="239"/>
      <c r="I33" s="350"/>
      <c r="J33" s="203" t="s">
        <v>735</v>
      </c>
      <c r="K33" s="203"/>
    </row>
    <row r="34" spans="1:11" s="7" customFormat="1" ht="13.35" customHeight="1" x14ac:dyDescent="0.2">
      <c r="A34" s="384" t="s">
        <v>737</v>
      </c>
      <c r="B34" s="382">
        <f>VLOOKUP(linkki,alue5,66,FALSE)*-0.001</f>
        <v>-40283.427550000008</v>
      </c>
      <c r="C34" s="383">
        <f>VLOOKUP(linkki,alue5,67,FALSE)*-0.001</f>
        <v>-41062</v>
      </c>
      <c r="D34" s="458" t="s">
        <v>741</v>
      </c>
      <c r="E34" s="352"/>
      <c r="F34" s="412"/>
      <c r="G34" s="352"/>
      <c r="H34" s="239"/>
      <c r="I34" s="350"/>
      <c r="J34" s="203"/>
      <c r="K34" s="203"/>
    </row>
    <row r="35" spans="1:11" s="7" customFormat="1" ht="13.35" customHeight="1" x14ac:dyDescent="0.2">
      <c r="A35" s="384" t="s">
        <v>738</v>
      </c>
      <c r="B35" s="382">
        <f>VLOOKUP(linkki,alue5,68,FALSE)*-0.001</f>
        <v>-955.75607000000014</v>
      </c>
      <c r="C35" s="383">
        <f>VLOOKUP(linkki,alue5,69,FALSE)*-0.001</f>
        <v>-989</v>
      </c>
      <c r="D35" s="408"/>
      <c r="H35" s="239"/>
      <c r="I35" s="350"/>
      <c r="J35" s="203"/>
      <c r="K35" s="203"/>
    </row>
    <row r="36" spans="1:11" s="7" customFormat="1" ht="13.35" customHeight="1" x14ac:dyDescent="0.2">
      <c r="A36" s="384"/>
      <c r="B36" s="392"/>
      <c r="C36" s="381" t="s">
        <v>723</v>
      </c>
      <c r="D36" s="360"/>
      <c r="F36" s="30"/>
      <c r="H36" s="239"/>
      <c r="I36" s="350"/>
      <c r="J36" s="203"/>
      <c r="K36" s="203"/>
    </row>
    <row r="37" spans="1:11" s="7" customFormat="1" ht="13.35" hidden="1" customHeight="1" x14ac:dyDescent="0.2">
      <c r="A37" s="400" t="s">
        <v>701</v>
      </c>
      <c r="B37" s="386"/>
      <c r="C37" s="381"/>
      <c r="D37" s="360"/>
      <c r="E37" s="352"/>
      <c r="G37" s="403" t="s">
        <v>702</v>
      </c>
      <c r="H37" s="239"/>
      <c r="I37" s="350"/>
      <c r="J37" s="203"/>
      <c r="K37" s="203"/>
    </row>
    <row r="38" spans="1:11" s="7" customFormat="1" ht="13.35" customHeight="1" x14ac:dyDescent="0.2">
      <c r="A38" s="2"/>
      <c r="B38" s="451" t="s">
        <v>714</v>
      </c>
      <c r="D38" s="360"/>
      <c r="E38" s="352"/>
      <c r="F38" s="419"/>
      <c r="H38" s="239"/>
      <c r="I38" s="350"/>
      <c r="J38" s="203"/>
      <c r="K38" s="203"/>
    </row>
    <row r="39" spans="1:11" s="7" customFormat="1" ht="13.35" customHeight="1" x14ac:dyDescent="0.2">
      <c r="A39" s="384" t="s">
        <v>711</v>
      </c>
      <c r="B39" s="383">
        <f>VLOOKUP(linkki,alue5,91,FALSE)</f>
        <v>27194.755138970093</v>
      </c>
      <c r="C39" s="459" t="s">
        <v>755</v>
      </c>
      <c r="D39" s="360"/>
      <c r="E39" s="352"/>
      <c r="F39" s="50"/>
      <c r="G39" s="352"/>
      <c r="H39" s="8"/>
      <c r="I39" s="350"/>
      <c r="J39" s="203"/>
      <c r="K39" s="203"/>
    </row>
    <row r="40" spans="1:11" s="7" customFormat="1" ht="13.35" customHeight="1" x14ac:dyDescent="0.2">
      <c r="A40" s="384" t="s">
        <v>712</v>
      </c>
      <c r="B40" s="383">
        <f>VLOOKUP(linkki,alue5,92,FALSE)</f>
        <v>2807.2363200000004</v>
      </c>
      <c r="C40" s="77"/>
      <c r="D40" s="360"/>
      <c r="E40" s="352"/>
      <c r="F40" s="50"/>
      <c r="G40" s="352"/>
      <c r="H40" s="352"/>
      <c r="I40" s="350"/>
      <c r="J40" s="203"/>
      <c r="K40" s="203"/>
    </row>
    <row r="41" spans="1:11" s="7" customFormat="1" ht="13.35" customHeight="1" x14ac:dyDescent="0.2">
      <c r="A41" s="384"/>
      <c r="B41" s="402"/>
      <c r="D41" s="360"/>
      <c r="E41" s="352"/>
      <c r="F41" s="352"/>
      <c r="G41" s="352"/>
      <c r="H41" s="352"/>
      <c r="I41" s="350"/>
      <c r="J41" s="203"/>
      <c r="K41" s="203"/>
    </row>
    <row r="42" spans="1:11" s="7" customFormat="1" ht="13.35" hidden="1" customHeight="1" x14ac:dyDescent="0.2">
      <c r="B42" s="384"/>
      <c r="C42" s="402"/>
      <c r="D42" s="360"/>
      <c r="E42" s="352"/>
      <c r="F42" s="352"/>
      <c r="G42" s="352"/>
      <c r="H42" s="352"/>
      <c r="I42" s="350"/>
      <c r="J42" s="203"/>
      <c r="K42" s="203"/>
    </row>
    <row r="43" spans="1:11" s="7" customFormat="1" ht="16.350000000000001" hidden="1" customHeight="1" x14ac:dyDescent="0.2">
      <c r="B43" s="402"/>
      <c r="C43" s="321"/>
      <c r="D43" s="374"/>
      <c r="E43" s="409"/>
      <c r="F43" s="321"/>
      <c r="G43" s="321"/>
      <c r="H43" s="321"/>
      <c r="I43" s="350"/>
      <c r="J43" s="203"/>
      <c r="K43" s="203"/>
    </row>
    <row r="44" spans="1:11" s="7" customFormat="1" ht="16.350000000000001" customHeight="1" x14ac:dyDescent="0.2">
      <c r="A44" s="333"/>
      <c r="B44" s="417">
        <v>2022</v>
      </c>
      <c r="C44" s="417" t="s">
        <v>713</v>
      </c>
      <c r="D44" s="418">
        <v>2023</v>
      </c>
      <c r="E44" s="417">
        <v>2024</v>
      </c>
      <c r="F44" s="417">
        <v>2025</v>
      </c>
      <c r="G44" s="417">
        <v>2026</v>
      </c>
      <c r="H44" s="417">
        <v>2027</v>
      </c>
      <c r="I44" s="350"/>
      <c r="J44" s="203"/>
      <c r="K44" s="203"/>
    </row>
    <row r="45" spans="1:11" hidden="1" x14ac:dyDescent="0.2">
      <c r="A45" s="7"/>
      <c r="B45" s="404"/>
      <c r="C45" s="53"/>
      <c r="D45" s="374" t="s">
        <v>547</v>
      </c>
      <c r="E45" s="404"/>
      <c r="F45" s="142"/>
      <c r="G45" s="142"/>
      <c r="H45" s="142"/>
      <c r="I45" s="32"/>
      <c r="J45" s="203"/>
      <c r="K45" s="203"/>
    </row>
    <row r="46" spans="1:11" ht="18.75" customHeight="1" x14ac:dyDescent="0.2">
      <c r="A46" s="7" t="s">
        <v>0</v>
      </c>
      <c r="B46" s="318">
        <f t="shared" ref="B46:H46" si="0">SUM(B47:B49)</f>
        <v>32280.237104670094</v>
      </c>
      <c r="C46" s="318">
        <f t="shared" si="0"/>
        <v>16037.680755165518</v>
      </c>
      <c r="D46" s="369">
        <f>SUM(D47:D49)</f>
        <v>16044.557038189416</v>
      </c>
      <c r="E46" s="136">
        <f>SUM(E47:E49)</f>
        <v>16242.556349504575</v>
      </c>
      <c r="F46" s="136">
        <f t="shared" si="0"/>
        <v>16242.556349504575</v>
      </c>
      <c r="G46" s="136">
        <f t="shared" si="0"/>
        <v>16242.556349504575</v>
      </c>
      <c r="H46" s="136">
        <f t="shared" si="0"/>
        <v>16242.556349504575</v>
      </c>
      <c r="I46" s="32"/>
      <c r="J46" s="420"/>
      <c r="K46" s="203"/>
    </row>
    <row r="47" spans="1:11" ht="15" customHeight="1" x14ac:dyDescent="0.2">
      <c r="A47" s="5" t="s">
        <v>442</v>
      </c>
      <c r="B47" s="136">
        <f>B39</f>
        <v>27194.755138970093</v>
      </c>
      <c r="C47" s="136">
        <f>B47*VLOOKUP(linkki,alue5,70,FALSE)</f>
        <v>15101.935315165518</v>
      </c>
      <c r="D47" s="370">
        <f>VLOOKUP(linkki,alue5,5,FALSE)*0.001</f>
        <v>12041.866224489415</v>
      </c>
      <c r="E47" s="136">
        <f>B47-C47</f>
        <v>12092.819823804575</v>
      </c>
      <c r="F47" s="136">
        <f t="shared" ref="F47:H49" si="1">E47</f>
        <v>12092.819823804575</v>
      </c>
      <c r="G47" s="136">
        <f t="shared" si="1"/>
        <v>12092.819823804575</v>
      </c>
      <c r="H47" s="136">
        <f t="shared" si="1"/>
        <v>12092.819823804575</v>
      </c>
      <c r="I47" s="143"/>
      <c r="J47" s="421"/>
      <c r="K47" s="203"/>
    </row>
    <row r="48" spans="1:11" x14ac:dyDescent="0.2">
      <c r="A48" s="5" t="s">
        <v>443</v>
      </c>
      <c r="B48" s="136">
        <f>B40</f>
        <v>2807.2363200000004</v>
      </c>
      <c r="C48" s="136">
        <f>B48*VLOOKUP(linkki,alue5,71,FALSE)</f>
        <v>935.74544000000026</v>
      </c>
      <c r="D48" s="370">
        <f>VLOOKUP(linkki,alue5,7,FALSE)*0.001</f>
        <v>1724.4451680000002</v>
      </c>
      <c r="E48" s="136">
        <f>B48-C48</f>
        <v>1871.4908800000003</v>
      </c>
      <c r="F48" s="136">
        <f t="shared" si="1"/>
        <v>1871.4908800000003</v>
      </c>
      <c r="G48" s="136">
        <f t="shared" si="1"/>
        <v>1871.4908800000003</v>
      </c>
      <c r="H48" s="136">
        <f t="shared" si="1"/>
        <v>1871.4908800000003</v>
      </c>
      <c r="I48" s="32"/>
      <c r="J48" s="203"/>
      <c r="K48" s="203"/>
    </row>
    <row r="49" spans="1:11" x14ac:dyDescent="0.2">
      <c r="A49" s="5" t="s">
        <v>556</v>
      </c>
      <c r="B49" s="136">
        <f>VLOOKUP(linkki,alue5,6,FALSE)*0.001</f>
        <v>2278.2456457000003</v>
      </c>
      <c r="C49" s="136"/>
      <c r="D49" s="370">
        <f>VLOOKUP(linkki,alue5,6,FALSE)*0.001</f>
        <v>2278.2456457000003</v>
      </c>
      <c r="E49" s="136">
        <f>VLOOKUP(linkki,alue5,6,FALSE)*0.001</f>
        <v>2278.2456457000003</v>
      </c>
      <c r="F49" s="136">
        <f t="shared" si="1"/>
        <v>2278.2456457000003</v>
      </c>
      <c r="G49" s="136">
        <f t="shared" si="1"/>
        <v>2278.2456457000003</v>
      </c>
      <c r="H49" s="136">
        <f t="shared" si="1"/>
        <v>2278.2456457000003</v>
      </c>
      <c r="I49" s="32"/>
      <c r="J49" s="483"/>
      <c r="K49" s="484"/>
    </row>
    <row r="50" spans="1:11" ht="15" hidden="1" customHeight="1" x14ac:dyDescent="0.2">
      <c r="B50" s="453"/>
      <c r="C50" s="53"/>
      <c r="D50" s="372"/>
      <c r="E50" s="202"/>
      <c r="F50" s="3"/>
      <c r="G50" s="3"/>
      <c r="H50" s="3"/>
      <c r="I50" s="32"/>
      <c r="J50" s="484"/>
      <c r="K50" s="484"/>
    </row>
    <row r="51" spans="1:11" ht="14.25" customHeight="1" x14ac:dyDescent="0.2">
      <c r="A51" s="7" t="s">
        <v>1</v>
      </c>
      <c r="B51" s="318">
        <f>SUM(B52:B58)</f>
        <v>39223.963193778771</v>
      </c>
      <c r="C51" s="318">
        <f>SUM(C52:C56)</f>
        <v>26161.68111419112</v>
      </c>
      <c r="D51" s="369">
        <f>SUM(D52:D57)</f>
        <v>14576.483097033459</v>
      </c>
      <c r="E51" s="318">
        <f>SUM(E52:E58)</f>
        <v>12204.816764402087</v>
      </c>
      <c r="F51" s="318">
        <f t="shared" ref="F51:H51" si="2">SUM(F52:F58)</f>
        <v>12334.345189419511</v>
      </c>
      <c r="G51" s="318">
        <f t="shared" si="2"/>
        <v>12556.037874164949</v>
      </c>
      <c r="H51" s="318">
        <f t="shared" si="2"/>
        <v>12686.613483816112</v>
      </c>
      <c r="I51" s="32"/>
      <c r="J51" s="484"/>
      <c r="K51" s="484"/>
    </row>
    <row r="52" spans="1:11" x14ac:dyDescent="0.2">
      <c r="A52" s="311" t="s">
        <v>639</v>
      </c>
      <c r="B52" s="136">
        <f>VLOOKUP(linkki,alue5,20,FALSE)*0.001</f>
        <v>31142.878022339759</v>
      </c>
      <c r="C52" s="136">
        <f>B52-D52</f>
        <v>21535.296371789736</v>
      </c>
      <c r="D52" s="370">
        <f>VLOOKUP(linkki,alue5,8,FALSE)*0.001</f>
        <v>9607.5816505500206</v>
      </c>
      <c r="E52" s="136">
        <f t="shared" ref="E52:H54" si="3">D52</f>
        <v>9607.5816505500206</v>
      </c>
      <c r="F52" s="136">
        <f t="shared" si="3"/>
        <v>9607.5816505500206</v>
      </c>
      <c r="G52" s="136">
        <f t="shared" si="3"/>
        <v>9607.5816505500206</v>
      </c>
      <c r="H52" s="136">
        <f t="shared" si="3"/>
        <v>9607.5816505500206</v>
      </c>
      <c r="I52" s="32"/>
      <c r="J52" s="484"/>
      <c r="K52" s="484"/>
    </row>
    <row r="53" spans="1:11" x14ac:dyDescent="0.2">
      <c r="A53" s="311" t="s">
        <v>640</v>
      </c>
      <c r="B53" s="136">
        <f>VLOOKUP(linkki,alue5,21,FALSE)*0.001</f>
        <v>6607.5911714390159</v>
      </c>
      <c r="C53" s="136">
        <f>B53-D53</f>
        <v>4626.3847424013838</v>
      </c>
      <c r="D53" s="370">
        <f>VLOOKUP(linkki,alue5,9,FALSE)*0.001</f>
        <v>1981.2064290376325</v>
      </c>
      <c r="E53" s="136">
        <f>D53</f>
        <v>1981.2064290376325</v>
      </c>
      <c r="F53" s="136">
        <f>E53</f>
        <v>1981.2064290376325</v>
      </c>
      <c r="G53" s="136">
        <f>F53</f>
        <v>1981.2064290376325</v>
      </c>
      <c r="H53" s="136">
        <f>G53</f>
        <v>1981.2064290376325</v>
      </c>
      <c r="I53" s="32"/>
      <c r="J53" s="484"/>
      <c r="K53" s="484"/>
    </row>
    <row r="54" spans="1:11" x14ac:dyDescent="0.2">
      <c r="A54" s="310" t="s">
        <v>638</v>
      </c>
      <c r="B54" s="136">
        <f>VLOOKUP(linkki,alue5,11,FALSE)*0.001</f>
        <v>1473.4940000000001</v>
      </c>
      <c r="C54" s="136"/>
      <c r="D54" s="370">
        <f>VLOOKUP(linkki,alue5,11,FALSE)*0.001</f>
        <v>1473.4940000000001</v>
      </c>
      <c r="E54" s="136">
        <f t="shared" si="3"/>
        <v>1473.4940000000001</v>
      </c>
      <c r="F54" s="136">
        <f t="shared" si="3"/>
        <v>1473.4940000000001</v>
      </c>
      <c r="G54" s="136">
        <f t="shared" si="3"/>
        <v>1473.4940000000001</v>
      </c>
      <c r="H54" s="136">
        <f t="shared" si="3"/>
        <v>1473.4940000000001</v>
      </c>
      <c r="I54" s="32"/>
      <c r="J54" s="332"/>
      <c r="K54" s="203"/>
    </row>
    <row r="55" spans="1:11" ht="13.9" customHeight="1" x14ac:dyDescent="0.2">
      <c r="A55" s="465" t="s">
        <v>600</v>
      </c>
      <c r="B55" s="148"/>
      <c r="C55" s="136"/>
      <c r="D55" s="370">
        <f>VLOOKUP(linkki,alue5,10,FALSE)*0.001</f>
        <v>1357.6101067462921</v>
      </c>
      <c r="E55" s="470">
        <f>'Muutosrajoitin (lopullinen)'!$I$25</f>
        <v>25.648171489052942</v>
      </c>
      <c r="F55" s="471">
        <f>'Muutosrajoitin (lopullinen)'!$I$25</f>
        <v>25.648171489052942</v>
      </c>
      <c r="G55" s="471">
        <f>'Muutosrajoitin (lopullinen)'!$I$25</f>
        <v>25.648171489052942</v>
      </c>
      <c r="H55" s="472">
        <f>'Muutosrajoitin (lopullinen)'!$I$25</f>
        <v>25.648171489052942</v>
      </c>
      <c r="I55" s="32"/>
      <c r="J55" s="467" t="s">
        <v>764</v>
      </c>
      <c r="K55" s="203"/>
    </row>
    <row r="56" spans="1:11" x14ac:dyDescent="0.2">
      <c r="A56" s="466" t="s">
        <v>601</v>
      </c>
      <c r="B56" s="148"/>
      <c r="C56" s="376"/>
      <c r="D56" s="370">
        <f>VLOOKUP(linkki,alue5,29,FALSE)*0.001</f>
        <v>156.59091069951316</v>
      </c>
      <c r="E56" s="473">
        <f>Taustatiedot!BI18*Tuloslaskelma!$A$98*0.001</f>
        <v>-603.78348667462035</v>
      </c>
      <c r="F56" s="318">
        <f>Taustatiedot!BJ18*Tuloslaskelma!$A$98*0.001</f>
        <v>-474.25506165719446</v>
      </c>
      <c r="G56" s="318">
        <f>Taustatiedot!BK18*Tuloslaskelma!$A$98*0.001</f>
        <v>-345.67237691175779</v>
      </c>
      <c r="H56" s="474">
        <f>Taustatiedot!BL18*Tuloslaskelma!$A$98*0.001</f>
        <v>-215.0967672605955</v>
      </c>
      <c r="I56" s="32"/>
      <c r="J56" s="468" t="s">
        <v>765</v>
      </c>
      <c r="K56" s="203"/>
    </row>
    <row r="57" spans="1:11" x14ac:dyDescent="0.2">
      <c r="A57" s="351" t="s">
        <v>668</v>
      </c>
      <c r="B57" s="148"/>
      <c r="C57" s="136"/>
      <c r="D57" s="370"/>
      <c r="E57" s="473">
        <f>B95*$A$98*0.001</f>
        <v>-186.22</v>
      </c>
      <c r="F57" s="318">
        <f>B95*$A$98*0.001</f>
        <v>-186.22</v>
      </c>
      <c r="G57" s="318">
        <f>B95*$A$98*0.001</f>
        <v>-186.22</v>
      </c>
      <c r="H57" s="474">
        <f>B95*$A$98*0.001</f>
        <v>-186.22</v>
      </c>
      <c r="I57" s="32"/>
      <c r="J57" s="468" t="s">
        <v>766</v>
      </c>
      <c r="K57" s="203"/>
    </row>
    <row r="58" spans="1:11" x14ac:dyDescent="0.2">
      <c r="A58" s="351" t="s">
        <v>679</v>
      </c>
      <c r="B58" s="148"/>
      <c r="C58" s="136"/>
      <c r="D58" s="370"/>
      <c r="E58" s="478">
        <f>E57*0.5</f>
        <v>-93.11</v>
      </c>
      <c r="F58" s="479">
        <f>F57*0.5</f>
        <v>-93.11</v>
      </c>
      <c r="G58" s="479"/>
      <c r="H58" s="480"/>
      <c r="I58" s="32"/>
      <c r="J58" s="469" t="s">
        <v>767</v>
      </c>
      <c r="K58" s="203"/>
    </row>
    <row r="59" spans="1:11" ht="19.350000000000001" hidden="1" customHeight="1" x14ac:dyDescent="0.2">
      <c r="A59" s="64"/>
      <c r="B59" s="454"/>
      <c r="C59" s="50"/>
      <c r="D59" s="373"/>
      <c r="E59" s="475"/>
      <c r="F59" s="476"/>
      <c r="G59" s="476"/>
      <c r="H59" s="477"/>
      <c r="I59" s="32"/>
      <c r="J59" s="331"/>
      <c r="K59" s="203"/>
    </row>
    <row r="60" spans="1:11" ht="15" customHeight="1" x14ac:dyDescent="0.2">
      <c r="A60" s="5" t="s">
        <v>557</v>
      </c>
      <c r="B60" s="136">
        <f>VLOOKUP(linkki,alue5,12,FALSE)*0.001</f>
        <v>-430</v>
      </c>
      <c r="C60" s="49"/>
      <c r="D60" s="370">
        <f>VLOOKUP(linkki,alue5,12,FALSE)*0.001</f>
        <v>-430</v>
      </c>
      <c r="E60" s="318">
        <f>B60-C60</f>
        <v>-430</v>
      </c>
      <c r="F60" s="318">
        <f>E60</f>
        <v>-430</v>
      </c>
      <c r="G60" s="318">
        <f>VLOOKUP(linkki,alue5,12,FALSE)*0.001</f>
        <v>-430</v>
      </c>
      <c r="H60" s="318">
        <f>VLOOKUP(linkki,alue5,12,FALSE)*0.001</f>
        <v>-430</v>
      </c>
      <c r="I60" s="32"/>
      <c r="J60" s="203"/>
      <c r="K60" s="203"/>
    </row>
    <row r="61" spans="1:11" ht="15" hidden="1" customHeight="1" x14ac:dyDescent="0.2">
      <c r="A61" s="140" t="s">
        <v>552</v>
      </c>
      <c r="B61" s="148"/>
      <c r="C61" s="319"/>
      <c r="D61" s="370"/>
      <c r="E61" s="148"/>
      <c r="F61" s="148"/>
      <c r="G61" s="148"/>
      <c r="H61" s="148"/>
      <c r="I61" s="32"/>
      <c r="J61" s="203"/>
      <c r="K61" s="203"/>
    </row>
    <row r="62" spans="1:11" hidden="1" x14ac:dyDescent="0.2">
      <c r="A62" s="140" t="s">
        <v>551</v>
      </c>
      <c r="B62" s="148"/>
      <c r="C62" s="319"/>
      <c r="D62" s="370"/>
      <c r="E62" s="148"/>
      <c r="F62" s="148"/>
      <c r="G62" s="148"/>
      <c r="H62" s="148"/>
      <c r="I62" s="32"/>
      <c r="J62" s="203"/>
      <c r="K62" s="203"/>
    </row>
    <row r="63" spans="1:11" hidden="1" x14ac:dyDescent="0.2">
      <c r="A63" s="140" t="s">
        <v>553</v>
      </c>
      <c r="B63" s="148"/>
      <c r="C63" s="319"/>
      <c r="D63" s="370"/>
      <c r="E63" s="148"/>
      <c r="F63" s="148"/>
      <c r="G63" s="148"/>
      <c r="H63" s="148"/>
      <c r="I63" s="32"/>
      <c r="J63" s="331"/>
      <c r="K63" s="203"/>
    </row>
    <row r="64" spans="1:11" ht="15" hidden="1" customHeight="1" x14ac:dyDescent="0.2">
      <c r="A64" s="140" t="s">
        <v>554</v>
      </c>
      <c r="B64" s="148"/>
      <c r="C64" s="319"/>
      <c r="D64" s="370"/>
      <c r="E64" s="148"/>
      <c r="F64" s="148"/>
      <c r="G64" s="148"/>
      <c r="H64" s="148"/>
      <c r="I64" s="32"/>
      <c r="J64" s="331"/>
      <c r="K64" s="203"/>
    </row>
    <row r="65" spans="1:11" ht="15" hidden="1" customHeight="1" x14ac:dyDescent="0.2">
      <c r="A65" s="140" t="s">
        <v>555</v>
      </c>
      <c r="B65" s="148"/>
      <c r="C65" s="320"/>
      <c r="D65" s="370"/>
      <c r="E65" s="148"/>
      <c r="F65" s="148"/>
      <c r="G65" s="148"/>
      <c r="H65" s="148"/>
      <c r="I65" s="32"/>
      <c r="J65" s="331"/>
      <c r="K65" s="203"/>
    </row>
    <row r="66" spans="1:11" hidden="1" x14ac:dyDescent="0.2">
      <c r="B66" s="319"/>
      <c r="C66" s="8"/>
      <c r="D66" s="365"/>
      <c r="E66" s="455"/>
      <c r="F66" s="8"/>
      <c r="G66" s="8"/>
      <c r="H66" s="8"/>
      <c r="I66" s="32"/>
      <c r="J66" s="331"/>
      <c r="K66" s="203"/>
    </row>
    <row r="67" spans="1:11" s="7" customFormat="1" ht="15" hidden="1" customHeight="1" x14ac:dyDescent="0.2">
      <c r="A67" s="7" t="s">
        <v>2</v>
      </c>
      <c r="B67" s="52">
        <f>B29+B46+B51+B60</f>
        <v>1670.4732510879257</v>
      </c>
      <c r="C67" s="52"/>
      <c r="D67" s="364">
        <f>D29+D46+D51+D60</f>
        <v>3917.4174695200509</v>
      </c>
      <c r="E67" s="52">
        <f>E29+E46+E51+E60</f>
        <v>1743.7504482038385</v>
      </c>
      <c r="F67" s="52">
        <f>F29+F46+F51+F60</f>
        <v>1873.278873221263</v>
      </c>
      <c r="G67" s="52">
        <f>G29+G46+G51+G60</f>
        <v>2094.9715579667009</v>
      </c>
      <c r="H67" s="52">
        <f>H29+H46+H51+H60</f>
        <v>2225.547167617864</v>
      </c>
      <c r="I67" s="349"/>
      <c r="J67" s="331"/>
      <c r="K67" s="203"/>
    </row>
    <row r="68" spans="1:11" ht="27.6" hidden="1" customHeight="1" x14ac:dyDescent="0.2">
      <c r="B68" s="453"/>
      <c r="C68" s="53"/>
      <c r="D68" s="363"/>
      <c r="E68" s="32"/>
      <c r="I68" s="32"/>
      <c r="J68" s="331"/>
      <c r="K68" s="203"/>
    </row>
    <row r="69" spans="1:11" hidden="1" x14ac:dyDescent="0.2">
      <c r="A69" s="5" t="s">
        <v>751</v>
      </c>
      <c r="B69" s="460" t="s">
        <v>752</v>
      </c>
      <c r="C69" s="461" t="s">
        <v>752</v>
      </c>
      <c r="D69" s="462" t="s">
        <v>752</v>
      </c>
      <c r="E69" s="460" t="s">
        <v>752</v>
      </c>
      <c r="F69" s="460" t="s">
        <v>752</v>
      </c>
      <c r="G69" s="460" t="s">
        <v>752</v>
      </c>
      <c r="H69" s="460" t="s">
        <v>752</v>
      </c>
      <c r="I69" s="32"/>
      <c r="J69" s="203"/>
      <c r="K69" s="203"/>
    </row>
    <row r="70" spans="1:11" ht="15" hidden="1" customHeight="1" x14ac:dyDescent="0.2">
      <c r="A70" s="5" t="s">
        <v>3</v>
      </c>
      <c r="B70" s="136"/>
      <c r="C70" s="126"/>
      <c r="D70" s="371"/>
      <c r="E70" s="49"/>
      <c r="F70" s="49"/>
      <c r="G70" s="49"/>
      <c r="H70" s="49"/>
      <c r="I70" s="32"/>
      <c r="J70" s="331"/>
      <c r="K70" s="203"/>
    </row>
    <row r="71" spans="1:11" ht="15" hidden="1" customHeight="1" x14ac:dyDescent="0.2">
      <c r="A71" s="5" t="s">
        <v>4</v>
      </c>
      <c r="B71" s="136"/>
      <c r="C71" s="49"/>
      <c r="D71" s="371"/>
      <c r="E71" s="49"/>
      <c r="F71" s="49"/>
      <c r="G71" s="49"/>
      <c r="H71" s="49"/>
      <c r="I71" s="32"/>
      <c r="J71" s="331"/>
      <c r="K71" s="203"/>
    </row>
    <row r="72" spans="1:11" ht="9" hidden="1" customHeight="1" x14ac:dyDescent="0.2">
      <c r="B72" s="54"/>
      <c r="C72" s="8"/>
      <c r="D72" s="365"/>
      <c r="E72" s="3"/>
      <c r="F72" s="3"/>
      <c r="G72" s="3"/>
      <c r="H72" s="3"/>
      <c r="I72" s="32"/>
      <c r="J72" s="331"/>
      <c r="K72" s="203"/>
    </row>
    <row r="73" spans="1:11" s="7" customFormat="1" ht="14.25" customHeight="1" x14ac:dyDescent="0.2">
      <c r="A73" s="7" t="s">
        <v>5</v>
      </c>
      <c r="B73" s="52">
        <f>B67</f>
        <v>1670.4732510879257</v>
      </c>
      <c r="C73" s="52"/>
      <c r="D73" s="364">
        <f>D67</f>
        <v>3917.4174695200509</v>
      </c>
      <c r="E73" s="52">
        <f>E67</f>
        <v>1743.7504482038385</v>
      </c>
      <c r="F73" s="52">
        <f t="shared" ref="F73:H73" si="4">F67</f>
        <v>1873.278873221263</v>
      </c>
      <c r="G73" s="52">
        <f t="shared" si="4"/>
        <v>2094.9715579667009</v>
      </c>
      <c r="H73" s="52">
        <f t="shared" si="4"/>
        <v>2225.547167617864</v>
      </c>
      <c r="I73" s="349"/>
      <c r="J73" s="331"/>
      <c r="K73" s="203"/>
    </row>
    <row r="74" spans="1:11" hidden="1" x14ac:dyDescent="0.2">
      <c r="B74" s="317"/>
      <c r="C74" s="55"/>
      <c r="D74" s="365"/>
      <c r="E74" s="55"/>
      <c r="F74" s="55"/>
      <c r="G74" s="55"/>
      <c r="H74" s="55"/>
      <c r="I74" s="32"/>
      <c r="J74" s="331"/>
      <c r="K74" s="203"/>
    </row>
    <row r="75" spans="1:11" hidden="1" x14ac:dyDescent="0.2">
      <c r="A75" s="5" t="s">
        <v>24</v>
      </c>
      <c r="B75" s="55"/>
      <c r="C75" s="55"/>
      <c r="D75" s="365"/>
      <c r="E75" s="55"/>
      <c r="F75" s="55"/>
      <c r="G75" s="55"/>
      <c r="H75" s="55"/>
      <c r="I75" s="32"/>
      <c r="J75" s="331"/>
      <c r="K75" s="203"/>
    </row>
    <row r="76" spans="1:11" ht="15" hidden="1" customHeight="1" x14ac:dyDescent="0.2">
      <c r="A76" s="5" t="s">
        <v>25</v>
      </c>
      <c r="B76" s="55"/>
      <c r="C76" s="55"/>
      <c r="D76" s="365"/>
      <c r="E76" s="55"/>
      <c r="F76" s="55"/>
      <c r="G76" s="55"/>
      <c r="H76" s="55"/>
      <c r="I76" s="32"/>
      <c r="J76" s="331"/>
      <c r="K76" s="203"/>
    </row>
    <row r="77" spans="1:11" ht="15" hidden="1" customHeight="1" x14ac:dyDescent="0.2">
      <c r="A77" s="5" t="s">
        <v>108</v>
      </c>
      <c r="B77" s="55"/>
      <c r="C77" s="55"/>
      <c r="D77" s="365"/>
      <c r="E77" s="55"/>
      <c r="F77" s="55"/>
      <c r="G77" s="55"/>
      <c r="H77" s="55"/>
      <c r="I77" s="32"/>
      <c r="J77" s="331"/>
      <c r="K77" s="203"/>
    </row>
    <row r="78" spans="1:11" ht="15" hidden="1" customHeight="1" x14ac:dyDescent="0.2">
      <c r="B78" s="54"/>
      <c r="C78" s="55"/>
      <c r="D78" s="365"/>
      <c r="E78" s="55"/>
      <c r="F78" s="55"/>
      <c r="G78" s="55"/>
      <c r="H78" s="55"/>
      <c r="I78" s="32"/>
      <c r="J78" s="331"/>
      <c r="K78" s="203"/>
    </row>
    <row r="79" spans="1:11" s="7" customFormat="1" hidden="1" x14ac:dyDescent="0.2">
      <c r="A79" s="7" t="s">
        <v>603</v>
      </c>
      <c r="B79" s="52">
        <f>B73+B75+B76+B77</f>
        <v>1670.4732510879257</v>
      </c>
      <c r="C79" s="52"/>
      <c r="D79" s="364">
        <f>D73+D75+D76+D77</f>
        <v>3917.4174695200509</v>
      </c>
      <c r="E79" s="52">
        <f>E73+E75+E76+E77</f>
        <v>1743.7504482038385</v>
      </c>
      <c r="F79" s="52">
        <f>F73+F75+F76+F77</f>
        <v>1873.278873221263</v>
      </c>
      <c r="G79" s="52">
        <f>G73+G75+G76+G77</f>
        <v>2094.9715579667009</v>
      </c>
      <c r="H79" s="52">
        <f>H73+H75+H76+H77</f>
        <v>2225.547167617864</v>
      </c>
      <c r="I79" s="349"/>
      <c r="J79" s="331"/>
      <c r="K79" s="203"/>
    </row>
    <row r="80" spans="1:11" hidden="1" x14ac:dyDescent="0.2">
      <c r="A80" s="322"/>
      <c r="B80" s="323"/>
      <c r="C80" s="323"/>
      <c r="D80" s="371"/>
      <c r="E80" s="54"/>
      <c r="F80" s="54"/>
      <c r="G80" s="54"/>
      <c r="H80" s="54"/>
    </row>
    <row r="81" spans="1:11" ht="14.25" customHeight="1" x14ac:dyDescent="0.2">
      <c r="A81" s="395" t="s">
        <v>715</v>
      </c>
      <c r="B81" s="443">
        <f>B79/$A$98*1000</f>
        <v>179.40857599483684</v>
      </c>
      <c r="C81" s="444"/>
      <c r="D81" s="445">
        <f>D79/$A$98*1000</f>
        <v>420.7300472043874</v>
      </c>
      <c r="E81" s="482">
        <f>E79/$A$98*1000</f>
        <v>187.2785359471419</v>
      </c>
      <c r="F81" s="482">
        <f>F79/$A$98*1000</f>
        <v>201.18986931814658</v>
      </c>
      <c r="G81" s="482">
        <f>G79/$A$98*1000</f>
        <v>224.99963032614122</v>
      </c>
      <c r="H81" s="482">
        <f>H79/$A$98*1000</f>
        <v>239.02343116935495</v>
      </c>
      <c r="I81" s="32"/>
      <c r="J81" s="32"/>
      <c r="K81" s="32"/>
    </row>
    <row r="82" spans="1:11" ht="12.75" customHeight="1" x14ac:dyDescent="0.2">
      <c r="D82" s="370"/>
      <c r="E82" s="6"/>
      <c r="H82" s="6"/>
    </row>
    <row r="83" spans="1:11" x14ac:dyDescent="0.2">
      <c r="A83" s="423" t="s">
        <v>720</v>
      </c>
      <c r="D83" s="370"/>
      <c r="E83" s="6"/>
      <c r="F83" s="6"/>
      <c r="G83" s="6"/>
      <c r="H83" s="6"/>
      <c r="J83" s="137"/>
    </row>
    <row r="84" spans="1:11" x14ac:dyDescent="0.2">
      <c r="A84" s="424" t="s">
        <v>718</v>
      </c>
      <c r="B84" s="430">
        <f>VLOOKUP(linkki,alue5,23,FALSE)*0.001</f>
        <v>3878.6304985348434</v>
      </c>
      <c r="C84" s="431"/>
      <c r="D84" s="447">
        <f>VLOOKUP(linkki,alue5,14,FALSE)*0.001+VLOOKUP(linkki,alue5,29,FALSE)*0.001</f>
        <v>3917.4174695200513</v>
      </c>
      <c r="E84" s="430">
        <f>VLOOKUP(linkki,alue5,14,FALSE)*0.001+VLOOKUP(linkki,alue5,30,FALSE)*0.001</f>
        <v>3787.5487559364501</v>
      </c>
      <c r="F84" s="430">
        <f>VLOOKUP(linkki,alue5,14,FALSE)*0.001+VLOOKUP(linkki,alue5,31,FALSE)*0.001</f>
        <v>3777.412180953876</v>
      </c>
      <c r="G84" s="430">
        <f>VLOOKUP(linkki,alue5,14,FALSE)*0.001+VLOOKUP(linkki,alue5,32,FALSE)*0.001</f>
        <v>3766.3298656993124</v>
      </c>
      <c r="H84" s="432">
        <f>VLOOKUP(linkki,alue5,14,FALSE)*0.001+VLOOKUP(linkki,alue5,33,FALSE)*0.001</f>
        <v>3757.2404753504748</v>
      </c>
    </row>
    <row r="85" spans="1:11" x14ac:dyDescent="0.2">
      <c r="A85" s="425" t="s">
        <v>716</v>
      </c>
      <c r="B85" s="433">
        <f>B73</f>
        <v>1670.4732510879257</v>
      </c>
      <c r="C85" s="434"/>
      <c r="D85" s="448">
        <f>D73</f>
        <v>3917.4174695200509</v>
      </c>
      <c r="E85" s="433">
        <f>E73</f>
        <v>1743.7504482038385</v>
      </c>
      <c r="F85" s="433">
        <f>F73</f>
        <v>1873.278873221263</v>
      </c>
      <c r="G85" s="433">
        <f t="shared" ref="G85:H85" si="5">G73</f>
        <v>2094.9715579667009</v>
      </c>
      <c r="H85" s="436">
        <f t="shared" si="5"/>
        <v>2225.547167617864</v>
      </c>
    </row>
    <row r="86" spans="1:11" ht="14.25" x14ac:dyDescent="0.3">
      <c r="A86" s="426" t="s">
        <v>717</v>
      </c>
      <c r="B86" s="437">
        <f>B85-B84</f>
        <v>-2208.1572474469176</v>
      </c>
      <c r="C86" s="434"/>
      <c r="D86" s="435"/>
      <c r="E86" s="437">
        <f t="shared" ref="E86:H86" si="6">E85-E84</f>
        <v>-2043.7983077326116</v>
      </c>
      <c r="F86" s="437">
        <f t="shared" si="6"/>
        <v>-1904.133307732613</v>
      </c>
      <c r="G86" s="437">
        <f t="shared" si="6"/>
        <v>-1671.3583077326116</v>
      </c>
      <c r="H86" s="438">
        <f t="shared" si="6"/>
        <v>-1531.6933077326107</v>
      </c>
    </row>
    <row r="87" spans="1:11" ht="14.25" x14ac:dyDescent="0.3">
      <c r="A87" s="427" t="s">
        <v>719</v>
      </c>
      <c r="B87" s="428">
        <f>B86/$A$98*1000</f>
        <v>-237.15575635774005</v>
      </c>
      <c r="C87" s="439"/>
      <c r="D87" s="440"/>
      <c r="E87" s="428">
        <f>E86/$A$98*1000</f>
        <v>-219.50363094539918</v>
      </c>
      <c r="F87" s="428">
        <f>F86/$A$98*1000</f>
        <v>-204.50363094539929</v>
      </c>
      <c r="G87" s="428">
        <f>G86/$A$98*1000</f>
        <v>-179.50363094539918</v>
      </c>
      <c r="H87" s="429">
        <f>H86/$A$98*1000</f>
        <v>-164.50363094539907</v>
      </c>
    </row>
    <row r="88" spans="1:11" ht="5.25" customHeight="1" x14ac:dyDescent="0.2"/>
    <row r="89" spans="1:11" x14ac:dyDescent="0.2">
      <c r="A89" s="423" t="s">
        <v>721</v>
      </c>
    </row>
    <row r="90" spans="1:11" x14ac:dyDescent="0.2">
      <c r="A90" s="424" t="s">
        <v>718</v>
      </c>
      <c r="B90" s="430">
        <f>VLOOKUP(linkki,alue5,11,FALSE)*0.001+VLOOKUP(linkki,alue5,20,FALSE)*0.001+VLOOKUP(linkki,alue5,21,FALSE)*0.001</f>
        <v>39223.963193778771</v>
      </c>
      <c r="C90" s="431"/>
      <c r="D90" s="447">
        <f>VLOOKUP(linkki,alue5,8,FALSE)*0.001+VLOOKUP(linkki,alue5,9,FALSE)*0.001+VLOOKUP(linkki,alue5,10,FALSE)*0.001+VLOOKUP(linkki,alue5,11,FALSE)*0.001+VLOOKUP(linkki,alue5,29,FALSE)*0.001</f>
        <v>14576.483097033459</v>
      </c>
      <c r="E90" s="430">
        <f>VLOOKUP(linkki,alue5,8,FALSE)*0.001+VLOOKUP(linkki,alue5,9,FALSE)*0.001+VLOOKUP(linkki,alue5,10,FALSE)*0.001+VLOOKUP(linkki,alue5,11,FALSE)*0.001+VLOOKUP(linkki,alue5,30,FALSE)*0.001</f>
        <v>14446.614383449858</v>
      </c>
      <c r="F90" s="430">
        <f>VLOOKUP(linkki,alue5,8,FALSE)*0.001+VLOOKUP(linkki,alue5,9,FALSE)*0.001+VLOOKUP(linkki,alue5,10,FALSE)*0.001+VLOOKUP(linkki,alue5,11,FALSE)*0.001+VLOOKUP(linkki,alue5,31,FALSE)*0.001</f>
        <v>14436.477808467283</v>
      </c>
      <c r="G90" s="430">
        <f>VLOOKUP(linkki,alue5,8,FALSE)*0.001+VLOOKUP(linkki,alue5,9,FALSE)*0.001+VLOOKUP(linkki,alue5,10,FALSE)*0.001+VLOOKUP(linkki,alue5,11,FALSE)*0.001+VLOOKUP(linkki,alue5,32,FALSE)*0.001</f>
        <v>14425.39549321272</v>
      </c>
      <c r="H90" s="432">
        <f>VLOOKUP(linkki,alue5,8,FALSE)*0.001+VLOOKUP(linkki,alue5,9,FALSE)*0.001+VLOOKUP(linkki,alue5,10,FALSE)*0.001+VLOOKUP(linkki,alue5,11,FALSE)*0.001+VLOOKUP(linkki,alue5,33,FALSE)*0.001</f>
        <v>14416.306102863882</v>
      </c>
    </row>
    <row r="91" spans="1:11" x14ac:dyDescent="0.2">
      <c r="A91" s="425" t="s">
        <v>716</v>
      </c>
      <c r="B91" s="433">
        <f>B51</f>
        <v>39223.963193778771</v>
      </c>
      <c r="C91" s="434"/>
      <c r="D91" s="448">
        <f>D51</f>
        <v>14576.483097033459</v>
      </c>
      <c r="E91" s="433">
        <f>E51</f>
        <v>12204.816764402087</v>
      </c>
      <c r="F91" s="433">
        <f t="shared" ref="F91:H91" si="7">F51</f>
        <v>12334.345189419511</v>
      </c>
      <c r="G91" s="433">
        <f t="shared" si="7"/>
        <v>12556.037874164949</v>
      </c>
      <c r="H91" s="436">
        <f t="shared" si="7"/>
        <v>12686.613483816112</v>
      </c>
    </row>
    <row r="92" spans="1:11" ht="14.25" x14ac:dyDescent="0.3">
      <c r="A92" s="426" t="s">
        <v>717</v>
      </c>
      <c r="B92" s="437">
        <f>B91-B90</f>
        <v>0</v>
      </c>
      <c r="C92" s="434"/>
      <c r="D92" s="435"/>
      <c r="E92" s="437">
        <f t="shared" ref="E92:H92" si="8">E91-E90</f>
        <v>-2241.7976190477711</v>
      </c>
      <c r="F92" s="437">
        <f t="shared" si="8"/>
        <v>-2102.1326190477721</v>
      </c>
      <c r="G92" s="437">
        <f t="shared" si="8"/>
        <v>-1869.3576190477706</v>
      </c>
      <c r="H92" s="438">
        <f t="shared" si="8"/>
        <v>-1729.6926190477698</v>
      </c>
    </row>
    <row r="93" spans="1:11" ht="14.25" x14ac:dyDescent="0.3">
      <c r="A93" s="427" t="s">
        <v>719</v>
      </c>
      <c r="B93" s="428">
        <f>B92/$A$98*1000</f>
        <v>0</v>
      </c>
      <c r="C93" s="439"/>
      <c r="D93" s="440"/>
      <c r="E93" s="428">
        <f>E92/$A$98*1000</f>
        <v>-240.76872720951255</v>
      </c>
      <c r="F93" s="428">
        <f>F92/$A$98*1000</f>
        <v>-225.76872720951263</v>
      </c>
      <c r="G93" s="428">
        <f>G92/$A$98*1000</f>
        <v>-200.76872720951246</v>
      </c>
      <c r="H93" s="429">
        <f>H92/$A$98*1000</f>
        <v>-185.76872720951238</v>
      </c>
    </row>
    <row r="95" spans="1:11" x14ac:dyDescent="0.2">
      <c r="A95" s="422" t="s">
        <v>734</v>
      </c>
      <c r="B95" s="407">
        <v>-20</v>
      </c>
    </row>
    <row r="96" spans="1:11" x14ac:dyDescent="0.2">
      <c r="B96" s="30"/>
    </row>
    <row r="97" spans="1:2" x14ac:dyDescent="0.2">
      <c r="A97" s="1" t="s">
        <v>669</v>
      </c>
      <c r="B97" s="30"/>
    </row>
    <row r="98" spans="1:2" x14ac:dyDescent="0.2">
      <c r="A98" s="446">
        <f>VLOOKUP(linkki,väestö2,3,FALSE)</f>
        <v>9311</v>
      </c>
    </row>
    <row r="113" spans="1:1" x14ac:dyDescent="0.2">
      <c r="A113" s="5" t="s">
        <v>591</v>
      </c>
    </row>
    <row r="114" spans="1:1" x14ac:dyDescent="0.2">
      <c r="A114" s="5" t="s">
        <v>591</v>
      </c>
    </row>
    <row r="116" spans="1:1" x14ac:dyDescent="0.2">
      <c r="A116" s="5" t="s">
        <v>637</v>
      </c>
    </row>
    <row r="117" spans="1:1" x14ac:dyDescent="0.2">
      <c r="A117" s="5" t="s">
        <v>637</v>
      </c>
    </row>
  </sheetData>
  <mergeCells count="1">
    <mergeCell ref="J49:K53"/>
  </mergeCells>
  <phoneticPr fontId="3" type="noConversion"/>
  <dataValidations count="4">
    <dataValidation type="list" allowBlank="1" showInputMessage="1" showErrorMessage="1" prompt="Valitse kunta" sqref="A8" xr:uid="{00000000-0002-0000-0200-000000000000}">
      <formula1>kunnat</formula1>
    </dataValidation>
    <dataValidation type="list" allowBlank="1" showInputMessage="1" showErrorMessage="1" sqref="C5" xr:uid="{00000000-0002-0000-0200-000001000000}">
      <formula1>Lähtötaso</formula1>
    </dataValidation>
    <dataValidation type="list" showDropDown="1" showInputMessage="1" showErrorMessage="1" sqref="C6" xr:uid="{00000000-0002-0000-0200-000002000000}">
      <formula1>Lähtötaso</formula1>
    </dataValidation>
    <dataValidation allowBlank="1" sqref="A5:A6" xr:uid="{00000000-0002-0000-0200-000003000000}"/>
  </dataValidations>
  <pageMargins left="0.27559055118110237" right="0.19685039370078741" top="0.47244094488188981" bottom="0.39370078740157483" header="0.39370078740157483" footer="0.23622047244094491"/>
  <pageSetup paperSize="9" orientation="landscape" verticalDpi="4294967293" r:id="rId1"/>
  <headerFooter alignWithMargins="0"/>
  <ignoredErrors>
    <ignoredError sqref="E60" formula="1"/>
  </ignoredError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ul6"/>
  <dimension ref="B1:T37"/>
  <sheetViews>
    <sheetView zoomScale="110" zoomScaleNormal="110" workbookViewId="0">
      <selection activeCell="I25" sqref="I25"/>
    </sheetView>
  </sheetViews>
  <sheetFormatPr defaultRowHeight="12.75" x14ac:dyDescent="0.2"/>
  <cols>
    <col min="3" max="3" width="10.5703125" customWidth="1"/>
    <col min="4" max="4" width="18.140625" customWidth="1"/>
    <col min="5" max="5" width="15.7109375" customWidth="1"/>
    <col min="7" max="7" width="8.42578125" customWidth="1"/>
    <col min="9" max="9" width="13.42578125" customWidth="1"/>
    <col min="15" max="15" width="11.28515625" customWidth="1"/>
    <col min="16" max="16" width="13.5703125" customWidth="1"/>
    <col min="17" max="17" width="3.140625" customWidth="1"/>
    <col min="18" max="18" width="8.85546875" customWidth="1"/>
  </cols>
  <sheetData>
    <row r="1" spans="2:18" ht="15" x14ac:dyDescent="0.2">
      <c r="B1" s="251" t="s">
        <v>613</v>
      </c>
      <c r="F1" s="254"/>
    </row>
    <row r="2" spans="2:18" x14ac:dyDescent="0.2">
      <c r="B2" s="2" t="str">
        <f>linkki</f>
        <v>Alajärvi</v>
      </c>
    </row>
    <row r="7" spans="2:18" ht="15.75" x14ac:dyDescent="0.25">
      <c r="B7" s="252" t="s">
        <v>617</v>
      </c>
      <c r="E7" s="97"/>
      <c r="L7" s="252" t="s">
        <v>618</v>
      </c>
    </row>
    <row r="9" spans="2:18" x14ac:dyDescent="0.2">
      <c r="B9" s="3" t="s">
        <v>749</v>
      </c>
      <c r="C9" s="3"/>
      <c r="D9" s="3"/>
      <c r="E9" s="308">
        <f>Tuloslaskelma!C29</f>
        <v>-43130.104381658108</v>
      </c>
      <c r="L9" s="3" t="s">
        <v>482</v>
      </c>
      <c r="M9" s="3"/>
      <c r="N9" s="3"/>
      <c r="O9" s="3"/>
      <c r="P9" s="43">
        <f>Tuloslaskelma!C47</f>
        <v>15101.935315165518</v>
      </c>
      <c r="Q9" s="43"/>
    </row>
    <row r="10" spans="2:18" x14ac:dyDescent="0.2">
      <c r="B10" s="3"/>
      <c r="C10" s="3"/>
      <c r="D10" s="3"/>
      <c r="E10" s="308"/>
      <c r="L10" s="3" t="s">
        <v>441</v>
      </c>
      <c r="M10" s="3"/>
      <c r="N10" s="3"/>
      <c r="O10" s="3"/>
      <c r="P10" s="43">
        <f>Tuloslaskelma!C48</f>
        <v>935.74544000000026</v>
      </c>
      <c r="Q10" s="43"/>
    </row>
    <row r="11" spans="2:18" x14ac:dyDescent="0.2">
      <c r="B11" s="3"/>
      <c r="C11" s="3"/>
      <c r="D11" s="3"/>
      <c r="E11" s="387"/>
      <c r="L11" s="3" t="s">
        <v>609</v>
      </c>
      <c r="M11" s="3"/>
      <c r="N11" s="3"/>
      <c r="O11" s="3"/>
      <c r="P11" s="43">
        <f>VLOOKUP(B2,alue5,48,FALSE)</f>
        <v>17031.106423112589</v>
      </c>
      <c r="Q11" s="43"/>
    </row>
    <row r="12" spans="2:18" x14ac:dyDescent="0.2">
      <c r="B12" s="3"/>
      <c r="C12" s="3"/>
      <c r="D12" s="3"/>
      <c r="E12" s="30"/>
      <c r="L12" s="3" t="s">
        <v>634</v>
      </c>
      <c r="M12" s="3"/>
      <c r="N12" s="3"/>
      <c r="O12" s="3"/>
      <c r="P12" s="43">
        <f>Tuloslaskelma!C53</f>
        <v>4626.3847424013838</v>
      </c>
      <c r="Q12" s="43"/>
    </row>
    <row r="13" spans="2:18" x14ac:dyDescent="0.2">
      <c r="B13" s="3"/>
      <c r="C13" s="3"/>
      <c r="D13" s="3"/>
      <c r="E13" s="30"/>
      <c r="L13" s="3" t="s">
        <v>616</v>
      </c>
      <c r="M13" s="3"/>
      <c r="N13" s="3"/>
      <c r="O13" s="3"/>
      <c r="P13" s="43">
        <f>VLOOKUP(B2,alue5,49,FALSE)*-1</f>
        <v>5295.4989968587561</v>
      </c>
      <c r="Q13" s="336" t="s">
        <v>664</v>
      </c>
      <c r="R13" s="334" t="s">
        <v>663</v>
      </c>
    </row>
    <row r="14" spans="2:18" x14ac:dyDescent="0.2">
      <c r="B14" s="3"/>
      <c r="C14" s="3"/>
      <c r="D14" s="3"/>
      <c r="E14" s="30"/>
      <c r="L14" s="1" t="s">
        <v>680</v>
      </c>
      <c r="M14" s="251"/>
      <c r="N14" s="251"/>
      <c r="O14" s="251"/>
      <c r="P14" s="401">
        <f>Tuloslaskelma!E57*-1</f>
        <v>186.22</v>
      </c>
      <c r="Q14" s="336" t="s">
        <v>664</v>
      </c>
      <c r="R14" s="334" t="s">
        <v>691</v>
      </c>
    </row>
    <row r="15" spans="2:18" x14ac:dyDescent="0.2">
      <c r="E15" s="30"/>
      <c r="M15" s="391"/>
      <c r="P15" s="30"/>
    </row>
    <row r="16" spans="2:18" ht="15.75" x14ac:dyDescent="0.25">
      <c r="B16" s="252" t="s">
        <v>606</v>
      </c>
      <c r="C16" s="252"/>
      <c r="D16" s="252"/>
      <c r="E16" s="309">
        <f>SUM(E9:E14)</f>
        <v>-43130.104381658108</v>
      </c>
      <c r="L16" s="252" t="s">
        <v>607</v>
      </c>
      <c r="M16" s="252"/>
      <c r="N16" s="252"/>
      <c r="O16" s="252"/>
      <c r="P16" s="309">
        <f>SUM(P9:P14)</f>
        <v>43176.890917538251</v>
      </c>
      <c r="Q16" s="336" t="s">
        <v>664</v>
      </c>
      <c r="R16" s="334" t="s">
        <v>656</v>
      </c>
    </row>
    <row r="17" spans="2:20" x14ac:dyDescent="0.2">
      <c r="P17" s="30"/>
      <c r="Q17" s="337"/>
    </row>
    <row r="18" spans="2:20" x14ac:dyDescent="0.2">
      <c r="D18" s="3"/>
      <c r="E18" s="97"/>
      <c r="L18" s="3"/>
      <c r="M18" s="3" t="s">
        <v>657</v>
      </c>
      <c r="N18" s="3"/>
      <c r="O18" s="3"/>
      <c r="P18" s="43">
        <f>Tuloslaskelma!C51+Tuloslaskelma!C46</f>
        <v>42199.361869356639</v>
      </c>
      <c r="Q18" s="336" t="s">
        <v>664</v>
      </c>
      <c r="R18" s="334" t="s">
        <v>681</v>
      </c>
      <c r="S18" s="3"/>
      <c r="T18" s="3"/>
    </row>
    <row r="19" spans="2:20" x14ac:dyDescent="0.2">
      <c r="L19" s="3"/>
      <c r="M19" s="3" t="s">
        <v>659</v>
      </c>
      <c r="N19" s="3"/>
      <c r="O19" s="3"/>
      <c r="P19" s="43">
        <f>E16+P18</f>
        <v>-930.74251230146911</v>
      </c>
      <c r="Q19" s="336" t="s">
        <v>664</v>
      </c>
      <c r="R19" s="334" t="s">
        <v>681</v>
      </c>
      <c r="S19" s="3"/>
      <c r="T19" s="3"/>
    </row>
    <row r="23" spans="2:20" ht="18.75" x14ac:dyDescent="0.25">
      <c r="G23" s="252" t="s">
        <v>608</v>
      </c>
      <c r="H23" s="335" t="s">
        <v>660</v>
      </c>
      <c r="I23" s="309">
        <f>E16+P16</f>
        <v>46.786535880142765</v>
      </c>
      <c r="O23" s="102"/>
    </row>
    <row r="24" spans="2:20" ht="15.75" x14ac:dyDescent="0.25">
      <c r="G24" s="252"/>
      <c r="H24" s="252"/>
      <c r="I24" s="252"/>
      <c r="O24" s="102"/>
    </row>
    <row r="25" spans="2:20" ht="15.75" x14ac:dyDescent="0.25">
      <c r="G25" s="252" t="s">
        <v>610</v>
      </c>
      <c r="H25" s="252"/>
      <c r="I25" s="309">
        <f>I23*0.6+(Tuloslaskelma!A98*-0.000260310389757568)</f>
        <v>25.648171489052942</v>
      </c>
      <c r="O25" s="102"/>
    </row>
    <row r="27" spans="2:20" ht="14.25" x14ac:dyDescent="0.2">
      <c r="B27" s="255" t="s">
        <v>619</v>
      </c>
    </row>
    <row r="28" spans="2:20" ht="14.25" x14ac:dyDescent="0.2">
      <c r="B28" s="253" t="s">
        <v>661</v>
      </c>
    </row>
    <row r="29" spans="2:20" ht="14.25" x14ac:dyDescent="0.2">
      <c r="B29" s="253" t="s">
        <v>658</v>
      </c>
    </row>
    <row r="30" spans="2:20" ht="14.25" x14ac:dyDescent="0.2">
      <c r="B30" s="253" t="s">
        <v>662</v>
      </c>
    </row>
    <row r="31" spans="2:20" ht="14.25" x14ac:dyDescent="0.2">
      <c r="B31" s="253" t="s">
        <v>655</v>
      </c>
    </row>
    <row r="32" spans="2:20" ht="14.25" x14ac:dyDescent="0.2">
      <c r="B32" s="253" t="s">
        <v>620</v>
      </c>
    </row>
    <row r="33" spans="2:2" ht="14.25" x14ac:dyDescent="0.2">
      <c r="B33" s="253" t="s">
        <v>621</v>
      </c>
    </row>
    <row r="34" spans="2:2" ht="14.25" x14ac:dyDescent="0.2">
      <c r="B34" s="253" t="s">
        <v>703</v>
      </c>
    </row>
    <row r="35" spans="2:2" ht="14.25" x14ac:dyDescent="0.2">
      <c r="B35" s="253" t="s">
        <v>704</v>
      </c>
    </row>
    <row r="36" spans="2:2" ht="14.25" x14ac:dyDescent="0.2">
      <c r="B36" s="253" t="s">
        <v>623</v>
      </c>
    </row>
    <row r="37" spans="2:2" ht="14.25" x14ac:dyDescent="0.2">
      <c r="B37" s="253" t="s">
        <v>622</v>
      </c>
    </row>
  </sheetData>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ul7"/>
  <dimension ref="A1:E53"/>
  <sheetViews>
    <sheetView zoomScale="90" zoomScaleNormal="90" workbookViewId="0">
      <selection activeCell="C4" sqref="C4"/>
    </sheetView>
  </sheetViews>
  <sheetFormatPr defaultRowHeight="12.75" x14ac:dyDescent="0.2"/>
  <cols>
    <col min="1" max="1" width="34.28515625" bestFit="1" customWidth="1"/>
    <col min="2" max="2" width="38.5703125" customWidth="1"/>
    <col min="3" max="3" width="36.85546875" bestFit="1" customWidth="1"/>
  </cols>
  <sheetData>
    <row r="1" spans="1:5" x14ac:dyDescent="0.2">
      <c r="A1" s="251" t="s">
        <v>613</v>
      </c>
    </row>
    <row r="2" spans="1:5" ht="15" x14ac:dyDescent="0.2">
      <c r="A2" s="254"/>
      <c r="B2" s="254" t="s">
        <v>699</v>
      </c>
      <c r="C2" s="254" t="str">
        <f>IF(Taustatiedot!$BH$18&gt;0,"Siirtymätasaus parantaa tasapainoa näin paljon","")</f>
        <v>Siirtymätasaus parantaa tasapainoa näin paljon</v>
      </c>
      <c r="D2" s="254" t="str">
        <f>IF(Taustatiedot!$BH$18&lt;0,"Siirtymätasaus heikentää tasapainoa näin paljon","")</f>
        <v/>
      </c>
      <c r="E2" s="254" t="s">
        <v>572</v>
      </c>
    </row>
    <row r="3" spans="1:5" ht="15" x14ac:dyDescent="0.2">
      <c r="A3" s="254" t="s">
        <v>694</v>
      </c>
      <c r="B3" s="377">
        <f>Tuloslaskelma!B81</f>
        <v>179.40857599483684</v>
      </c>
      <c r="C3" s="254"/>
      <c r="E3" s="102">
        <f>Tuloslaskelma!B81</f>
        <v>179.40857599483684</v>
      </c>
    </row>
    <row r="4" spans="1:5" ht="15" x14ac:dyDescent="0.2">
      <c r="A4" s="254" t="s">
        <v>705</v>
      </c>
      <c r="B4" s="377">
        <f>Tuloslaskelma!D81-Taustatiedot!BH18</f>
        <v>403.91220694023605</v>
      </c>
      <c r="C4" s="377">
        <f>IF(Taustatiedot!$BH$18&gt;0,Taustatiedot!$BH$18,"")</f>
        <v>16.817840264151343</v>
      </c>
      <c r="D4" s="102" t="str">
        <f>IF(Taustatiedot!$BH$18&lt;0,Taustatiedot!$BH$18,"")</f>
        <v/>
      </c>
      <c r="E4" s="102">
        <f>Tuloslaskelma!D81</f>
        <v>420.7300472043874</v>
      </c>
    </row>
    <row r="5" spans="1:5" ht="15" x14ac:dyDescent="0.2">
      <c r="A5" s="254" t="s">
        <v>695</v>
      </c>
      <c r="B5" s="377">
        <f>Tuloslaskelma!E81-Taustatiedot!BI18</f>
        <v>252.12479163123817</v>
      </c>
      <c r="C5" s="377" t="str">
        <f>IF(Taustatiedot!$BI$18&gt;0,Taustatiedot!$BI$18,"")</f>
        <v/>
      </c>
      <c r="D5" s="102">
        <f>IF(Taustatiedot!$BI$18&lt;0,Taustatiedot!$BI$18,"")</f>
        <v>-64.846255684096263</v>
      </c>
      <c r="E5" s="102">
        <f>Tuloslaskelma!E81</f>
        <v>187.2785359471419</v>
      </c>
    </row>
    <row r="6" spans="1:5" ht="15" x14ac:dyDescent="0.2">
      <c r="A6" s="254" t="s">
        <v>696</v>
      </c>
      <c r="B6" s="377">
        <f>Tuloslaskelma!F81-Taustatiedot!BJ18</f>
        <v>252.12479163123803</v>
      </c>
      <c r="C6" s="377" t="str">
        <f>IF(Taustatiedot!$BJ$18&gt;0,Taustatiedot!$BJ$18,"")</f>
        <v/>
      </c>
      <c r="D6" s="102">
        <f>IF(Taustatiedot!$BJ$18&lt;0,Taustatiedot!$BJ$18,"")</f>
        <v>-50.934922313091448</v>
      </c>
      <c r="E6" s="102">
        <f>Tuloslaskelma!F81</f>
        <v>201.18986931814658</v>
      </c>
    </row>
    <row r="7" spans="1:5" ht="15" x14ac:dyDescent="0.2">
      <c r="A7" s="254" t="s">
        <v>697</v>
      </c>
      <c r="B7" s="377">
        <f>Tuloslaskelma!G81-Taustatiedot!BK18</f>
        <v>262.12479163123817</v>
      </c>
      <c r="C7" s="377" t="str">
        <f>IF(Taustatiedot!$BK$18&gt;0,Taustatiedot!$BK$18,"")</f>
        <v/>
      </c>
      <c r="D7" s="102">
        <f>IF(Taustatiedot!$BK$18&lt;0,Taustatiedot!$BK$18,"")</f>
        <v>-37.12516130509696</v>
      </c>
      <c r="E7" s="102">
        <f>Tuloslaskelma!G81</f>
        <v>224.99963032614122</v>
      </c>
    </row>
    <row r="8" spans="1:5" ht="15" x14ac:dyDescent="0.2">
      <c r="A8" s="254" t="s">
        <v>698</v>
      </c>
      <c r="B8" s="377">
        <f>Tuloslaskelma!H81-Taustatiedot!BL18</f>
        <v>262.12479163123828</v>
      </c>
      <c r="C8" s="377" t="str">
        <f>IF(Taustatiedot!$BL$18&gt;0,Taustatiedot!$BL$18,"")</f>
        <v/>
      </c>
      <c r="D8" s="102">
        <f>IF(Taustatiedot!$BL$18&lt;0,Taustatiedot!$BL$18,"")</f>
        <v>-23.10136046188331</v>
      </c>
      <c r="E8" s="102">
        <f>Tuloslaskelma!H81</f>
        <v>239.02343116935495</v>
      </c>
    </row>
    <row r="9" spans="1:5" ht="15" x14ac:dyDescent="0.2">
      <c r="A9" s="254"/>
      <c r="B9" s="393" t="s">
        <v>693</v>
      </c>
      <c r="C9" s="393" t="s">
        <v>692</v>
      </c>
    </row>
    <row r="26" spans="1:1" ht="18" x14ac:dyDescent="0.25">
      <c r="A26" s="389"/>
    </row>
    <row r="27" spans="1:1" ht="18" x14ac:dyDescent="0.25">
      <c r="A27" s="398"/>
    </row>
    <row r="28" spans="1:1" ht="18" x14ac:dyDescent="0.25">
      <c r="A28" s="389"/>
    </row>
    <row r="29" spans="1:1" ht="15" x14ac:dyDescent="0.25">
      <c r="A29" s="375"/>
    </row>
    <row r="30" spans="1:1" ht="15" x14ac:dyDescent="0.25">
      <c r="A30" s="375"/>
    </row>
    <row r="31" spans="1:1" ht="15" x14ac:dyDescent="0.25">
      <c r="A31" s="375"/>
    </row>
    <row r="32" spans="1:1" ht="15" x14ac:dyDescent="0.25">
      <c r="A32" s="375"/>
    </row>
    <row r="45" spans="1:3" ht="15" x14ac:dyDescent="0.2">
      <c r="A45" s="254"/>
      <c r="B45" s="254"/>
      <c r="C45" s="254"/>
    </row>
    <row r="47" spans="1:3" ht="15" x14ac:dyDescent="0.2">
      <c r="A47" s="254"/>
      <c r="B47" s="254"/>
      <c r="C47" s="254"/>
    </row>
    <row r="49" spans="1:3" ht="15" x14ac:dyDescent="0.2">
      <c r="A49" s="254"/>
      <c r="B49" s="254"/>
      <c r="C49" s="254"/>
    </row>
    <row r="50" spans="1:3" ht="15" x14ac:dyDescent="0.2">
      <c r="A50" s="254"/>
      <c r="B50" s="377"/>
      <c r="C50" s="377"/>
    </row>
    <row r="51" spans="1:3" ht="15" x14ac:dyDescent="0.2">
      <c r="A51" s="254"/>
      <c r="B51" s="377"/>
      <c r="C51" s="377"/>
    </row>
    <row r="52" spans="1:3" ht="15" x14ac:dyDescent="0.2">
      <c r="A52" s="254"/>
      <c r="B52" s="377"/>
      <c r="C52" s="377"/>
    </row>
    <row r="53" spans="1:3" x14ac:dyDescent="0.2">
      <c r="B53" s="393"/>
      <c r="C53" s="393"/>
    </row>
  </sheetData>
  <phoneticPr fontId="27" type="noConversion"/>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ul2"/>
  <dimension ref="A1:F39"/>
  <sheetViews>
    <sheetView workbookViewId="0">
      <pane xSplit="1" ySplit="7" topLeftCell="B8" activePane="bottomRight" state="frozen"/>
      <selection activeCell="C16" sqref="C16"/>
      <selection pane="topRight" activeCell="C16" sqref="C16"/>
      <selection pane="bottomLeft" activeCell="C16" sqref="C16"/>
      <selection pane="bottomRight" activeCell="C16" sqref="C16"/>
    </sheetView>
  </sheetViews>
  <sheetFormatPr defaultColWidth="9.140625" defaultRowHeight="12.75" x14ac:dyDescent="0.2"/>
  <cols>
    <col min="1" max="1" width="47.28515625" style="5" customWidth="1"/>
    <col min="2" max="2" width="13" style="5" customWidth="1"/>
    <col min="3" max="3" width="11.7109375" style="5" customWidth="1"/>
    <col min="4" max="4" width="20.140625" style="5" bestFit="1" customWidth="1"/>
    <col min="5" max="5" width="4.7109375" style="5" customWidth="1"/>
    <col min="6" max="6" width="98.85546875" style="27" customWidth="1"/>
    <col min="7" max="16384" width="9.140625" style="5"/>
  </cols>
  <sheetData>
    <row r="1" spans="1:6" x14ac:dyDescent="0.2">
      <c r="A1" s="4"/>
      <c r="B1" s="6"/>
    </row>
    <row r="2" spans="1:6" ht="18" x14ac:dyDescent="0.25">
      <c r="A2" s="204" t="s">
        <v>583</v>
      </c>
      <c r="B2" s="205"/>
      <c r="C2" s="202"/>
      <c r="D2" s="36" t="s">
        <v>585</v>
      </c>
      <c r="E2" s="32"/>
      <c r="F2" s="45"/>
    </row>
    <row r="3" spans="1:6" ht="17.25" customHeight="1" x14ac:dyDescent="0.2">
      <c r="A3" s="199" t="s">
        <v>584</v>
      </c>
      <c r="B3" s="205"/>
      <c r="C3" s="202"/>
      <c r="D3" s="202"/>
      <c r="E3" s="32"/>
      <c r="F3" s="45"/>
    </row>
    <row r="4" spans="1:6" ht="11.85" customHeight="1" x14ac:dyDescent="0.2">
      <c r="A4" s="202" t="s">
        <v>596</v>
      </c>
      <c r="B4" s="205"/>
      <c r="C4" s="202"/>
      <c r="D4" s="202"/>
      <c r="E4" s="32"/>
      <c r="F4" s="45"/>
    </row>
    <row r="5" spans="1:6" ht="14.85" customHeight="1" x14ac:dyDescent="0.2">
      <c r="A5" s="32"/>
      <c r="B5" s="32"/>
      <c r="C5" s="32"/>
      <c r="D5" s="32"/>
      <c r="E5" s="32"/>
      <c r="F5" s="45"/>
    </row>
    <row r="6" spans="1:6" ht="14.85" customHeight="1" x14ac:dyDescent="0.2">
      <c r="A6" s="32" t="str">
        <f>linkki</f>
        <v>Alajärvi</v>
      </c>
      <c r="B6" s="34" t="s">
        <v>565</v>
      </c>
      <c r="C6" s="34" t="s">
        <v>445</v>
      </c>
      <c r="D6" s="34" t="s">
        <v>504</v>
      </c>
      <c r="E6" s="32"/>
      <c r="F6" s="45"/>
    </row>
    <row r="7" spans="1:6" ht="14.85" customHeight="1" x14ac:dyDescent="0.2">
      <c r="A7" s="35" t="s">
        <v>465</v>
      </c>
      <c r="B7" s="143"/>
      <c r="C7" s="143"/>
      <c r="D7" s="143"/>
      <c r="E7" s="32"/>
      <c r="F7" s="33" t="s">
        <v>104</v>
      </c>
    </row>
    <row r="8" spans="1:6" ht="15" customHeight="1" x14ac:dyDescent="0.2">
      <c r="A8" s="7" t="s">
        <v>17</v>
      </c>
      <c r="B8" s="6"/>
      <c r="F8" s="45"/>
    </row>
    <row r="9" spans="1:6" ht="15" customHeight="1" x14ac:dyDescent="0.2">
      <c r="A9" s="5" t="s">
        <v>6</v>
      </c>
      <c r="B9" s="256">
        <f>Tuloslaskelma!$B$67</f>
        <v>1670.4732510879257</v>
      </c>
      <c r="C9" s="30"/>
      <c r="D9" s="256">
        <f>Tuloslaskelma!D67</f>
        <v>3917.4174695200509</v>
      </c>
      <c r="F9" s="45" t="s">
        <v>590</v>
      </c>
    </row>
    <row r="10" spans="1:6" ht="15" customHeight="1" x14ac:dyDescent="0.2">
      <c r="A10" s="5" t="s">
        <v>7</v>
      </c>
      <c r="B10" s="257">
        <f>Tuloslaskelma!$B$70+Tuloslaskelma!$B$71</f>
        <v>0</v>
      </c>
      <c r="C10" s="30"/>
      <c r="D10" s="257">
        <f>Tuloslaskelma!D70+Tuloslaskelma!D71</f>
        <v>0</v>
      </c>
      <c r="F10" s="45" t="s">
        <v>590</v>
      </c>
    </row>
    <row r="11" spans="1:6" ht="15" customHeight="1" x14ac:dyDescent="0.2">
      <c r="A11" s="5" t="s">
        <v>14</v>
      </c>
      <c r="B11" s="257" t="e">
        <f>VLOOKUP(linkki,_tpa17,27,FALSE)</f>
        <v>#NAME?</v>
      </c>
      <c r="C11" s="258"/>
      <c r="D11" s="259" t="e">
        <f>B11-C11</f>
        <v>#NAME?</v>
      </c>
      <c r="F11" s="45"/>
    </row>
    <row r="12" spans="1:6" ht="15" customHeight="1" x14ac:dyDescent="0.2">
      <c r="A12" s="7" t="s">
        <v>18</v>
      </c>
      <c r="B12" s="51"/>
      <c r="C12" s="260"/>
      <c r="D12" s="261"/>
      <c r="F12" s="45"/>
    </row>
    <row r="13" spans="1:6" ht="15" customHeight="1" x14ac:dyDescent="0.2">
      <c r="A13" s="5" t="s">
        <v>15</v>
      </c>
      <c r="B13" s="256" t="e">
        <f>-VLOOKUP(linkki,_tpa17,16,FALSE)</f>
        <v>#NAME?</v>
      </c>
      <c r="C13" s="262"/>
      <c r="D13" s="256" t="e">
        <f>B13-C13</f>
        <v>#NAME?</v>
      </c>
      <c r="F13" s="45" t="s">
        <v>110</v>
      </c>
    </row>
    <row r="14" spans="1:6" ht="15" customHeight="1" x14ac:dyDescent="0.2">
      <c r="A14" s="5" t="s">
        <v>19</v>
      </c>
      <c r="B14" s="257" t="e">
        <f>VLOOKUP(linkki,_tpa17,17,FALSE)</f>
        <v>#NAME?</v>
      </c>
      <c r="C14" s="263"/>
      <c r="D14" s="257" t="e">
        <f>B14-C14</f>
        <v>#NAME?</v>
      </c>
      <c r="F14" s="45" t="s">
        <v>463</v>
      </c>
    </row>
    <row r="15" spans="1:6" ht="15" customHeight="1" x14ac:dyDescent="0.2">
      <c r="A15" s="5" t="s">
        <v>20</v>
      </c>
      <c r="B15" s="257" t="e">
        <f>VLOOKUP(linkki,_tpa17,18,FALSE)</f>
        <v>#NAME?</v>
      </c>
      <c r="C15" s="264"/>
      <c r="D15" s="257" t="e">
        <f>B15-C15</f>
        <v>#NAME?</v>
      </c>
      <c r="F15" s="45" t="s">
        <v>506</v>
      </c>
    </row>
    <row r="16" spans="1:6" s="7" customFormat="1" ht="15" customHeight="1" x14ac:dyDescent="0.2">
      <c r="A16" s="7" t="s">
        <v>26</v>
      </c>
      <c r="B16" s="265" t="e">
        <f>SUM(B9:B15)</f>
        <v>#NAME?</v>
      </c>
      <c r="C16" s="266"/>
      <c r="D16" s="265" t="e">
        <f>SUM(D9:D15)</f>
        <v>#NAME?</v>
      </c>
      <c r="F16" s="33"/>
    </row>
    <row r="17" spans="1:6" ht="15" customHeight="1" x14ac:dyDescent="0.2">
      <c r="B17" s="95"/>
      <c r="C17" s="260"/>
      <c r="D17" s="260"/>
      <c r="F17" s="45"/>
    </row>
    <row r="18" spans="1:6" ht="15" customHeight="1" x14ac:dyDescent="0.2">
      <c r="A18" s="7" t="s">
        <v>21</v>
      </c>
      <c r="B18" s="51"/>
      <c r="C18" s="260"/>
      <c r="D18" s="260"/>
      <c r="F18" s="45"/>
    </row>
    <row r="19" spans="1:6" ht="15" customHeight="1" x14ac:dyDescent="0.2">
      <c r="A19" s="5" t="s">
        <v>10</v>
      </c>
      <c r="B19" s="267" t="e">
        <f>B20+B21</f>
        <v>#NAME?</v>
      </c>
      <c r="C19" s="260"/>
      <c r="D19" s="267" t="e">
        <f>D20+D21</f>
        <v>#NAME?</v>
      </c>
      <c r="F19" s="45"/>
    </row>
    <row r="20" spans="1:6" ht="15" customHeight="1" x14ac:dyDescent="0.2">
      <c r="A20" s="31" t="s">
        <v>455</v>
      </c>
      <c r="B20" s="257" t="e">
        <f>-VLOOKUP(linkki,_tpa17,19,FALSE)</f>
        <v>#NAME?</v>
      </c>
      <c r="C20" s="262"/>
      <c r="D20" s="257" t="e">
        <f>B20-C20</f>
        <v>#NAME?</v>
      </c>
      <c r="F20" s="45"/>
    </row>
    <row r="21" spans="1:6" ht="15" customHeight="1" x14ac:dyDescent="0.2">
      <c r="A21" s="31" t="s">
        <v>456</v>
      </c>
      <c r="B21" s="257" t="e">
        <f>VLOOKUP(linkki,_tpa17,20,FALSE)</f>
        <v>#NAME?</v>
      </c>
      <c r="C21" s="264"/>
      <c r="D21" s="257" t="e">
        <f>B21-C21</f>
        <v>#NAME?</v>
      </c>
      <c r="F21" s="45"/>
    </row>
    <row r="22" spans="1:6" ht="15" customHeight="1" x14ac:dyDescent="0.2">
      <c r="A22" s="5" t="s">
        <v>11</v>
      </c>
      <c r="B22" s="190" t="e">
        <f>B23+B24+B25</f>
        <v>#NAME?</v>
      </c>
      <c r="C22" s="260"/>
      <c r="D22" s="190" t="e">
        <f>D23+D24+D25</f>
        <v>#NAME?</v>
      </c>
      <c r="F22" s="45"/>
    </row>
    <row r="23" spans="1:6" ht="15" customHeight="1" x14ac:dyDescent="0.2">
      <c r="A23" s="31" t="s">
        <v>452</v>
      </c>
      <c r="B23" s="257" t="e">
        <f>VLOOKUP(linkki,_tpa17,21,FALSE)</f>
        <v>#NAME?</v>
      </c>
      <c r="C23" s="262"/>
      <c r="D23" s="257" t="e">
        <f>B23-C23</f>
        <v>#NAME?</v>
      </c>
      <c r="F23" s="45" t="s">
        <v>111</v>
      </c>
    </row>
    <row r="24" spans="1:6" ht="15" customHeight="1" x14ac:dyDescent="0.2">
      <c r="A24" s="31" t="s">
        <v>453</v>
      </c>
      <c r="B24" s="257" t="e">
        <f>-VLOOKUP(linkki,_tpa17,22,FALSE)</f>
        <v>#NAME?</v>
      </c>
      <c r="C24" s="263"/>
      <c r="D24" s="257" t="e">
        <f>B24-C24</f>
        <v>#NAME?</v>
      </c>
      <c r="F24" s="45"/>
    </row>
    <row r="25" spans="1:6" ht="15" customHeight="1" x14ac:dyDescent="0.2">
      <c r="A25" s="31" t="s">
        <v>454</v>
      </c>
      <c r="B25" s="257" t="e">
        <f>VLOOKUP(linkki,_tpa17,23,FALSE)</f>
        <v>#NAME?</v>
      </c>
      <c r="C25" s="263"/>
      <c r="D25" s="257" t="e">
        <f>B25-C25</f>
        <v>#NAME?</v>
      </c>
      <c r="F25" s="45"/>
    </row>
    <row r="26" spans="1:6" ht="15" customHeight="1" x14ac:dyDescent="0.2">
      <c r="A26" s="5" t="s">
        <v>12</v>
      </c>
      <c r="B26" s="190"/>
      <c r="C26" s="268"/>
      <c r="D26" s="190"/>
      <c r="F26" s="45"/>
    </row>
    <row r="27" spans="1:6" ht="15" customHeight="1" x14ac:dyDescent="0.2">
      <c r="A27" s="5" t="s">
        <v>13</v>
      </c>
      <c r="B27" s="190">
        <f>B28+B29+B30+B31</f>
        <v>0</v>
      </c>
      <c r="C27" s="260"/>
      <c r="D27" s="190">
        <f>D28+D29+D30+D31</f>
        <v>0</v>
      </c>
      <c r="F27" s="45"/>
    </row>
    <row r="28" spans="1:6" ht="15" customHeight="1" x14ac:dyDescent="0.2">
      <c r="A28" s="31" t="s">
        <v>448</v>
      </c>
      <c r="B28" s="257"/>
      <c r="C28" s="262"/>
      <c r="D28" s="257">
        <f>B28-C28</f>
        <v>0</v>
      </c>
      <c r="F28" s="45" t="s">
        <v>457</v>
      </c>
    </row>
    <row r="29" spans="1:6" x14ac:dyDescent="0.2">
      <c r="A29" s="31" t="s">
        <v>449</v>
      </c>
      <c r="B29" s="257"/>
      <c r="C29" s="263"/>
      <c r="D29" s="257">
        <f>B29-C29</f>
        <v>0</v>
      </c>
      <c r="F29" s="45" t="s">
        <v>112</v>
      </c>
    </row>
    <row r="30" spans="1:6" ht="15" customHeight="1" x14ac:dyDescent="0.2">
      <c r="A30" s="31" t="s">
        <v>450</v>
      </c>
      <c r="B30" s="257"/>
      <c r="C30" s="263"/>
      <c r="D30" s="257">
        <f>B30-C30</f>
        <v>0</v>
      </c>
      <c r="F30" s="45"/>
    </row>
    <row r="31" spans="1:6" ht="15" customHeight="1" x14ac:dyDescent="0.2">
      <c r="A31" s="31" t="s">
        <v>451</v>
      </c>
      <c r="B31" s="257"/>
      <c r="C31" s="264"/>
      <c r="D31" s="257">
        <f>B31-C31</f>
        <v>0</v>
      </c>
      <c r="F31" s="45" t="s">
        <v>458</v>
      </c>
    </row>
    <row r="32" spans="1:6" ht="15" customHeight="1" x14ac:dyDescent="0.2">
      <c r="A32" s="47" t="s">
        <v>21</v>
      </c>
      <c r="B32" s="265" t="e">
        <f>B19+B22+B26+B27</f>
        <v>#NAME?</v>
      </c>
      <c r="C32" s="260"/>
      <c r="D32" s="265" t="e">
        <f>D19+D22+C26+D27</f>
        <v>#NAME?</v>
      </c>
      <c r="F32" s="48" t="s">
        <v>459</v>
      </c>
    </row>
    <row r="33" spans="1:6" x14ac:dyDescent="0.2">
      <c r="B33" s="51"/>
      <c r="C33" s="30"/>
      <c r="D33" s="30"/>
      <c r="F33" s="48" t="s">
        <v>460</v>
      </c>
    </row>
    <row r="34" spans="1:6" s="7" customFormat="1" ht="15" customHeight="1" x14ac:dyDescent="0.2">
      <c r="A34" s="7" t="s">
        <v>16</v>
      </c>
      <c r="B34" s="237" t="e">
        <f>B16+B32</f>
        <v>#NAME?</v>
      </c>
      <c r="C34" s="266"/>
      <c r="D34" s="237" t="e">
        <f>D32+D16</f>
        <v>#NAME?</v>
      </c>
      <c r="F34" s="48" t="s">
        <v>461</v>
      </c>
    </row>
    <row r="35" spans="1:6" s="7" customFormat="1" ht="25.5" x14ac:dyDescent="0.2">
      <c r="B35" s="137"/>
      <c r="C35" s="137"/>
      <c r="D35" s="137"/>
      <c r="F35" s="48" t="s">
        <v>462</v>
      </c>
    </row>
    <row r="36" spans="1:6" ht="15" customHeight="1" x14ac:dyDescent="0.2">
      <c r="B36" s="51"/>
      <c r="C36" s="30"/>
      <c r="D36" s="51"/>
      <c r="F36" s="45"/>
    </row>
    <row r="37" spans="1:6" s="7" customFormat="1" x14ac:dyDescent="0.2">
      <c r="A37" s="7" t="s">
        <v>101</v>
      </c>
      <c r="B37" s="269" t="e">
        <f>(Tuloslaskelma!B67-Tuloslaskelma!B64)/(-Tuloslaskelma!B64-B24)</f>
        <v>#NAME?</v>
      </c>
      <c r="C37" s="30"/>
      <c r="D37" s="269" t="e">
        <f>(Tuloslaskelma!D67-Tuloslaskelma!D64)/(-Tuloslaskelma!D64-D24)</f>
        <v>#NAME?</v>
      </c>
      <c r="F37" s="46" t="s">
        <v>120</v>
      </c>
    </row>
    <row r="38" spans="1:6" ht="15" customHeight="1" x14ac:dyDescent="0.25">
      <c r="A38" s="9"/>
      <c r="B38" s="270"/>
      <c r="C38" s="270"/>
      <c r="D38" s="271"/>
      <c r="E38" s="10"/>
      <c r="F38" s="28"/>
    </row>
    <row r="39" spans="1:6" x14ac:dyDescent="0.2">
      <c r="A39" s="7" t="s">
        <v>475</v>
      </c>
      <c r="B39" s="269" t="e">
        <f>B9/(-B13-B14)*(100)</f>
        <v>#NAME?</v>
      </c>
      <c r="C39" s="270"/>
      <c r="D39" s="269" t="e">
        <f>D9/(-D13-D14)*(100)</f>
        <v>#NAME?</v>
      </c>
    </row>
  </sheetData>
  <pageMargins left="0.7" right="0.7" top="0.75" bottom="0.75" header="0.3" footer="0.3"/>
  <pageSetup paperSize="9" orientation="portrait" r:id="rId1"/>
  <ignoredErrors>
    <ignoredError sqref="D22" 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ul3"/>
  <dimension ref="A1:E123"/>
  <sheetViews>
    <sheetView zoomScaleNormal="100" workbookViewId="0">
      <pane xSplit="1" ySplit="5" topLeftCell="B6" activePane="bottomRight" state="frozen"/>
      <selection activeCell="C16" sqref="C16"/>
      <selection pane="topRight" activeCell="C16" sqref="C16"/>
      <selection pane="bottomLeft" activeCell="C16" sqref="C16"/>
      <selection pane="bottomRight" activeCell="C16" sqref="C16"/>
    </sheetView>
  </sheetViews>
  <sheetFormatPr defaultColWidth="9.140625" defaultRowHeight="12.75" x14ac:dyDescent="0.2"/>
  <cols>
    <col min="1" max="1" width="43.28515625" style="5" customWidth="1"/>
    <col min="2" max="2" width="13.7109375" style="5" customWidth="1"/>
    <col min="3" max="3" width="19.5703125" style="5" customWidth="1"/>
    <col min="4" max="4" width="13.5703125" style="5" customWidth="1"/>
    <col min="5" max="5" width="118.28515625" style="27" customWidth="1"/>
    <col min="6" max="16384" width="9.140625" style="5"/>
  </cols>
  <sheetData>
    <row r="1" spans="1:5" ht="15" customHeight="1" x14ac:dyDescent="0.25">
      <c r="A1" s="9"/>
      <c r="B1" s="10"/>
      <c r="C1" s="10"/>
      <c r="D1" s="10"/>
      <c r="E1" s="28"/>
    </row>
    <row r="2" spans="1:5" ht="15" customHeight="1" x14ac:dyDescent="0.25">
      <c r="A2" s="206" t="s">
        <v>586</v>
      </c>
      <c r="B2" s="207"/>
      <c r="C2" s="10"/>
      <c r="D2" s="10"/>
      <c r="E2" s="28"/>
    </row>
    <row r="3" spans="1:5" ht="15" customHeight="1" x14ac:dyDescent="0.2">
      <c r="A3" s="208" t="s">
        <v>588</v>
      </c>
      <c r="B3" s="61" t="s">
        <v>598</v>
      </c>
      <c r="C3" s="10"/>
      <c r="E3" s="28"/>
    </row>
    <row r="4" spans="1:5" ht="15" customHeight="1" x14ac:dyDescent="0.2">
      <c r="A4" s="61" t="s">
        <v>464</v>
      </c>
      <c r="C4" s="10"/>
      <c r="D4" s="10"/>
      <c r="E4" s="28"/>
    </row>
    <row r="5" spans="1:5" ht="15" customHeight="1" x14ac:dyDescent="0.25">
      <c r="A5" s="11" t="s">
        <v>27</v>
      </c>
      <c r="B5" s="12" t="s">
        <v>566</v>
      </c>
      <c r="C5" s="65" t="s">
        <v>430</v>
      </c>
      <c r="D5" s="62" t="s">
        <v>504</v>
      </c>
    </row>
    <row r="6" spans="1:5" ht="15" customHeight="1" x14ac:dyDescent="0.2">
      <c r="A6" s="22" t="str">
        <f>Tuloslaskelma!A8</f>
        <v>Alajärvi</v>
      </c>
      <c r="B6" s="191" t="s">
        <v>589</v>
      </c>
      <c r="C6" s="3"/>
      <c r="D6" s="192"/>
    </row>
    <row r="7" spans="1:5" ht="15" customHeight="1" x14ac:dyDescent="0.2">
      <c r="A7" s="23" t="s">
        <v>29</v>
      </c>
      <c r="B7" s="272" t="e">
        <f>B8+B13+B21</f>
        <v>#NAME?</v>
      </c>
      <c r="C7" s="272"/>
      <c r="D7" s="272" t="e">
        <f>D8+D13+D21</f>
        <v>#NAME?</v>
      </c>
      <c r="E7" s="72"/>
    </row>
    <row r="8" spans="1:5" ht="15" customHeight="1" x14ac:dyDescent="0.2">
      <c r="A8" s="14" t="s">
        <v>31</v>
      </c>
      <c r="B8" s="273">
        <f>B9+B10+B11</f>
        <v>0</v>
      </c>
      <c r="C8" s="274"/>
      <c r="D8" s="273">
        <f>D9+D10+D11</f>
        <v>0</v>
      </c>
      <c r="E8" s="72"/>
    </row>
    <row r="9" spans="1:5" ht="12.6" customHeight="1" x14ac:dyDescent="0.2">
      <c r="A9" s="58" t="s">
        <v>33</v>
      </c>
      <c r="B9" s="275"/>
      <c r="C9" s="276"/>
      <c r="D9" s="277">
        <f>B9-C9</f>
        <v>0</v>
      </c>
      <c r="E9" s="71" t="s">
        <v>468</v>
      </c>
    </row>
    <row r="10" spans="1:5" ht="17.45" customHeight="1" x14ac:dyDescent="0.2">
      <c r="A10" s="58" t="s">
        <v>35</v>
      </c>
      <c r="B10" s="275"/>
      <c r="C10" s="278"/>
      <c r="D10" s="277">
        <f>B10-C10</f>
        <v>0</v>
      </c>
      <c r="E10" s="72"/>
    </row>
    <row r="11" spans="1:5" ht="15" customHeight="1" x14ac:dyDescent="0.2">
      <c r="A11" s="58" t="s">
        <v>37</v>
      </c>
      <c r="B11" s="275"/>
      <c r="C11" s="279"/>
      <c r="D11" s="277">
        <f>B11-C11</f>
        <v>0</v>
      </c>
      <c r="E11" s="72"/>
    </row>
    <row r="12" spans="1:5" ht="15" customHeight="1" x14ac:dyDescent="0.2">
      <c r="A12" s="17"/>
      <c r="B12" s="280"/>
      <c r="C12" s="281"/>
      <c r="D12" s="282"/>
      <c r="E12" s="72"/>
    </row>
    <row r="13" spans="1:5" ht="15" customHeight="1" x14ac:dyDescent="0.2">
      <c r="A13" s="14" t="s">
        <v>40</v>
      </c>
      <c r="B13" s="273">
        <f>SUM(B14:B19)</f>
        <v>0</v>
      </c>
      <c r="C13" s="274"/>
      <c r="D13" s="273">
        <f>SUM(D14:D19)</f>
        <v>0</v>
      </c>
      <c r="E13" s="72"/>
    </row>
    <row r="14" spans="1:5" ht="15" customHeight="1" x14ac:dyDescent="0.2">
      <c r="A14" s="58" t="s">
        <v>41</v>
      </c>
      <c r="B14" s="275"/>
      <c r="C14" s="276"/>
      <c r="D14" s="277">
        <f t="shared" ref="D14:D19" si="0">B14-C14</f>
        <v>0</v>
      </c>
      <c r="E14" s="73" t="s">
        <v>446</v>
      </c>
    </row>
    <row r="15" spans="1:5" ht="15.6" customHeight="1" x14ac:dyDescent="0.2">
      <c r="A15" s="58" t="s">
        <v>42</v>
      </c>
      <c r="B15" s="275"/>
      <c r="C15" s="278"/>
      <c r="D15" s="277">
        <f t="shared" si="0"/>
        <v>0</v>
      </c>
      <c r="E15" s="72" t="s">
        <v>469</v>
      </c>
    </row>
    <row r="16" spans="1:5" ht="15" customHeight="1" x14ac:dyDescent="0.2">
      <c r="A16" s="58" t="s">
        <v>44</v>
      </c>
      <c r="B16" s="275"/>
      <c r="C16" s="278"/>
      <c r="D16" s="277">
        <f t="shared" si="0"/>
        <v>0</v>
      </c>
      <c r="E16" s="72"/>
    </row>
    <row r="17" spans="1:5" ht="14.45" customHeight="1" x14ac:dyDescent="0.2">
      <c r="A17" s="58" t="s">
        <v>46</v>
      </c>
      <c r="B17" s="275"/>
      <c r="C17" s="278"/>
      <c r="D17" s="277">
        <f t="shared" si="0"/>
        <v>0</v>
      </c>
      <c r="E17" s="72" t="s">
        <v>447</v>
      </c>
    </row>
    <row r="18" spans="1:5" ht="17.100000000000001" customHeight="1" x14ac:dyDescent="0.2">
      <c r="A18" s="58" t="s">
        <v>47</v>
      </c>
      <c r="B18" s="275"/>
      <c r="C18" s="278"/>
      <c r="D18" s="277">
        <f t="shared" si="0"/>
        <v>0</v>
      </c>
      <c r="E18" s="72" t="s">
        <v>470</v>
      </c>
    </row>
    <row r="19" spans="1:5" ht="15" customHeight="1" x14ac:dyDescent="0.2">
      <c r="A19" s="58" t="s">
        <v>49</v>
      </c>
      <c r="B19" s="275"/>
      <c r="C19" s="279"/>
      <c r="D19" s="277">
        <f t="shared" si="0"/>
        <v>0</v>
      </c>
      <c r="E19" s="72"/>
    </row>
    <row r="20" spans="1:5" ht="15" customHeight="1" x14ac:dyDescent="0.2">
      <c r="A20" s="18"/>
      <c r="B20" s="283"/>
      <c r="C20" s="30"/>
      <c r="D20" s="282"/>
      <c r="E20" s="72"/>
    </row>
    <row r="21" spans="1:5" ht="15" customHeight="1" x14ac:dyDescent="0.2">
      <c r="A21" s="14" t="s">
        <v>52</v>
      </c>
      <c r="B21" s="273" t="e">
        <f>SUM(B22,B25:B27)</f>
        <v>#NAME?</v>
      </c>
      <c r="C21" s="274"/>
      <c r="D21" s="273" t="e">
        <f>SUM(D22,D25:D27)</f>
        <v>#NAME?</v>
      </c>
      <c r="E21" s="72"/>
    </row>
    <row r="22" spans="1:5" x14ac:dyDescent="0.2">
      <c r="A22" s="58" t="s">
        <v>53</v>
      </c>
      <c r="B22" s="275" t="e">
        <f>SUM(B23:B24)</f>
        <v>#NAME?</v>
      </c>
      <c r="C22" s="284"/>
      <c r="D22" s="277" t="e">
        <f t="shared" ref="D22:D27" si="1">B22-C22</f>
        <v>#NAME?</v>
      </c>
      <c r="E22" s="72"/>
    </row>
    <row r="23" spans="1:5" ht="15" customHeight="1" x14ac:dyDescent="0.2">
      <c r="A23" s="59" t="s">
        <v>97</v>
      </c>
      <c r="B23" s="275" t="e">
        <f>VLOOKUP(linkki,_tpa17,28,FALSE)</f>
        <v>#NAME?</v>
      </c>
      <c r="C23" s="285"/>
      <c r="D23" s="277" t="e">
        <f t="shared" si="1"/>
        <v>#NAME?</v>
      </c>
      <c r="E23" s="72" t="s">
        <v>471</v>
      </c>
    </row>
    <row r="24" spans="1:5" ht="15" customHeight="1" x14ac:dyDescent="0.2">
      <c r="A24" s="59" t="s">
        <v>98</v>
      </c>
      <c r="B24" s="275" t="e">
        <f>VLOOKUP(linkki,_tpa17,29,FALSE)</f>
        <v>#NAME?</v>
      </c>
      <c r="C24" s="285"/>
      <c r="D24" s="277" t="e">
        <f t="shared" si="1"/>
        <v>#NAME?</v>
      </c>
      <c r="E24" s="72" t="s">
        <v>477</v>
      </c>
    </row>
    <row r="25" spans="1:5" ht="15" customHeight="1" x14ac:dyDescent="0.2">
      <c r="A25" s="58" t="s">
        <v>55</v>
      </c>
      <c r="B25" s="275" t="e">
        <f>VLOOKUP(linkki,_tpa17,30,FALSE)</f>
        <v>#NAME?</v>
      </c>
      <c r="C25" s="285"/>
      <c r="D25" s="277" t="e">
        <f t="shared" si="1"/>
        <v>#NAME?</v>
      </c>
      <c r="E25" s="72"/>
    </row>
    <row r="26" spans="1:5" ht="15" customHeight="1" x14ac:dyDescent="0.2">
      <c r="A26" s="58" t="s">
        <v>57</v>
      </c>
      <c r="B26" s="275" t="e">
        <f>VLOOKUP(linkki,_tpa17,31,FALSE)</f>
        <v>#NAME?</v>
      </c>
      <c r="C26" s="285"/>
      <c r="D26" s="277" t="e">
        <f t="shared" si="1"/>
        <v>#NAME?</v>
      </c>
      <c r="E26" s="72"/>
    </row>
    <row r="27" spans="1:5" ht="15" customHeight="1" x14ac:dyDescent="0.2">
      <c r="A27" s="58" t="s">
        <v>59</v>
      </c>
      <c r="B27" s="275" t="e">
        <f>VLOOKUP(linkki,_tpa17,32,FALSE)</f>
        <v>#NAME?</v>
      </c>
      <c r="C27" s="286"/>
      <c r="D27" s="277" t="e">
        <f t="shared" si="1"/>
        <v>#NAME?</v>
      </c>
      <c r="E27" s="72"/>
    </row>
    <row r="28" spans="1:5" ht="15" customHeight="1" x14ac:dyDescent="0.2">
      <c r="A28" s="16"/>
      <c r="B28" s="283"/>
      <c r="C28" s="30"/>
      <c r="D28" s="282"/>
      <c r="E28" s="72"/>
    </row>
    <row r="29" spans="1:5" ht="15" customHeight="1" x14ac:dyDescent="0.2">
      <c r="A29" s="19" t="s">
        <v>62</v>
      </c>
      <c r="B29" s="273" t="e">
        <f>IF(B30+B31+B32=0,VLOOKUP(linkki,_tpa17,33,FALSE),B30+B31+B32)</f>
        <v>#NAME?</v>
      </c>
      <c r="C29" s="274"/>
      <c r="D29" s="273" t="e">
        <f>IF(D30+D31+D32=0,VLOOKUP(linkki,_tpa17,33,FALSE),D30+D31+D32)</f>
        <v>#NAME?</v>
      </c>
      <c r="E29" s="72"/>
    </row>
    <row r="30" spans="1:5" ht="15" customHeight="1" x14ac:dyDescent="0.2">
      <c r="A30" s="58" t="s">
        <v>56</v>
      </c>
      <c r="B30" s="275"/>
      <c r="C30" s="284"/>
      <c r="D30" s="277">
        <f>B30-C30</f>
        <v>0</v>
      </c>
      <c r="E30" s="72"/>
    </row>
    <row r="31" spans="1:5" ht="16.350000000000001" customHeight="1" x14ac:dyDescent="0.2">
      <c r="A31" s="58" t="s">
        <v>64</v>
      </c>
      <c r="B31" s="275"/>
      <c r="C31" s="287"/>
      <c r="D31" s="277">
        <f>B31-C31</f>
        <v>0</v>
      </c>
      <c r="E31" s="72" t="s">
        <v>478</v>
      </c>
    </row>
    <row r="32" spans="1:5" ht="15" customHeight="1" x14ac:dyDescent="0.2">
      <c r="A32" s="58" t="s">
        <v>66</v>
      </c>
      <c r="B32" s="275"/>
      <c r="C32" s="286"/>
      <c r="D32" s="277">
        <f>B32-C32</f>
        <v>0</v>
      </c>
      <c r="E32" s="72"/>
    </row>
    <row r="33" spans="1:5" ht="15" customHeight="1" x14ac:dyDescent="0.2">
      <c r="A33" s="17"/>
      <c r="B33" s="283"/>
      <c r="C33" s="137"/>
      <c r="D33" s="282"/>
      <c r="E33" s="72"/>
    </row>
    <row r="34" spans="1:5" ht="15" customHeight="1" x14ac:dyDescent="0.2">
      <c r="A34" s="14" t="s">
        <v>69</v>
      </c>
      <c r="B34" s="273">
        <f>B35+B43+B49+B55+B61</f>
        <v>0</v>
      </c>
      <c r="C34" s="274"/>
      <c r="D34" s="273">
        <f>D35+D43+D49+D55+D61</f>
        <v>0</v>
      </c>
      <c r="E34" s="72"/>
    </row>
    <row r="35" spans="1:5" ht="15" customHeight="1" x14ac:dyDescent="0.2">
      <c r="A35" s="15" t="s">
        <v>71</v>
      </c>
      <c r="B35" s="275">
        <f>SUM(B36:B40)</f>
        <v>0</v>
      </c>
      <c r="C35" s="284"/>
      <c r="D35" s="277">
        <f t="shared" ref="D35:D40" si="2">B35-C35</f>
        <v>0</v>
      </c>
      <c r="E35" s="72"/>
    </row>
    <row r="36" spans="1:5" ht="25.5" x14ac:dyDescent="0.2">
      <c r="A36" s="58" t="s">
        <v>73</v>
      </c>
      <c r="B36" s="275"/>
      <c r="C36" s="285"/>
      <c r="D36" s="277">
        <f t="shared" si="2"/>
        <v>0</v>
      </c>
      <c r="E36" s="72" t="s">
        <v>113</v>
      </c>
    </row>
    <row r="37" spans="1:5" ht="15" customHeight="1" x14ac:dyDescent="0.2">
      <c r="A37" s="58" t="s">
        <v>75</v>
      </c>
      <c r="B37" s="275"/>
      <c r="C37" s="287"/>
      <c r="D37" s="277">
        <f t="shared" si="2"/>
        <v>0</v>
      </c>
      <c r="E37" s="72"/>
    </row>
    <row r="38" spans="1:5" ht="15" customHeight="1" x14ac:dyDescent="0.2">
      <c r="A38" s="58" t="s">
        <v>77</v>
      </c>
      <c r="B38" s="275"/>
      <c r="C38" s="285"/>
      <c r="D38" s="277">
        <f t="shared" si="2"/>
        <v>0</v>
      </c>
      <c r="E38" s="72"/>
    </row>
    <row r="39" spans="1:5" ht="15" customHeight="1" x14ac:dyDescent="0.2">
      <c r="A39" s="58" t="s">
        <v>78</v>
      </c>
      <c r="B39" s="275"/>
      <c r="C39" s="285"/>
      <c r="D39" s="277">
        <f t="shared" si="2"/>
        <v>0</v>
      </c>
      <c r="E39" s="72"/>
    </row>
    <row r="40" spans="1:5" ht="15" customHeight="1" x14ac:dyDescent="0.2">
      <c r="A40" s="58" t="s">
        <v>37</v>
      </c>
      <c r="B40" s="275"/>
      <c r="C40" s="286"/>
      <c r="D40" s="277">
        <f t="shared" si="2"/>
        <v>0</v>
      </c>
      <c r="E40" s="72"/>
    </row>
    <row r="41" spans="1:5" ht="15" customHeight="1" x14ac:dyDescent="0.2">
      <c r="A41" s="17"/>
      <c r="B41" s="283"/>
      <c r="C41" s="30"/>
      <c r="D41" s="282"/>
      <c r="E41" s="72"/>
    </row>
    <row r="42" spans="1:5" ht="15" customHeight="1" x14ac:dyDescent="0.2">
      <c r="A42" s="15" t="s">
        <v>80</v>
      </c>
      <c r="B42" s="283"/>
      <c r="C42" s="30"/>
      <c r="D42" s="282"/>
      <c r="E42" s="72"/>
    </row>
    <row r="43" spans="1:5" ht="15" customHeight="1" x14ac:dyDescent="0.2">
      <c r="A43" s="57" t="s">
        <v>81</v>
      </c>
      <c r="B43" s="275">
        <f>SUM(B44:B47)</f>
        <v>0</v>
      </c>
      <c r="C43" s="288"/>
      <c r="D43" s="277">
        <f>B43-C43</f>
        <v>0</v>
      </c>
      <c r="E43" s="72" t="s">
        <v>114</v>
      </c>
    </row>
    <row r="44" spans="1:5" ht="15" customHeight="1" x14ac:dyDescent="0.2">
      <c r="A44" s="58" t="s">
        <v>82</v>
      </c>
      <c r="B44" s="275"/>
      <c r="C44" s="285"/>
      <c r="D44" s="277">
        <f>B44-C44</f>
        <v>0</v>
      </c>
      <c r="E44" s="72"/>
    </row>
    <row r="45" spans="1:5" ht="15" customHeight="1" x14ac:dyDescent="0.2">
      <c r="A45" s="58" t="s">
        <v>83</v>
      </c>
      <c r="B45" s="275"/>
      <c r="C45" s="285"/>
      <c r="D45" s="277">
        <f>B45-C45</f>
        <v>0</v>
      </c>
      <c r="E45" s="72"/>
    </row>
    <row r="46" spans="1:5" ht="15" customHeight="1" x14ac:dyDescent="0.2">
      <c r="A46" s="58" t="s">
        <v>84</v>
      </c>
      <c r="B46" s="275"/>
      <c r="C46" s="285"/>
      <c r="D46" s="277">
        <f>B46-C46</f>
        <v>0</v>
      </c>
      <c r="E46" s="72"/>
    </row>
    <row r="47" spans="1:5" ht="15" customHeight="1" x14ac:dyDescent="0.2">
      <c r="A47" s="58" t="s">
        <v>85</v>
      </c>
      <c r="B47" s="275"/>
      <c r="C47" s="286"/>
      <c r="D47" s="277">
        <f>B47-C47</f>
        <v>0</v>
      </c>
      <c r="E47" s="72"/>
    </row>
    <row r="48" spans="1:5" ht="15" customHeight="1" x14ac:dyDescent="0.2">
      <c r="A48" s="17"/>
      <c r="B48" s="283"/>
      <c r="C48" s="289"/>
      <c r="D48" s="282"/>
      <c r="E48" s="72"/>
    </row>
    <row r="49" spans="1:5" ht="15" customHeight="1" x14ac:dyDescent="0.2">
      <c r="A49" s="60" t="s">
        <v>86</v>
      </c>
      <c r="B49" s="290">
        <f>SUM(B50:B53)</f>
        <v>0</v>
      </c>
      <c r="C49" s="288"/>
      <c r="D49" s="277">
        <f>B49-C49</f>
        <v>0</v>
      </c>
      <c r="E49" s="72" t="s">
        <v>114</v>
      </c>
    </row>
    <row r="50" spans="1:5" ht="15" customHeight="1" x14ac:dyDescent="0.2">
      <c r="A50" s="58" t="s">
        <v>82</v>
      </c>
      <c r="B50" s="275"/>
      <c r="C50" s="284"/>
      <c r="D50" s="277">
        <f>B50-C50</f>
        <v>0</v>
      </c>
      <c r="E50" s="72"/>
    </row>
    <row r="51" spans="1:5" ht="15" customHeight="1" x14ac:dyDescent="0.2">
      <c r="A51" s="58" t="s">
        <v>83</v>
      </c>
      <c r="B51" s="275"/>
      <c r="C51" s="285"/>
      <c r="D51" s="277">
        <f>B51-C51</f>
        <v>0</v>
      </c>
      <c r="E51" s="72"/>
    </row>
    <row r="52" spans="1:5" ht="15" customHeight="1" x14ac:dyDescent="0.2">
      <c r="A52" s="58" t="s">
        <v>84</v>
      </c>
      <c r="B52" s="275"/>
      <c r="C52" s="285"/>
      <c r="D52" s="277">
        <f>B52-C52</f>
        <v>0</v>
      </c>
      <c r="E52" s="72"/>
    </row>
    <row r="53" spans="1:5" ht="15" customHeight="1" x14ac:dyDescent="0.2">
      <c r="A53" s="58" t="s">
        <v>85</v>
      </c>
      <c r="B53" s="275"/>
      <c r="C53" s="286"/>
      <c r="D53" s="277">
        <f>B53-C53</f>
        <v>0</v>
      </c>
      <c r="E53" s="72"/>
    </row>
    <row r="54" spans="1:5" ht="15" customHeight="1" x14ac:dyDescent="0.2">
      <c r="A54" s="17"/>
      <c r="B54" s="283"/>
      <c r="C54" s="30"/>
      <c r="D54" s="282"/>
      <c r="E54" s="72"/>
    </row>
    <row r="55" spans="1:5" ht="15" customHeight="1" x14ac:dyDescent="0.2">
      <c r="A55" s="15" t="s">
        <v>88</v>
      </c>
      <c r="B55" s="290">
        <f>SUM(B56:B59)</f>
        <v>0</v>
      </c>
      <c r="C55" s="288"/>
      <c r="D55" s="277">
        <f>B55-C55</f>
        <v>0</v>
      </c>
      <c r="E55" s="72"/>
    </row>
    <row r="56" spans="1:5" ht="15" customHeight="1" x14ac:dyDescent="0.2">
      <c r="A56" s="58" t="s">
        <v>53</v>
      </c>
      <c r="B56" s="275"/>
      <c r="C56" s="291"/>
      <c r="D56" s="277">
        <f>B56-C56</f>
        <v>0</v>
      </c>
      <c r="E56" s="72" t="s">
        <v>115</v>
      </c>
    </row>
    <row r="57" spans="1:5" ht="15" customHeight="1" x14ac:dyDescent="0.2">
      <c r="A57" s="58" t="s">
        <v>89</v>
      </c>
      <c r="B57" s="275"/>
      <c r="C57" s="291"/>
      <c r="D57" s="277">
        <f>B57-C57</f>
        <v>0</v>
      </c>
      <c r="E57" s="72"/>
    </row>
    <row r="58" spans="1:5" ht="15" customHeight="1" x14ac:dyDescent="0.2">
      <c r="A58" s="58" t="s">
        <v>55</v>
      </c>
      <c r="B58" s="275"/>
      <c r="C58" s="291"/>
      <c r="D58" s="277">
        <f>B58-C58</f>
        <v>0</v>
      </c>
      <c r="E58" s="72"/>
    </row>
    <row r="59" spans="1:5" ht="15" customHeight="1" x14ac:dyDescent="0.2">
      <c r="A59" s="58" t="s">
        <v>90</v>
      </c>
      <c r="B59" s="275"/>
      <c r="C59" s="286"/>
      <c r="D59" s="277">
        <f>B59-C59</f>
        <v>0</v>
      </c>
      <c r="E59" s="72"/>
    </row>
    <row r="60" spans="1:5" ht="15" customHeight="1" x14ac:dyDescent="0.2">
      <c r="A60" s="17"/>
      <c r="B60" s="283"/>
      <c r="C60" s="137"/>
      <c r="D60" s="282"/>
      <c r="E60" s="72"/>
    </row>
    <row r="61" spans="1:5" ht="15" customHeight="1" x14ac:dyDescent="0.2">
      <c r="A61" s="60" t="s">
        <v>93</v>
      </c>
      <c r="B61" s="275"/>
      <c r="C61" s="292"/>
      <c r="D61" s="277">
        <f>B61-C61</f>
        <v>0</v>
      </c>
      <c r="E61" s="72"/>
    </row>
    <row r="62" spans="1:5" ht="15" customHeight="1" x14ac:dyDescent="0.2">
      <c r="A62" s="17"/>
      <c r="B62" s="283"/>
      <c r="C62" s="30"/>
      <c r="D62" s="282"/>
      <c r="E62" s="72"/>
    </row>
    <row r="63" spans="1:5" ht="15" customHeight="1" x14ac:dyDescent="0.2">
      <c r="A63" s="21" t="s">
        <v>95</v>
      </c>
      <c r="B63" s="293" t="e">
        <f>B7+B34+B29</f>
        <v>#NAME?</v>
      </c>
      <c r="C63" s="293"/>
      <c r="D63" s="293" t="e">
        <f>D7+D34+D29</f>
        <v>#NAME?</v>
      </c>
      <c r="E63" s="72"/>
    </row>
    <row r="64" spans="1:5" ht="15" customHeight="1" x14ac:dyDescent="0.2">
      <c r="A64" s="3"/>
      <c r="B64" s="283"/>
      <c r="C64" s="30"/>
      <c r="D64" s="282"/>
      <c r="E64" s="72"/>
    </row>
    <row r="65" spans="1:5" ht="15" customHeight="1" x14ac:dyDescent="0.25">
      <c r="A65" s="13" t="s">
        <v>28</v>
      </c>
      <c r="B65" s="283"/>
      <c r="C65" s="30"/>
      <c r="D65" s="282"/>
      <c r="E65" s="72"/>
    </row>
    <row r="66" spans="1:5" ht="15" customHeight="1" x14ac:dyDescent="0.2">
      <c r="A66" s="24"/>
      <c r="B66" s="283"/>
      <c r="C66" s="30"/>
      <c r="D66" s="282"/>
      <c r="E66" s="72"/>
    </row>
    <row r="67" spans="1:5" ht="15" customHeight="1" x14ac:dyDescent="0.2">
      <c r="A67" s="23" t="s">
        <v>30</v>
      </c>
      <c r="B67" s="293">
        <f>SUM(B68:B72)</f>
        <v>0</v>
      </c>
      <c r="C67" s="293"/>
      <c r="D67" s="293">
        <f>SUM(D68:D72)</f>
        <v>0</v>
      </c>
      <c r="E67" s="72"/>
    </row>
    <row r="68" spans="1:5" ht="14.45" customHeight="1" x14ac:dyDescent="0.2">
      <c r="A68" s="60" t="s">
        <v>32</v>
      </c>
      <c r="B68" s="275"/>
      <c r="C68" s="284"/>
      <c r="D68" s="277">
        <f>B68-C68</f>
        <v>0</v>
      </c>
      <c r="E68" s="72" t="s">
        <v>472</v>
      </c>
    </row>
    <row r="69" spans="1:5" ht="16.350000000000001" customHeight="1" x14ac:dyDescent="0.2">
      <c r="A69" s="60" t="s">
        <v>34</v>
      </c>
      <c r="B69" s="275"/>
      <c r="C69" s="285"/>
      <c r="D69" s="277">
        <f>B69-C69</f>
        <v>0</v>
      </c>
      <c r="E69" s="72" t="s">
        <v>473</v>
      </c>
    </row>
    <row r="70" spans="1:5" ht="15" customHeight="1" x14ac:dyDescent="0.2">
      <c r="A70" s="60" t="s">
        <v>36</v>
      </c>
      <c r="B70" s="275"/>
      <c r="C70" s="285"/>
      <c r="D70" s="277">
        <f>B70-C70</f>
        <v>0</v>
      </c>
      <c r="E70" s="72"/>
    </row>
    <row r="71" spans="1:5" ht="15" customHeight="1" x14ac:dyDescent="0.2">
      <c r="A71" s="60" t="s">
        <v>38</v>
      </c>
      <c r="B71" s="275"/>
      <c r="C71" s="285"/>
      <c r="D71" s="277">
        <f>B71-C71</f>
        <v>0</v>
      </c>
      <c r="E71" s="72"/>
    </row>
    <row r="72" spans="1:5" ht="15" customHeight="1" x14ac:dyDescent="0.2">
      <c r="A72" s="60" t="s">
        <v>39</v>
      </c>
      <c r="B72" s="275"/>
      <c r="C72" s="286"/>
      <c r="D72" s="277">
        <f>B72-C72</f>
        <v>0</v>
      </c>
      <c r="E72" s="72" t="s">
        <v>536</v>
      </c>
    </row>
    <row r="73" spans="1:5" ht="15" customHeight="1" x14ac:dyDescent="0.2">
      <c r="A73" s="17"/>
      <c r="B73" s="283"/>
      <c r="C73" s="30"/>
      <c r="D73" s="282"/>
      <c r="E73" s="72"/>
    </row>
    <row r="74" spans="1:5" ht="15" customHeight="1" x14ac:dyDescent="0.2">
      <c r="A74" s="14" t="s">
        <v>99</v>
      </c>
      <c r="B74" s="293">
        <f>SUM(B75:B76)</f>
        <v>0</v>
      </c>
      <c r="C74" s="293"/>
      <c r="D74" s="293">
        <f>SUM(D75:D76)</f>
        <v>0</v>
      </c>
      <c r="E74" s="72"/>
    </row>
    <row r="75" spans="1:5" ht="16.350000000000001" customHeight="1" x14ac:dyDescent="0.2">
      <c r="A75" s="60" t="s">
        <v>43</v>
      </c>
      <c r="B75" s="275"/>
      <c r="C75" s="284"/>
      <c r="D75" s="277">
        <f>B75-C75</f>
        <v>0</v>
      </c>
      <c r="E75" s="72" t="s">
        <v>109</v>
      </c>
    </row>
    <row r="76" spans="1:5" ht="17.100000000000001" customHeight="1" x14ac:dyDescent="0.2">
      <c r="A76" s="60" t="s">
        <v>45</v>
      </c>
      <c r="B76" s="275"/>
      <c r="C76" s="286"/>
      <c r="D76" s="277">
        <f>B76-C76</f>
        <v>0</v>
      </c>
      <c r="E76" s="72" t="s">
        <v>116</v>
      </c>
    </row>
    <row r="77" spans="1:5" ht="15" customHeight="1" x14ac:dyDescent="0.2">
      <c r="A77" s="17"/>
      <c r="B77" s="283"/>
      <c r="C77" s="30"/>
      <c r="D77" s="282"/>
      <c r="E77" s="72"/>
    </row>
    <row r="78" spans="1:5" ht="15" customHeight="1" x14ac:dyDescent="0.2">
      <c r="A78" s="14" t="s">
        <v>48</v>
      </c>
      <c r="B78" s="293">
        <f>SUM(B79:B80)</f>
        <v>0</v>
      </c>
      <c r="C78" s="293"/>
      <c r="D78" s="293">
        <f>SUM(D79:D80)</f>
        <v>0</v>
      </c>
      <c r="E78" s="72"/>
    </row>
    <row r="79" spans="1:5" ht="15" customHeight="1" x14ac:dyDescent="0.2">
      <c r="A79" s="15" t="s">
        <v>50</v>
      </c>
      <c r="B79" s="275"/>
      <c r="C79" s="284"/>
      <c r="D79" s="277">
        <f>B79-C79</f>
        <v>0</v>
      </c>
      <c r="E79" s="72"/>
    </row>
    <row r="80" spans="1:5" ht="25.5" x14ac:dyDescent="0.2">
      <c r="A80" s="17" t="s">
        <v>51</v>
      </c>
      <c r="B80" s="275"/>
      <c r="C80" s="286"/>
      <c r="D80" s="277">
        <f>B80-C80</f>
        <v>0</v>
      </c>
      <c r="E80" s="72" t="s">
        <v>117</v>
      </c>
    </row>
    <row r="81" spans="1:5" ht="15" customHeight="1" x14ac:dyDescent="0.2">
      <c r="A81" s="17"/>
      <c r="B81" s="283"/>
      <c r="C81" s="30"/>
      <c r="D81" s="282"/>
      <c r="E81" s="72"/>
    </row>
    <row r="82" spans="1:5" ht="15" customHeight="1" x14ac:dyDescent="0.2">
      <c r="A82" s="19" t="s">
        <v>54</v>
      </c>
      <c r="B82" s="293">
        <f>B83+B84+B85</f>
        <v>0</v>
      </c>
      <c r="C82" s="293"/>
      <c r="D82" s="293">
        <f>D83+D84+D85</f>
        <v>0</v>
      </c>
      <c r="E82" s="72"/>
    </row>
    <row r="83" spans="1:5" ht="15" customHeight="1" x14ac:dyDescent="0.2">
      <c r="A83" s="17" t="s">
        <v>56</v>
      </c>
      <c r="B83" s="275"/>
      <c r="C83" s="284"/>
      <c r="D83" s="277">
        <f>B83-C83</f>
        <v>0</v>
      </c>
      <c r="E83" s="72"/>
    </row>
    <row r="84" spans="1:5" x14ac:dyDescent="0.2">
      <c r="A84" s="17" t="s">
        <v>58</v>
      </c>
      <c r="B84" s="275"/>
      <c r="C84" s="285"/>
      <c r="D84" s="277">
        <f>B84-C84</f>
        <v>0</v>
      </c>
      <c r="E84" s="72" t="s">
        <v>107</v>
      </c>
    </row>
    <row r="85" spans="1:5" ht="15" customHeight="1" x14ac:dyDescent="0.2">
      <c r="A85" s="17" t="s">
        <v>60</v>
      </c>
      <c r="B85" s="275"/>
      <c r="C85" s="286"/>
      <c r="D85" s="277">
        <f>B85-C85</f>
        <v>0</v>
      </c>
      <c r="E85" s="72"/>
    </row>
    <row r="86" spans="1:5" ht="15" customHeight="1" x14ac:dyDescent="0.2">
      <c r="A86" s="17"/>
      <c r="B86" s="283"/>
      <c r="C86" s="30"/>
      <c r="D86" s="282"/>
      <c r="E86" s="72"/>
    </row>
    <row r="87" spans="1:5" ht="15" customHeight="1" x14ac:dyDescent="0.2">
      <c r="A87" s="14" t="s">
        <v>61</v>
      </c>
      <c r="B87" s="293">
        <f>B88+B98</f>
        <v>0</v>
      </c>
      <c r="C87" s="293"/>
      <c r="D87" s="293">
        <f>D88+D98</f>
        <v>0</v>
      </c>
      <c r="E87" s="72"/>
    </row>
    <row r="88" spans="1:5" ht="15" customHeight="1" x14ac:dyDescent="0.2">
      <c r="A88" s="14" t="s">
        <v>100</v>
      </c>
      <c r="B88" s="293">
        <f>SUM(B89:B96)</f>
        <v>0</v>
      </c>
      <c r="C88" s="293"/>
      <c r="D88" s="293">
        <f>SUM(D89:D96)</f>
        <v>0</v>
      </c>
      <c r="E88" s="72" t="s">
        <v>474</v>
      </c>
    </row>
    <row r="89" spans="1:5" ht="15" customHeight="1" x14ac:dyDescent="0.2">
      <c r="A89" s="58" t="s">
        <v>63</v>
      </c>
      <c r="B89" s="275"/>
      <c r="C89" s="284"/>
      <c r="D89" s="277">
        <f>B89-C89</f>
        <v>0</v>
      </c>
      <c r="E89" s="72"/>
    </row>
    <row r="90" spans="1:5" ht="15" customHeight="1" x14ac:dyDescent="0.2">
      <c r="A90" s="58" t="s">
        <v>65</v>
      </c>
      <c r="B90" s="275"/>
      <c r="C90" s="285"/>
      <c r="D90" s="277">
        <f t="shared" ref="D90:D96" si="3">B90-C90</f>
        <v>0</v>
      </c>
      <c r="E90" s="72"/>
    </row>
    <row r="91" spans="1:5" ht="15" customHeight="1" x14ac:dyDescent="0.2">
      <c r="A91" s="58" t="s">
        <v>67</v>
      </c>
      <c r="B91" s="275"/>
      <c r="C91" s="285"/>
      <c r="D91" s="277">
        <f t="shared" si="3"/>
        <v>0</v>
      </c>
      <c r="E91" s="72"/>
    </row>
    <row r="92" spans="1:5" ht="15" customHeight="1" x14ac:dyDescent="0.2">
      <c r="A92" s="58" t="s">
        <v>68</v>
      </c>
      <c r="B92" s="275"/>
      <c r="C92" s="285"/>
      <c r="D92" s="277">
        <f t="shared" si="3"/>
        <v>0</v>
      </c>
      <c r="E92" s="72"/>
    </row>
    <row r="93" spans="1:5" ht="15" customHeight="1" x14ac:dyDescent="0.2">
      <c r="A93" s="58" t="s">
        <v>70</v>
      </c>
      <c r="B93" s="275"/>
      <c r="C93" s="285"/>
      <c r="D93" s="277">
        <f t="shared" si="3"/>
        <v>0</v>
      </c>
      <c r="E93" s="72"/>
    </row>
    <row r="94" spans="1:5" ht="15" customHeight="1" x14ac:dyDescent="0.2">
      <c r="A94" s="58" t="s">
        <v>72</v>
      </c>
      <c r="B94" s="275"/>
      <c r="C94" s="285"/>
      <c r="D94" s="277">
        <f t="shared" si="3"/>
        <v>0</v>
      </c>
      <c r="E94" s="72"/>
    </row>
    <row r="95" spans="1:5" ht="15" customHeight="1" x14ac:dyDescent="0.2">
      <c r="A95" s="58" t="s">
        <v>74</v>
      </c>
      <c r="B95" s="275"/>
      <c r="C95" s="285"/>
      <c r="D95" s="277">
        <f t="shared" si="3"/>
        <v>0</v>
      </c>
      <c r="E95" s="72"/>
    </row>
    <row r="96" spans="1:5" ht="15" customHeight="1" x14ac:dyDescent="0.2">
      <c r="A96" s="58" t="s">
        <v>76</v>
      </c>
      <c r="B96" s="275"/>
      <c r="C96" s="286"/>
      <c r="D96" s="277">
        <f t="shared" si="3"/>
        <v>0</v>
      </c>
      <c r="E96" s="72"/>
    </row>
    <row r="97" spans="1:5" ht="15" customHeight="1" x14ac:dyDescent="0.2">
      <c r="A97" s="17"/>
      <c r="B97" s="283"/>
      <c r="C97" s="30"/>
      <c r="D97" s="282"/>
      <c r="E97" s="72"/>
    </row>
    <row r="98" spans="1:5" ht="15" customHeight="1" x14ac:dyDescent="0.2">
      <c r="A98" s="14" t="s">
        <v>79</v>
      </c>
      <c r="B98" s="293">
        <f>SUM(B99:B106)</f>
        <v>0</v>
      </c>
      <c r="C98" s="293"/>
      <c r="D98" s="293">
        <f>SUM(D99:D106)</f>
        <v>0</v>
      </c>
      <c r="E98" s="72"/>
    </row>
    <row r="99" spans="1:5" ht="15" customHeight="1" x14ac:dyDescent="0.2">
      <c r="A99" s="58" t="s">
        <v>63</v>
      </c>
      <c r="B99" s="275"/>
      <c r="C99" s="284"/>
      <c r="D99" s="277">
        <f>B99-C99</f>
        <v>0</v>
      </c>
      <c r="E99" s="72"/>
    </row>
    <row r="100" spans="1:5" ht="15" customHeight="1" x14ac:dyDescent="0.2">
      <c r="A100" s="58" t="s">
        <v>65</v>
      </c>
      <c r="B100" s="275"/>
      <c r="C100" s="285"/>
      <c r="D100" s="277">
        <f t="shared" ref="D100:D106" si="4">B100-C100</f>
        <v>0</v>
      </c>
      <c r="E100" s="72"/>
    </row>
    <row r="101" spans="1:5" ht="15" customHeight="1" x14ac:dyDescent="0.2">
      <c r="A101" s="58" t="s">
        <v>67</v>
      </c>
      <c r="B101" s="275"/>
      <c r="C101" s="285"/>
      <c r="D101" s="277">
        <f t="shared" si="4"/>
        <v>0</v>
      </c>
      <c r="E101" s="72"/>
    </row>
    <row r="102" spans="1:5" ht="15" customHeight="1" x14ac:dyDescent="0.2">
      <c r="A102" s="58" t="s">
        <v>68</v>
      </c>
      <c r="B102" s="275"/>
      <c r="C102" s="285"/>
      <c r="D102" s="277">
        <f t="shared" si="4"/>
        <v>0</v>
      </c>
      <c r="E102" s="72"/>
    </row>
    <row r="103" spans="1:5" ht="15" customHeight="1" x14ac:dyDescent="0.2">
      <c r="A103" s="58" t="s">
        <v>70</v>
      </c>
      <c r="B103" s="275"/>
      <c r="C103" s="285"/>
      <c r="D103" s="277">
        <f t="shared" si="4"/>
        <v>0</v>
      </c>
      <c r="E103" s="72"/>
    </row>
    <row r="104" spans="1:5" ht="15" customHeight="1" x14ac:dyDescent="0.2">
      <c r="A104" s="58" t="s">
        <v>72</v>
      </c>
      <c r="B104" s="275"/>
      <c r="C104" s="285"/>
      <c r="D104" s="277">
        <f t="shared" si="4"/>
        <v>0</v>
      </c>
      <c r="E104" s="72" t="s">
        <v>118</v>
      </c>
    </row>
    <row r="105" spans="1:5" ht="15" customHeight="1" x14ac:dyDescent="0.2">
      <c r="A105" s="58" t="s">
        <v>74</v>
      </c>
      <c r="B105" s="275"/>
      <c r="C105" s="285"/>
      <c r="D105" s="277">
        <f t="shared" si="4"/>
        <v>0</v>
      </c>
      <c r="E105" s="72"/>
    </row>
    <row r="106" spans="1:5" ht="15" customHeight="1" x14ac:dyDescent="0.2">
      <c r="A106" s="58" t="s">
        <v>76</v>
      </c>
      <c r="B106" s="275"/>
      <c r="C106" s="286"/>
      <c r="D106" s="277">
        <f t="shared" si="4"/>
        <v>0</v>
      </c>
      <c r="E106" s="72" t="s">
        <v>119</v>
      </c>
    </row>
    <row r="107" spans="1:5" ht="15" customHeight="1" x14ac:dyDescent="0.2">
      <c r="A107" s="17"/>
      <c r="B107" s="283"/>
      <c r="C107" s="30"/>
      <c r="D107" s="282"/>
    </row>
    <row r="108" spans="1:5" ht="15" customHeight="1" x14ac:dyDescent="0.2">
      <c r="A108" s="14" t="s">
        <v>87</v>
      </c>
      <c r="B108" s="293">
        <f>B98+B88+B82+B78+B74+B67</f>
        <v>0</v>
      </c>
      <c r="C108" s="293"/>
      <c r="D108" s="293">
        <f>D98+D88+D82+D78+D74+D67</f>
        <v>0</v>
      </c>
      <c r="E108" s="144"/>
    </row>
    <row r="109" spans="1:5" ht="15" customHeight="1" x14ac:dyDescent="0.2">
      <c r="A109" s="17"/>
      <c r="B109" s="293"/>
      <c r="C109" s="238"/>
      <c r="D109" s="282"/>
    </row>
    <row r="110" spans="1:5" x14ac:dyDescent="0.2">
      <c r="A110" s="14" t="s">
        <v>91</v>
      </c>
      <c r="B110" s="294" t="e">
        <f>100*(B67+B74)/(B108-B103-B93)</f>
        <v>#DIV/0!</v>
      </c>
      <c r="C110" s="282"/>
      <c r="D110" s="294">
        <f>IF((D108+D103+D93)=0,0,100*(D67+D74)/(D108-D103-D93))</f>
        <v>0</v>
      </c>
      <c r="E110" s="29" t="s">
        <v>105</v>
      </c>
    </row>
    <row r="111" spans="1:5" ht="15" customHeight="1" x14ac:dyDescent="0.2">
      <c r="A111" s="20" t="s">
        <v>92</v>
      </c>
      <c r="B111" s="283"/>
      <c r="C111" s="30"/>
      <c r="D111" s="282"/>
    </row>
    <row r="112" spans="1:5" ht="15" customHeight="1" x14ac:dyDescent="0.2">
      <c r="A112" s="17" t="s">
        <v>467</v>
      </c>
      <c r="B112" s="293">
        <f>B61</f>
        <v>0</v>
      </c>
      <c r="C112" s="282"/>
      <c r="D112" s="293">
        <f>D61</f>
        <v>0</v>
      </c>
    </row>
    <row r="113" spans="1:5" ht="15" customHeight="1" x14ac:dyDescent="0.2">
      <c r="A113" s="17" t="s">
        <v>94</v>
      </c>
      <c r="B113" s="295">
        <f>B112/Tuloslaskelma!A98*1000</f>
        <v>0</v>
      </c>
      <c r="C113" s="282"/>
      <c r="D113" s="295">
        <f>D112/Tuloslaskelma!A98*1000</f>
        <v>0</v>
      </c>
    </row>
    <row r="114" spans="1:5" ht="15" customHeight="1" x14ac:dyDescent="0.2">
      <c r="A114" s="20" t="s">
        <v>96</v>
      </c>
      <c r="B114" s="283"/>
      <c r="C114" s="30"/>
      <c r="D114" s="282"/>
    </row>
    <row r="115" spans="1:5" ht="15" customHeight="1" x14ac:dyDescent="0.2">
      <c r="A115" s="17" t="s">
        <v>467</v>
      </c>
      <c r="B115" s="293">
        <f>B87-(B93+B103+B94+B104+B96+B106+B95+B105)</f>
        <v>0</v>
      </c>
      <c r="C115" s="282"/>
      <c r="D115" s="293">
        <f>D87-(D93+D103+D94+D104+D96+D106+D95+D105)</f>
        <v>0</v>
      </c>
      <c r="E115" s="29" t="s">
        <v>466</v>
      </c>
    </row>
    <row r="116" spans="1:5" ht="15" customHeight="1" x14ac:dyDescent="0.2">
      <c r="A116" s="17" t="s">
        <v>94</v>
      </c>
      <c r="B116" s="295">
        <f>B115/Tuloslaskelma!$A$98*1000</f>
        <v>0</v>
      </c>
      <c r="C116" s="282"/>
      <c r="D116" s="295">
        <f>D115/Tuloslaskelma!$A$98*1000</f>
        <v>0</v>
      </c>
    </row>
    <row r="117" spans="1:5" ht="15" customHeight="1" x14ac:dyDescent="0.2">
      <c r="A117" s="17"/>
      <c r="B117" s="296"/>
      <c r="C117" s="30"/>
      <c r="D117" s="282"/>
    </row>
    <row r="118" spans="1:5" x14ac:dyDescent="0.2">
      <c r="A118" s="25"/>
      <c r="B118" s="296"/>
      <c r="C118" s="297"/>
      <c r="D118" s="296"/>
    </row>
    <row r="119" spans="1:5" s="7" customFormat="1" ht="18.75" customHeight="1" x14ac:dyDescent="0.2">
      <c r="A119" s="26" t="s">
        <v>587</v>
      </c>
      <c r="B119" s="298">
        <f>100*(B87-B93-B103)/(Tuloslaskelma!B12+Tuloslaskelma!B46+Tuloslaskelma!B51)</f>
        <v>0</v>
      </c>
      <c r="C119" s="282"/>
      <c r="D119" s="299">
        <f>100*(D87-D93-D103)/(Tuloslaskelma!D12+Tuloslaskelma!D46+Tuloslaskelma!D51)</f>
        <v>0</v>
      </c>
      <c r="E119" s="29" t="s">
        <v>106</v>
      </c>
    </row>
    <row r="121" spans="1:5" x14ac:dyDescent="0.2">
      <c r="B121" s="37"/>
    </row>
    <row r="123" spans="1:5" x14ac:dyDescent="0.2">
      <c r="B123" s="30"/>
    </row>
  </sheetData>
  <pageMargins left="0.7" right="0.7" top="0.75" bottom="0.75" header="0.3" footer="0.3"/>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ul8"/>
  <dimension ref="A1:DI328"/>
  <sheetViews>
    <sheetView topLeftCell="CA3" zoomScale="130" zoomScaleNormal="130" workbookViewId="0">
      <pane ySplit="14" topLeftCell="A17" activePane="bottomLeft" state="frozen"/>
      <selection activeCell="BN20" sqref="BN20"/>
      <selection pane="bottomLeft" activeCell="CP21" sqref="CP21"/>
    </sheetView>
  </sheetViews>
  <sheetFormatPr defaultRowHeight="12.75" x14ac:dyDescent="0.2"/>
  <cols>
    <col min="1" max="1" width="4.5703125" style="74" customWidth="1"/>
    <col min="2" max="2" width="11.85546875" style="74" customWidth="1"/>
    <col min="3" max="3" width="5.7109375" style="74" customWidth="1"/>
    <col min="4" max="4" width="8.5703125" style="77" customWidth="1"/>
    <col min="5" max="5" width="14" style="77" customWidth="1"/>
    <col min="6" max="6" width="11.5703125" style="77" customWidth="1"/>
    <col min="7" max="7" width="11.140625" style="77" customWidth="1"/>
    <col min="8" max="8" width="12.85546875" style="77" customWidth="1"/>
    <col min="9" max="10" width="11.28515625" style="77" customWidth="1"/>
    <col min="11" max="11" width="9.85546875" style="77" customWidth="1"/>
    <col min="12" max="12" width="10.28515625" style="77" customWidth="1"/>
    <col min="13" max="13" width="10.140625" style="106" customWidth="1"/>
    <col min="14" max="14" width="10" style="106" customWidth="1"/>
    <col min="15" max="15" width="12.5703125" style="78" customWidth="1"/>
    <col min="16" max="16" width="9.7109375" style="78" customWidth="1"/>
    <col min="17" max="17" width="3" style="77" customWidth="1"/>
    <col min="18" max="18" width="14.42578125" style="77" customWidth="1"/>
    <col min="19" max="19" width="12.28515625" style="77" customWidth="1"/>
    <col min="20" max="21" width="11.28515625" style="77" customWidth="1"/>
    <col min="22" max="22" width="12.28515625" style="77" customWidth="1"/>
    <col min="23" max="23" width="12.7109375" style="77" customWidth="1"/>
    <col min="24" max="24" width="12.140625" style="77" customWidth="1"/>
    <col min="25" max="25" width="11.140625" style="77" customWidth="1"/>
    <col min="26" max="26" width="2.28515625" style="77" customWidth="1"/>
    <col min="27" max="27" width="12.140625" style="77" customWidth="1"/>
    <col min="28" max="28" width="10.28515625" style="77" customWidth="1"/>
    <col min="29" max="29" width="8.5703125" customWidth="1"/>
    <col min="30" max="30" width="12.140625" bestFit="1" customWidth="1"/>
    <col min="31" max="33" width="10" bestFit="1" customWidth="1"/>
    <col min="34" max="34" width="9.28515625" bestFit="1" customWidth="1"/>
    <col min="35" max="35" width="3.42578125" style="233" customWidth="1"/>
    <col min="36" max="36" width="12.85546875" customWidth="1"/>
    <col min="37" max="37" width="9.85546875" customWidth="1"/>
    <col min="38" max="38" width="14.28515625" customWidth="1"/>
    <col min="39" max="39" width="12.28515625" customWidth="1"/>
    <col min="40" max="44" width="15.7109375" customWidth="1"/>
    <col min="49" max="49" width="10.85546875" customWidth="1"/>
    <col min="50" max="50" width="14.140625" customWidth="1"/>
    <col min="51" max="51" width="15.7109375" customWidth="1"/>
    <col min="52" max="52" width="4.28515625" style="96" customWidth="1"/>
    <col min="53" max="53" width="14.28515625" bestFit="1" customWidth="1"/>
    <col min="54" max="59" width="8.85546875" customWidth="1"/>
    <col min="65" max="65" width="4.28515625" style="96" customWidth="1"/>
    <col min="66" max="66" width="14.140625" customWidth="1"/>
    <col min="67" max="68" width="13.140625" customWidth="1"/>
    <col min="69" max="69" width="11.28515625" customWidth="1"/>
    <col min="70" max="70" width="14.5703125" customWidth="1"/>
    <col min="71" max="73" width="11.28515625" customWidth="1"/>
    <col min="74" max="74" width="5" style="96" customWidth="1"/>
    <col min="75" max="75" width="19.7109375" customWidth="1"/>
    <col min="76" max="76" width="15.5703125" customWidth="1"/>
    <col min="77" max="77" width="14.28515625" customWidth="1"/>
    <col min="78" max="78" width="19.28515625" bestFit="1" customWidth="1"/>
    <col min="79" max="79" width="17.28515625" bestFit="1" customWidth="1"/>
    <col min="80" max="82" width="11.28515625" customWidth="1"/>
    <col min="83" max="83" width="17.28515625" bestFit="1" customWidth="1"/>
    <col min="84" max="87" width="11.28515625" customWidth="1"/>
    <col min="88" max="90" width="11.140625" customWidth="1"/>
    <col min="91" max="91" width="5" style="96" customWidth="1"/>
    <col min="92" max="92" width="14.7109375" bestFit="1" customWidth="1"/>
    <col min="93" max="93" width="13.42578125" bestFit="1" customWidth="1"/>
    <col min="94" max="94" width="10.140625" bestFit="1" customWidth="1"/>
  </cols>
  <sheetData>
    <row r="1" spans="1:113" x14ac:dyDescent="0.2">
      <c r="B1" s="92">
        <v>1</v>
      </c>
      <c r="C1" s="92">
        <v>2</v>
      </c>
      <c r="D1" s="92">
        <v>3</v>
      </c>
      <c r="E1" s="92">
        <v>4</v>
      </c>
      <c r="F1" s="92">
        <v>5</v>
      </c>
      <c r="G1" s="92">
        <v>6</v>
      </c>
      <c r="H1" s="92">
        <v>7</v>
      </c>
      <c r="I1" s="92">
        <v>8</v>
      </c>
      <c r="J1" s="92">
        <v>9</v>
      </c>
      <c r="K1" s="92">
        <v>10</v>
      </c>
      <c r="L1" s="92">
        <v>11</v>
      </c>
      <c r="M1" s="92">
        <v>12</v>
      </c>
      <c r="N1" s="92">
        <v>13</v>
      </c>
      <c r="O1" s="92">
        <v>14</v>
      </c>
      <c r="P1" s="92">
        <v>15</v>
      </c>
      <c r="Q1" s="92">
        <v>16</v>
      </c>
      <c r="R1" s="92">
        <v>17</v>
      </c>
      <c r="S1" s="92">
        <v>18</v>
      </c>
      <c r="T1" s="92">
        <v>19</v>
      </c>
      <c r="U1" s="92">
        <v>20</v>
      </c>
      <c r="V1" s="92">
        <v>21</v>
      </c>
      <c r="W1" s="92">
        <v>22</v>
      </c>
      <c r="X1" s="92">
        <v>23</v>
      </c>
      <c r="Y1" s="92">
        <v>24</v>
      </c>
      <c r="Z1" s="92">
        <v>25</v>
      </c>
      <c r="AA1" s="92">
        <v>26</v>
      </c>
      <c r="AB1" s="92">
        <v>27</v>
      </c>
      <c r="AC1" s="92">
        <v>28</v>
      </c>
      <c r="AD1" s="92">
        <v>29</v>
      </c>
      <c r="AE1" s="92">
        <v>30</v>
      </c>
      <c r="AF1" s="92">
        <v>31</v>
      </c>
      <c r="AG1" s="92">
        <v>32</v>
      </c>
      <c r="AH1" s="92">
        <v>33</v>
      </c>
      <c r="AI1" s="92">
        <v>34</v>
      </c>
      <c r="AJ1" s="92">
        <v>35</v>
      </c>
      <c r="AK1" s="92">
        <v>36</v>
      </c>
      <c r="AL1" s="92">
        <v>37</v>
      </c>
      <c r="AM1" s="92">
        <v>38</v>
      </c>
      <c r="AN1" s="92">
        <v>39</v>
      </c>
      <c r="AO1" s="92">
        <v>40</v>
      </c>
      <c r="AP1" s="92">
        <v>41</v>
      </c>
      <c r="AQ1" s="92">
        <v>42</v>
      </c>
      <c r="AR1" s="92">
        <v>43</v>
      </c>
      <c r="AS1" s="92">
        <v>44</v>
      </c>
      <c r="AT1" s="92">
        <v>45</v>
      </c>
      <c r="AU1" s="92">
        <v>46</v>
      </c>
      <c r="AV1" s="92">
        <v>47</v>
      </c>
      <c r="AW1" s="92">
        <v>48</v>
      </c>
      <c r="AX1" s="92">
        <v>49</v>
      </c>
      <c r="AY1" s="92">
        <v>50</v>
      </c>
      <c r="AZ1" s="312"/>
      <c r="BA1" s="92">
        <v>51</v>
      </c>
      <c r="BB1" s="92">
        <v>52</v>
      </c>
      <c r="BC1" s="92"/>
      <c r="BD1" s="92">
        <v>53</v>
      </c>
      <c r="BE1" s="92">
        <v>54</v>
      </c>
      <c r="BF1" s="92">
        <v>55</v>
      </c>
      <c r="BG1" s="92">
        <v>56</v>
      </c>
      <c r="BH1" s="92">
        <v>57</v>
      </c>
      <c r="BI1" s="92">
        <v>58</v>
      </c>
      <c r="BJ1" s="92">
        <v>59</v>
      </c>
      <c r="BK1" s="92">
        <v>60</v>
      </c>
      <c r="BL1" s="92">
        <v>61</v>
      </c>
      <c r="BM1" s="312">
        <v>62</v>
      </c>
      <c r="BN1" s="92">
        <v>63</v>
      </c>
      <c r="BO1" s="92">
        <v>64</v>
      </c>
      <c r="BP1" s="452">
        <v>65</v>
      </c>
      <c r="BQ1" s="92">
        <v>66</v>
      </c>
      <c r="BR1" s="452">
        <v>67</v>
      </c>
      <c r="BS1" s="92">
        <v>68</v>
      </c>
      <c r="BT1" s="92">
        <v>69</v>
      </c>
      <c r="BU1" s="92">
        <v>70</v>
      </c>
      <c r="BV1" s="312">
        <v>71</v>
      </c>
      <c r="BW1" s="452"/>
      <c r="BX1" s="452"/>
      <c r="BY1" s="92">
        <v>72</v>
      </c>
      <c r="BZ1" s="92">
        <v>73</v>
      </c>
      <c r="CA1" s="452">
        <v>74</v>
      </c>
      <c r="CB1" s="92">
        <v>75</v>
      </c>
      <c r="CC1" s="452">
        <v>76</v>
      </c>
      <c r="CD1" s="452">
        <v>77</v>
      </c>
      <c r="CE1" s="452">
        <v>78</v>
      </c>
      <c r="CF1" s="452">
        <v>79</v>
      </c>
      <c r="CG1" s="452">
        <v>80</v>
      </c>
      <c r="CH1" s="452">
        <v>81</v>
      </c>
      <c r="CI1" s="452">
        <v>82</v>
      </c>
      <c r="CJ1" s="452">
        <v>83</v>
      </c>
      <c r="CK1" s="452">
        <v>84</v>
      </c>
      <c r="CL1" s="452">
        <v>85</v>
      </c>
      <c r="CM1" s="312">
        <v>86</v>
      </c>
      <c r="CN1" s="92">
        <v>87</v>
      </c>
      <c r="CO1" s="92">
        <v>88</v>
      </c>
      <c r="CP1" s="92">
        <v>89</v>
      </c>
      <c r="CQ1" s="92">
        <v>90</v>
      </c>
      <c r="CR1" s="92">
        <v>91</v>
      </c>
      <c r="CS1" s="92">
        <v>92</v>
      </c>
      <c r="CT1" s="92">
        <v>93</v>
      </c>
      <c r="CU1" s="92">
        <v>94</v>
      </c>
      <c r="CV1" s="92">
        <v>95</v>
      </c>
      <c r="CW1" s="92">
        <v>96</v>
      </c>
      <c r="CX1" s="92">
        <v>97</v>
      </c>
      <c r="CY1" s="92">
        <v>98</v>
      </c>
      <c r="CZ1" s="92">
        <v>99</v>
      </c>
      <c r="DA1" s="92">
        <v>100</v>
      </c>
      <c r="DB1" s="92">
        <v>101</v>
      </c>
      <c r="DC1" s="92">
        <v>102</v>
      </c>
      <c r="DD1" s="92">
        <v>103</v>
      </c>
      <c r="DE1" s="92">
        <v>104</v>
      </c>
      <c r="DF1" s="92">
        <v>105</v>
      </c>
      <c r="DG1" s="92">
        <v>106</v>
      </c>
      <c r="DH1" s="92">
        <v>107</v>
      </c>
      <c r="DI1" s="92">
        <v>108</v>
      </c>
    </row>
    <row r="2" spans="1:113" ht="18" x14ac:dyDescent="0.25">
      <c r="A2" s="151" t="s">
        <v>567</v>
      </c>
      <c r="B2" s="152"/>
    </row>
    <row r="3" spans="1:113" ht="15" x14ac:dyDescent="0.25">
      <c r="A3" s="153" t="s">
        <v>568</v>
      </c>
      <c r="B3" s="152"/>
    </row>
    <row r="4" spans="1:113" x14ac:dyDescent="0.2">
      <c r="A4" s="154"/>
      <c r="B4" s="155"/>
    </row>
    <row r="5" spans="1:113" x14ac:dyDescent="0.2">
      <c r="A5" s="156"/>
      <c r="B5" s="152">
        <v>1</v>
      </c>
      <c r="C5" s="74">
        <v>2</v>
      </c>
      <c r="D5" s="77">
        <v>3</v>
      </c>
      <c r="E5" s="152">
        <v>4</v>
      </c>
      <c r="F5" s="74">
        <v>5</v>
      </c>
      <c r="G5" s="77">
        <v>6</v>
      </c>
      <c r="H5" s="152">
        <v>7</v>
      </c>
      <c r="I5" s="74">
        <v>8</v>
      </c>
      <c r="J5" s="77">
        <v>9</v>
      </c>
      <c r="K5" s="152">
        <v>10</v>
      </c>
      <c r="L5" s="74">
        <v>11</v>
      </c>
      <c r="M5" s="77">
        <v>12</v>
      </c>
      <c r="N5" s="152">
        <v>13</v>
      </c>
      <c r="O5" s="74">
        <v>14</v>
      </c>
      <c r="P5" s="77">
        <v>15</v>
      </c>
      <c r="Q5" s="152">
        <v>16</v>
      </c>
      <c r="R5" s="74">
        <v>17</v>
      </c>
      <c r="S5" s="77">
        <v>18</v>
      </c>
      <c r="T5" s="152">
        <v>19</v>
      </c>
      <c r="U5" s="74">
        <v>20</v>
      </c>
      <c r="V5" s="77">
        <v>21</v>
      </c>
      <c r="W5" s="152">
        <v>22</v>
      </c>
      <c r="X5" s="74">
        <v>23</v>
      </c>
      <c r="Y5" s="77">
        <v>24</v>
      </c>
      <c r="Z5" s="152">
        <v>25</v>
      </c>
      <c r="AA5" s="74">
        <v>26</v>
      </c>
      <c r="AB5" s="77">
        <v>27</v>
      </c>
      <c r="AC5" s="152">
        <v>28</v>
      </c>
      <c r="AD5" s="74">
        <v>29</v>
      </c>
      <c r="AE5" s="77">
        <v>30</v>
      </c>
      <c r="AF5" s="152">
        <v>31</v>
      </c>
      <c r="AG5" s="74">
        <v>32</v>
      </c>
      <c r="AH5" s="77">
        <v>33</v>
      </c>
      <c r="AI5" s="388">
        <v>34</v>
      </c>
      <c r="AJ5" s="74">
        <v>35</v>
      </c>
      <c r="AK5" s="77">
        <v>36</v>
      </c>
      <c r="AL5" s="152">
        <v>37</v>
      </c>
      <c r="AM5" s="74">
        <v>38</v>
      </c>
      <c r="AN5" s="77">
        <v>39</v>
      </c>
      <c r="AO5" s="152">
        <v>40</v>
      </c>
      <c r="AP5" s="74">
        <v>41</v>
      </c>
      <c r="AQ5" s="77">
        <v>42</v>
      </c>
      <c r="AR5" s="152">
        <v>43</v>
      </c>
      <c r="AS5" s="74">
        <v>44</v>
      </c>
      <c r="AT5" s="77">
        <v>45</v>
      </c>
      <c r="AU5" s="152">
        <v>46</v>
      </c>
      <c r="AV5" s="74">
        <v>47</v>
      </c>
      <c r="AW5" s="77">
        <v>48</v>
      </c>
      <c r="AX5" s="152">
        <v>49</v>
      </c>
      <c r="AY5" s="74">
        <v>50</v>
      </c>
      <c r="AZ5" s="324">
        <v>51</v>
      </c>
      <c r="BA5" s="152">
        <v>52</v>
      </c>
      <c r="BB5" s="74">
        <v>53</v>
      </c>
      <c r="BC5" s="77">
        <v>54</v>
      </c>
      <c r="BD5" s="152">
        <v>55</v>
      </c>
      <c r="BE5" s="74">
        <v>56</v>
      </c>
      <c r="BF5" s="77">
        <v>57</v>
      </c>
      <c r="BG5" s="152">
        <v>58</v>
      </c>
      <c r="BH5" s="74">
        <v>59</v>
      </c>
      <c r="BI5" s="77">
        <v>60</v>
      </c>
      <c r="BJ5" s="152">
        <v>61</v>
      </c>
      <c r="BK5" s="74">
        <v>62</v>
      </c>
      <c r="BL5" s="77">
        <v>63</v>
      </c>
      <c r="BM5" s="378">
        <v>64</v>
      </c>
      <c r="BN5" s="74">
        <v>65</v>
      </c>
      <c r="BO5" s="74">
        <v>66</v>
      </c>
      <c r="BP5" s="74">
        <v>67</v>
      </c>
      <c r="BQ5" s="74">
        <v>68</v>
      </c>
      <c r="BR5" s="74">
        <v>69</v>
      </c>
      <c r="BS5" s="74">
        <v>70</v>
      </c>
      <c r="BT5" s="74">
        <v>71</v>
      </c>
      <c r="BU5" s="74">
        <v>72</v>
      </c>
      <c r="BV5" s="316">
        <v>73</v>
      </c>
      <c r="BW5" s="74">
        <v>74</v>
      </c>
      <c r="BX5" s="74">
        <v>75</v>
      </c>
      <c r="BY5" s="74">
        <v>76</v>
      </c>
      <c r="BZ5" s="74">
        <v>77</v>
      </c>
      <c r="CA5" s="74">
        <v>78</v>
      </c>
      <c r="CB5" s="74">
        <v>79</v>
      </c>
      <c r="CC5" s="74">
        <v>80</v>
      </c>
      <c r="CD5" s="74">
        <v>81</v>
      </c>
      <c r="CE5" s="74">
        <v>82</v>
      </c>
      <c r="CF5" s="74">
        <v>83</v>
      </c>
      <c r="CG5" s="74">
        <v>84</v>
      </c>
      <c r="CH5" s="74">
        <v>85</v>
      </c>
      <c r="CI5" s="74">
        <v>86</v>
      </c>
      <c r="CJ5" s="74">
        <v>87</v>
      </c>
      <c r="CK5" s="74">
        <v>88</v>
      </c>
      <c r="CL5" s="74">
        <v>89</v>
      </c>
      <c r="CM5" s="316">
        <v>90</v>
      </c>
      <c r="CN5" s="74">
        <v>91</v>
      </c>
      <c r="CO5" s="74">
        <v>92</v>
      </c>
      <c r="CP5" s="74">
        <v>93</v>
      </c>
    </row>
    <row r="6" spans="1:113" x14ac:dyDescent="0.2">
      <c r="A6" s="78"/>
      <c r="B6" s="155"/>
      <c r="AD6" s="125"/>
      <c r="AE6" s="125"/>
      <c r="AF6" s="125"/>
      <c r="AG6" s="125"/>
      <c r="AH6" s="125"/>
    </row>
    <row r="7" spans="1:113" x14ac:dyDescent="0.2">
      <c r="A7" s="78"/>
      <c r="B7" s="155"/>
      <c r="AD7" s="102"/>
      <c r="AE7" s="102"/>
      <c r="AF7" s="102"/>
      <c r="AG7" s="102"/>
      <c r="AH7" s="102"/>
    </row>
    <row r="8" spans="1:113" x14ac:dyDescent="0.2">
      <c r="A8" s="156"/>
      <c r="B8" s="155"/>
      <c r="H8" s="74"/>
      <c r="R8" s="79" t="s">
        <v>569</v>
      </c>
      <c r="S8" s="224"/>
      <c r="T8" s="224"/>
      <c r="U8" s="224"/>
      <c r="V8" s="224"/>
      <c r="W8" s="225"/>
      <c r="X8" s="224"/>
      <c r="Y8" s="224"/>
      <c r="Z8" s="226"/>
      <c r="AD8" s="75"/>
      <c r="AE8" s="75"/>
      <c r="AF8" s="75"/>
      <c r="AG8" s="75"/>
      <c r="AH8" s="75"/>
      <c r="AW8" s="325">
        <v>1E-3</v>
      </c>
      <c r="AX8" s="75">
        <v>1000</v>
      </c>
      <c r="BO8" s="87" t="s">
        <v>689</v>
      </c>
      <c r="BP8" s="456">
        <f>21308619000/((19911190244.66+21308619000)/2)</f>
        <v>1.0339018734183258</v>
      </c>
      <c r="BR8" s="3" t="s">
        <v>739</v>
      </c>
      <c r="BT8">
        <v>2.60310389757568E-4</v>
      </c>
      <c r="BU8" s="450" t="s">
        <v>725</v>
      </c>
      <c r="BW8" s="3" t="s">
        <v>733</v>
      </c>
      <c r="BX8">
        <v>0</v>
      </c>
    </row>
    <row r="9" spans="1:113" x14ac:dyDescent="0.2">
      <c r="A9" s="78"/>
      <c r="B9" s="155"/>
      <c r="G9" s="74"/>
      <c r="O9" s="76"/>
      <c r="R9" s="80" t="s">
        <v>651</v>
      </c>
      <c r="S9" s="81"/>
      <c r="T9" s="81"/>
      <c r="U9" s="81"/>
      <c r="V9" s="81"/>
      <c r="W9" s="82"/>
      <c r="X9" s="81"/>
      <c r="Y9" s="81"/>
      <c r="Z9" s="83"/>
      <c r="AD9" s="75"/>
      <c r="AE9" s="75"/>
      <c r="AF9" s="75"/>
      <c r="AG9" s="75"/>
      <c r="AH9" s="75"/>
      <c r="AX9" s="325"/>
      <c r="BO9" s="87" t="s">
        <v>690</v>
      </c>
      <c r="BP9" s="456">
        <f>491883000/((491883000+457092369.64)/2)</f>
        <v>1.0366612574709901</v>
      </c>
      <c r="BU9" s="449"/>
      <c r="CC9" s="235" t="s">
        <v>718</v>
      </c>
      <c r="CD9" s="235"/>
      <c r="CE9" s="235" t="s">
        <v>718</v>
      </c>
    </row>
    <row r="10" spans="1:113" x14ac:dyDescent="0.2">
      <c r="A10" s="156"/>
      <c r="B10" s="155"/>
      <c r="I10" s="157"/>
      <c r="J10" s="157"/>
      <c r="AA10" s="127"/>
      <c r="AB10" s="76"/>
      <c r="AD10" s="125"/>
      <c r="AE10" s="125"/>
      <c r="AF10" s="125"/>
      <c r="AG10" s="125"/>
      <c r="AH10" s="125"/>
      <c r="BI10" s="1" t="s">
        <v>675</v>
      </c>
      <c r="CC10" s="235" t="s">
        <v>763</v>
      </c>
      <c r="CD10" s="235"/>
      <c r="CE10" s="235" t="s">
        <v>763</v>
      </c>
    </row>
    <row r="11" spans="1:113" x14ac:dyDescent="0.2">
      <c r="A11" s="158"/>
      <c r="B11" s="155"/>
      <c r="F11" s="159"/>
      <c r="H11" s="74"/>
      <c r="I11" s="74"/>
      <c r="J11" s="74"/>
      <c r="S11" s="159"/>
      <c r="U11" s="74"/>
      <c r="V11" s="74"/>
      <c r="AA11" s="127"/>
      <c r="AB11" s="76"/>
      <c r="AD11" s="227" t="s">
        <v>479</v>
      </c>
      <c r="AE11" s="228"/>
      <c r="AF11" s="228"/>
      <c r="AG11" s="228"/>
      <c r="AH11" s="229"/>
      <c r="BA11" s="235" t="s">
        <v>648</v>
      </c>
      <c r="CA11" s="235" t="s">
        <v>718</v>
      </c>
      <c r="CB11" s="235" t="s">
        <v>728</v>
      </c>
      <c r="CC11" s="235" t="s">
        <v>102</v>
      </c>
      <c r="CD11" s="235" t="s">
        <v>646</v>
      </c>
      <c r="CE11" s="235" t="s">
        <v>558</v>
      </c>
      <c r="CF11" s="235" t="s">
        <v>558</v>
      </c>
      <c r="CG11" s="235" t="s">
        <v>558</v>
      </c>
      <c r="CH11" s="235" t="s">
        <v>558</v>
      </c>
      <c r="CI11" s="235" t="s">
        <v>558</v>
      </c>
      <c r="CJ11" s="235" t="s">
        <v>558</v>
      </c>
      <c r="CK11" s="235" t="s">
        <v>558</v>
      </c>
      <c r="CL11" s="235" t="s">
        <v>558</v>
      </c>
      <c r="CN11" s="235" t="s">
        <v>753</v>
      </c>
      <c r="CO11" s="235" t="s">
        <v>754</v>
      </c>
      <c r="CP11" s="235"/>
    </row>
    <row r="12" spans="1:113" x14ac:dyDescent="0.2">
      <c r="A12" s="158"/>
      <c r="B12" s="155"/>
      <c r="F12" s="159"/>
      <c r="H12" s="74"/>
      <c r="I12" s="74"/>
      <c r="J12" s="74"/>
      <c r="S12" s="159"/>
      <c r="U12" s="74"/>
      <c r="V12" s="74"/>
      <c r="AA12" s="127"/>
      <c r="AB12" s="76"/>
      <c r="AD12" s="230" t="s">
        <v>650</v>
      </c>
      <c r="AE12" s="231"/>
      <c r="AF12" s="231"/>
      <c r="AG12" s="231"/>
      <c r="AH12" s="232"/>
      <c r="AJ12" s="234"/>
      <c r="AK12" s="234"/>
      <c r="AL12" s="234"/>
      <c r="AM12" s="234"/>
      <c r="AN12" s="234"/>
      <c r="AO12" s="234"/>
      <c r="AP12" s="234"/>
      <c r="AQ12" s="234"/>
      <c r="AR12" s="235" t="s">
        <v>480</v>
      </c>
      <c r="AS12" s="235" t="s">
        <v>579</v>
      </c>
      <c r="AT12" s="235" t="s">
        <v>580</v>
      </c>
      <c r="AU12" s="235" t="s">
        <v>581</v>
      </c>
      <c r="AV12" s="235" t="s">
        <v>430</v>
      </c>
      <c r="AW12" s="235" t="s">
        <v>611</v>
      </c>
      <c r="AX12" s="235" t="s">
        <v>614</v>
      </c>
      <c r="AY12" s="235" t="s">
        <v>535</v>
      </c>
      <c r="AZ12" s="313"/>
      <c r="BA12" s="235" t="s">
        <v>572</v>
      </c>
      <c r="BB12" s="235" t="s">
        <v>572</v>
      </c>
      <c r="BC12" s="235" t="s">
        <v>646</v>
      </c>
      <c r="BD12" s="235" t="s">
        <v>572</v>
      </c>
      <c r="BE12" s="235" t="s">
        <v>572</v>
      </c>
      <c r="BF12" s="235" t="s">
        <v>572</v>
      </c>
      <c r="BG12" s="235" t="s">
        <v>572</v>
      </c>
      <c r="BH12" s="235" t="s">
        <v>558</v>
      </c>
      <c r="BI12" s="235" t="s">
        <v>558</v>
      </c>
      <c r="BJ12" s="235" t="s">
        <v>558</v>
      </c>
      <c r="BK12" s="235" t="s">
        <v>558</v>
      </c>
      <c r="BL12" s="235" t="s">
        <v>558</v>
      </c>
      <c r="BM12" s="313"/>
      <c r="BN12" s="235" t="s">
        <v>648</v>
      </c>
      <c r="BO12" s="235" t="s">
        <v>684</v>
      </c>
      <c r="BP12" s="235" t="s">
        <v>740</v>
      </c>
      <c r="BQ12" s="235" t="s">
        <v>684</v>
      </c>
      <c r="BR12" s="235" t="s">
        <v>740</v>
      </c>
      <c r="BS12" s="235" t="s">
        <v>706</v>
      </c>
      <c r="BT12" s="235" t="s">
        <v>706</v>
      </c>
      <c r="BU12" s="235" t="s">
        <v>535</v>
      </c>
      <c r="BV12" s="313"/>
      <c r="BW12" s="235" t="s">
        <v>729</v>
      </c>
      <c r="BX12" s="235" t="s">
        <v>730</v>
      </c>
      <c r="BY12" s="235" t="s">
        <v>731</v>
      </c>
      <c r="BZ12" s="235" t="s">
        <v>732</v>
      </c>
      <c r="CA12" s="235" t="s">
        <v>610</v>
      </c>
      <c r="CB12" s="235" t="s">
        <v>727</v>
      </c>
      <c r="CC12" s="235" t="s">
        <v>727</v>
      </c>
      <c r="CD12" s="235"/>
      <c r="CE12" s="235">
        <v>2024</v>
      </c>
      <c r="CF12" s="235">
        <v>2025</v>
      </c>
      <c r="CG12" s="235">
        <v>2026</v>
      </c>
      <c r="CH12" s="235">
        <v>2027</v>
      </c>
      <c r="CI12" s="235">
        <v>2024</v>
      </c>
      <c r="CJ12" s="235">
        <v>2025</v>
      </c>
      <c r="CK12" s="235">
        <v>2026</v>
      </c>
      <c r="CL12" s="235">
        <v>2027</v>
      </c>
      <c r="CM12" s="313"/>
      <c r="CN12" s="235">
        <v>2022</v>
      </c>
      <c r="CO12" s="235">
        <v>2022</v>
      </c>
      <c r="CP12" s="235"/>
    </row>
    <row r="13" spans="1:113" ht="15" x14ac:dyDescent="0.25">
      <c r="E13" s="128" t="s">
        <v>654</v>
      </c>
      <c r="G13" s="160"/>
      <c r="H13" s="160"/>
      <c r="I13" s="161"/>
      <c r="J13" s="161"/>
      <c r="K13" s="160"/>
      <c r="R13" s="128" t="s">
        <v>570</v>
      </c>
      <c r="T13" s="160"/>
      <c r="U13" s="160"/>
      <c r="W13" s="160"/>
      <c r="AA13" s="158" t="s">
        <v>628</v>
      </c>
      <c r="AB13" s="76"/>
      <c r="AD13" s="162" t="s">
        <v>633</v>
      </c>
      <c r="AE13" s="163"/>
      <c r="AF13" s="163"/>
      <c r="AG13" s="164"/>
      <c r="AH13" s="305" t="s">
        <v>480</v>
      </c>
      <c r="AJ13" s="235" t="s">
        <v>535</v>
      </c>
      <c r="AK13" s="235" t="s">
        <v>535</v>
      </c>
      <c r="AL13" s="235" t="s">
        <v>535</v>
      </c>
      <c r="AM13" s="235" t="s">
        <v>535</v>
      </c>
      <c r="AN13" s="235" t="s">
        <v>558</v>
      </c>
      <c r="AO13" s="235" t="s">
        <v>558</v>
      </c>
      <c r="AP13" s="235" t="s">
        <v>558</v>
      </c>
      <c r="AQ13" s="235" t="s">
        <v>558</v>
      </c>
      <c r="AR13" s="235" t="s">
        <v>558</v>
      </c>
      <c r="AS13" s="235" t="s">
        <v>550</v>
      </c>
      <c r="AT13" s="235" t="s">
        <v>550</v>
      </c>
      <c r="AU13" s="235" t="s">
        <v>550</v>
      </c>
      <c r="AV13" s="235" t="s">
        <v>550</v>
      </c>
      <c r="AW13" s="235" t="s">
        <v>580</v>
      </c>
      <c r="AX13" s="235" t="s">
        <v>615</v>
      </c>
      <c r="AY13" s="235" t="s">
        <v>626</v>
      </c>
      <c r="AZ13" s="313"/>
      <c r="BA13" s="235" t="s">
        <v>642</v>
      </c>
      <c r="BB13" s="235">
        <v>2022</v>
      </c>
      <c r="BC13" s="235"/>
      <c r="BD13" s="235">
        <v>2024</v>
      </c>
      <c r="BE13" s="235">
        <v>2025</v>
      </c>
      <c r="BF13" s="235">
        <v>2026</v>
      </c>
      <c r="BG13" s="235">
        <v>2027</v>
      </c>
      <c r="BH13" s="235">
        <v>2023</v>
      </c>
      <c r="BI13" s="235">
        <v>2024</v>
      </c>
      <c r="BJ13" s="235">
        <v>2025</v>
      </c>
      <c r="BK13" s="235">
        <v>2026</v>
      </c>
      <c r="BL13" s="235">
        <v>2027</v>
      </c>
      <c r="BM13" s="313"/>
      <c r="BN13" s="235" t="s">
        <v>507</v>
      </c>
      <c r="BO13" s="235" t="s">
        <v>687</v>
      </c>
      <c r="BP13" s="235" t="s">
        <v>687</v>
      </c>
      <c r="BQ13" s="235" t="s">
        <v>688</v>
      </c>
      <c r="BR13" s="235" t="s">
        <v>688</v>
      </c>
      <c r="BS13" s="235" t="s">
        <v>707</v>
      </c>
      <c r="BT13" s="235" t="s">
        <v>710</v>
      </c>
      <c r="BU13" s="235" t="s">
        <v>724</v>
      </c>
      <c r="BV13" s="313"/>
      <c r="BW13" s="235" t="s">
        <v>726</v>
      </c>
      <c r="BX13" s="235" t="s">
        <v>726</v>
      </c>
      <c r="BY13" s="235" t="s">
        <v>726</v>
      </c>
      <c r="BZ13" s="235" t="s">
        <v>726</v>
      </c>
      <c r="CA13" s="235" t="s">
        <v>763</v>
      </c>
      <c r="CB13" s="235"/>
      <c r="CC13" s="235"/>
      <c r="CD13" s="235"/>
      <c r="CE13" s="235"/>
      <c r="CF13" s="235"/>
      <c r="CG13" s="235"/>
      <c r="CH13" s="235"/>
      <c r="CI13" s="235"/>
      <c r="CM13" s="313"/>
    </row>
    <row r="14" spans="1:113" x14ac:dyDescent="0.2">
      <c r="D14" s="74"/>
      <c r="E14" s="86" t="s">
        <v>537</v>
      </c>
      <c r="F14" s="87" t="s">
        <v>123</v>
      </c>
      <c r="G14" s="87" t="s">
        <v>483</v>
      </c>
      <c r="H14" s="87" t="s">
        <v>441</v>
      </c>
      <c r="I14" s="87" t="s">
        <v>484</v>
      </c>
      <c r="J14" s="235" t="s">
        <v>626</v>
      </c>
      <c r="K14" s="87" t="s">
        <v>538</v>
      </c>
      <c r="L14" s="87" t="s">
        <v>484</v>
      </c>
      <c r="M14" s="87" t="s">
        <v>485</v>
      </c>
      <c r="N14" s="87" t="s">
        <v>486</v>
      </c>
      <c r="O14" s="165" t="s">
        <v>102</v>
      </c>
      <c r="P14" s="166" t="s">
        <v>102</v>
      </c>
      <c r="Q14" s="129"/>
      <c r="R14" s="86" t="s">
        <v>481</v>
      </c>
      <c r="S14" s="87" t="s">
        <v>482</v>
      </c>
      <c r="T14" s="87" t="s">
        <v>441</v>
      </c>
      <c r="U14" s="87" t="s">
        <v>484</v>
      </c>
      <c r="V14" s="235" t="s">
        <v>626</v>
      </c>
      <c r="W14" s="87" t="s">
        <v>539</v>
      </c>
      <c r="X14" s="167" t="s">
        <v>540</v>
      </c>
      <c r="Y14" s="168" t="s">
        <v>540</v>
      </c>
      <c r="Z14" s="129"/>
      <c r="AA14" s="130" t="s">
        <v>571</v>
      </c>
      <c r="AB14" s="131" t="s">
        <v>571</v>
      </c>
      <c r="AD14" s="169" t="s">
        <v>487</v>
      </c>
      <c r="AE14" s="170" t="s">
        <v>488</v>
      </c>
      <c r="AF14" s="170" t="s">
        <v>489</v>
      </c>
      <c r="AG14" s="170" t="s">
        <v>490</v>
      </c>
      <c r="AH14" s="171" t="s">
        <v>491</v>
      </c>
      <c r="AJ14" s="235" t="s">
        <v>564</v>
      </c>
      <c r="AK14" s="235" t="s">
        <v>142</v>
      </c>
      <c r="AL14" s="235" t="s">
        <v>599</v>
      </c>
      <c r="AM14" s="235" t="s">
        <v>141</v>
      </c>
      <c r="AN14" s="235" t="s">
        <v>559</v>
      </c>
      <c r="AO14" s="235" t="s">
        <v>578</v>
      </c>
      <c r="AP14" s="235" t="s">
        <v>629</v>
      </c>
      <c r="AQ14" s="235" t="s">
        <v>630</v>
      </c>
      <c r="AR14" s="235" t="s">
        <v>631</v>
      </c>
      <c r="AS14" s="235" t="s">
        <v>684</v>
      </c>
      <c r="AT14" s="235" t="s">
        <v>684</v>
      </c>
      <c r="AU14" s="235" t="s">
        <v>684</v>
      </c>
      <c r="AV14" s="235" t="s">
        <v>684</v>
      </c>
      <c r="AW14" s="235" t="s">
        <v>484</v>
      </c>
      <c r="AX14" s="235" t="s">
        <v>573</v>
      </c>
      <c r="AY14" s="235" t="s">
        <v>632</v>
      </c>
      <c r="AZ14" s="313"/>
      <c r="BA14" s="235" t="s">
        <v>643</v>
      </c>
      <c r="BB14" s="235"/>
      <c r="BC14" s="235"/>
      <c r="BD14" s="235"/>
      <c r="BE14" s="235"/>
      <c r="BF14" s="235"/>
      <c r="BG14" s="235"/>
      <c r="BM14" s="313"/>
      <c r="BN14" s="235" t="s">
        <v>682</v>
      </c>
      <c r="BO14" s="235" t="s">
        <v>685</v>
      </c>
      <c r="BP14" s="235" t="s">
        <v>685</v>
      </c>
      <c r="BQ14" s="235" t="s">
        <v>685</v>
      </c>
      <c r="BR14" s="235" t="s">
        <v>685</v>
      </c>
      <c r="BS14" s="235" t="s">
        <v>708</v>
      </c>
      <c r="BT14" s="235" t="s">
        <v>708</v>
      </c>
      <c r="BU14" s="235"/>
      <c r="BV14" s="313"/>
      <c r="BW14" s="235"/>
      <c r="BX14" s="235"/>
      <c r="BY14" s="235"/>
      <c r="BZ14" s="235"/>
      <c r="CA14" s="235"/>
      <c r="CB14" s="235" t="s">
        <v>502</v>
      </c>
      <c r="CC14" s="235" t="s">
        <v>502</v>
      </c>
      <c r="CD14" s="235" t="s">
        <v>502</v>
      </c>
      <c r="CE14" s="235" t="s">
        <v>502</v>
      </c>
      <c r="CF14" s="235" t="s">
        <v>502</v>
      </c>
      <c r="CG14" s="235" t="s">
        <v>502</v>
      </c>
      <c r="CH14" s="235" t="s">
        <v>502</v>
      </c>
      <c r="CI14" s="235">
        <v>1000</v>
      </c>
      <c r="CJ14" s="235">
        <v>1000</v>
      </c>
      <c r="CK14" s="235">
        <v>1000</v>
      </c>
      <c r="CL14" s="235">
        <v>1000</v>
      </c>
      <c r="CM14" s="313"/>
    </row>
    <row r="15" spans="1:113" x14ac:dyDescent="0.2">
      <c r="C15" s="74" t="s">
        <v>652</v>
      </c>
      <c r="D15" s="74" t="s">
        <v>492</v>
      </c>
      <c r="E15" s="86" t="s">
        <v>541</v>
      </c>
      <c r="F15" s="87" t="s">
        <v>494</v>
      </c>
      <c r="G15" s="87" t="s">
        <v>494</v>
      </c>
      <c r="H15" s="87"/>
      <c r="I15" s="87" t="s">
        <v>495</v>
      </c>
      <c r="J15" s="235" t="s">
        <v>627</v>
      </c>
      <c r="K15" s="87" t="s">
        <v>496</v>
      </c>
      <c r="L15" s="87" t="s">
        <v>653</v>
      </c>
      <c r="M15" s="87" t="s">
        <v>649</v>
      </c>
      <c r="N15" s="87" t="s">
        <v>497</v>
      </c>
      <c r="O15" s="165" t="s">
        <v>572</v>
      </c>
      <c r="P15" s="166" t="s">
        <v>572</v>
      </c>
      <c r="Q15" s="129"/>
      <c r="R15" s="86" t="s">
        <v>542</v>
      </c>
      <c r="S15" s="87" t="s">
        <v>493</v>
      </c>
      <c r="T15" s="87"/>
      <c r="U15" s="87" t="s">
        <v>495</v>
      </c>
      <c r="V15" s="235" t="s">
        <v>627</v>
      </c>
      <c r="W15" s="87" t="s">
        <v>543</v>
      </c>
      <c r="X15" s="165" t="s">
        <v>572</v>
      </c>
      <c r="Y15" s="166" t="s">
        <v>572</v>
      </c>
      <c r="Z15" s="129"/>
      <c r="AA15" s="130" t="s">
        <v>573</v>
      </c>
      <c r="AB15" s="131" t="s">
        <v>573</v>
      </c>
      <c r="AD15" s="172" t="s">
        <v>498</v>
      </c>
      <c r="AE15" s="173" t="s">
        <v>498</v>
      </c>
      <c r="AF15" s="173" t="s">
        <v>498</v>
      </c>
      <c r="AG15" s="173" t="s">
        <v>498</v>
      </c>
      <c r="AH15" s="174" t="s">
        <v>498</v>
      </c>
      <c r="AJ15" s="236" t="s">
        <v>577</v>
      </c>
      <c r="AK15" s="236" t="s">
        <v>577</v>
      </c>
      <c r="AL15" s="236" t="s">
        <v>577</v>
      </c>
      <c r="AM15" s="236" t="s">
        <v>577</v>
      </c>
      <c r="AN15" s="236" t="s">
        <v>577</v>
      </c>
      <c r="AO15" s="236" t="s">
        <v>577</v>
      </c>
      <c r="AP15" s="236" t="s">
        <v>577</v>
      </c>
      <c r="AQ15" s="236" t="s">
        <v>577</v>
      </c>
      <c r="AR15" s="236" t="s">
        <v>577</v>
      </c>
      <c r="AS15" s="236">
        <v>1000</v>
      </c>
      <c r="AT15" s="236">
        <v>1000</v>
      </c>
      <c r="AU15" s="236">
        <v>1000</v>
      </c>
      <c r="AV15" s="236">
        <v>1000</v>
      </c>
      <c r="AW15" s="236" t="s">
        <v>612</v>
      </c>
      <c r="AX15" s="236" t="s">
        <v>635</v>
      </c>
      <c r="AY15" s="236" t="s">
        <v>577</v>
      </c>
      <c r="AZ15" s="314"/>
      <c r="BA15" s="236" t="s">
        <v>644</v>
      </c>
      <c r="BB15" s="236"/>
      <c r="BC15" s="236"/>
      <c r="BD15" s="236"/>
      <c r="BE15" s="236"/>
      <c r="BF15" s="236"/>
      <c r="BG15" s="236"/>
      <c r="BM15" s="314"/>
      <c r="BN15" s="235" t="s">
        <v>683</v>
      </c>
      <c r="BO15" s="235" t="s">
        <v>686</v>
      </c>
      <c r="BP15" s="235" t="s">
        <v>686</v>
      </c>
      <c r="BQ15" s="235" t="s">
        <v>686</v>
      </c>
      <c r="BR15" s="235" t="s">
        <v>686</v>
      </c>
      <c r="BS15" s="235" t="s">
        <v>709</v>
      </c>
      <c r="BT15" s="235" t="s">
        <v>709</v>
      </c>
      <c r="BU15" s="235"/>
      <c r="BV15" s="313"/>
      <c r="BW15" s="235"/>
      <c r="BX15" s="235"/>
      <c r="BY15" s="235"/>
      <c r="BZ15" s="235"/>
      <c r="CA15" s="235"/>
      <c r="CB15" s="235"/>
      <c r="CE15" s="235"/>
      <c r="CF15" s="235"/>
      <c r="CG15" s="235"/>
      <c r="CH15" s="235"/>
      <c r="CI15" s="235"/>
      <c r="CM15" s="313"/>
    </row>
    <row r="16" spans="1:113" x14ac:dyDescent="0.2">
      <c r="D16" s="342" t="s">
        <v>667</v>
      </c>
      <c r="E16" s="343" t="s">
        <v>544</v>
      </c>
      <c r="F16" s="344"/>
      <c r="G16" s="345"/>
      <c r="H16" s="345"/>
      <c r="I16" s="345"/>
      <c r="J16" s="346" t="s">
        <v>495</v>
      </c>
      <c r="K16" s="344" t="s">
        <v>545</v>
      </c>
      <c r="L16" s="344"/>
      <c r="M16" s="344"/>
      <c r="N16" s="347" t="s">
        <v>499</v>
      </c>
      <c r="O16" s="165"/>
      <c r="P16" s="166"/>
      <c r="Q16" s="129"/>
      <c r="R16" s="348"/>
      <c r="S16" s="345" t="s">
        <v>546</v>
      </c>
      <c r="T16" s="345"/>
      <c r="U16" s="345"/>
      <c r="V16" s="346" t="s">
        <v>495</v>
      </c>
      <c r="W16" s="347" t="s">
        <v>547</v>
      </c>
      <c r="X16" s="165"/>
      <c r="Y16" s="166"/>
      <c r="Z16" s="129"/>
      <c r="AA16" s="175" t="s">
        <v>574</v>
      </c>
      <c r="AB16" s="131"/>
      <c r="AD16" s="172" t="s">
        <v>125</v>
      </c>
      <c r="AE16" s="173" t="s">
        <v>125</v>
      </c>
      <c r="AF16" s="173" t="s">
        <v>125</v>
      </c>
      <c r="AG16" s="173" t="s">
        <v>125</v>
      </c>
      <c r="AH16" s="174" t="s">
        <v>125</v>
      </c>
      <c r="AM16" s="74" t="s">
        <v>602</v>
      </c>
      <c r="AS16" s="30"/>
      <c r="AT16" s="30"/>
      <c r="AU16" s="30"/>
      <c r="AV16" s="3"/>
      <c r="AW16" s="307" t="s">
        <v>636</v>
      </c>
      <c r="AX16" s="307" t="s">
        <v>636</v>
      </c>
      <c r="BA16" s="235" t="s">
        <v>502</v>
      </c>
      <c r="BB16" s="235" t="s">
        <v>502</v>
      </c>
      <c r="BC16" s="235" t="s">
        <v>502</v>
      </c>
      <c r="BD16" s="235" t="s">
        <v>502</v>
      </c>
      <c r="BE16" s="235" t="s">
        <v>502</v>
      </c>
      <c r="BF16" s="235" t="s">
        <v>502</v>
      </c>
      <c r="BG16" s="235" t="s">
        <v>502</v>
      </c>
      <c r="BH16" s="235" t="s">
        <v>502</v>
      </c>
      <c r="BI16" s="235" t="s">
        <v>502</v>
      </c>
      <c r="BJ16" s="235" t="s">
        <v>502</v>
      </c>
      <c r="BK16" s="235" t="s">
        <v>502</v>
      </c>
      <c r="BL16" s="235" t="s">
        <v>502</v>
      </c>
      <c r="BN16" s="235" t="s">
        <v>577</v>
      </c>
      <c r="BO16" s="235" t="s">
        <v>577</v>
      </c>
      <c r="BP16" s="235" t="s">
        <v>577</v>
      </c>
      <c r="BQ16" s="235" t="s">
        <v>577</v>
      </c>
      <c r="BR16" s="235" t="s">
        <v>577</v>
      </c>
      <c r="BS16" s="235"/>
      <c r="BT16" s="235"/>
      <c r="BU16" s="235"/>
      <c r="BV16" s="313"/>
      <c r="BW16" s="235"/>
      <c r="BX16" s="235"/>
      <c r="BY16" s="235"/>
      <c r="BZ16" s="235"/>
      <c r="CA16" s="235"/>
      <c r="CB16" s="235"/>
      <c r="CE16" s="235"/>
      <c r="CF16" s="235"/>
      <c r="CG16" s="235"/>
      <c r="CH16" s="235"/>
      <c r="CI16" s="235"/>
      <c r="CM16" s="313"/>
    </row>
    <row r="17" spans="1:101" x14ac:dyDescent="0.2">
      <c r="A17" s="74" t="s">
        <v>500</v>
      </c>
      <c r="B17" s="74" t="s">
        <v>501</v>
      </c>
      <c r="D17" s="74"/>
      <c r="E17" s="300" t="s">
        <v>625</v>
      </c>
      <c r="F17" s="75"/>
      <c r="G17" s="75"/>
      <c r="H17" s="75"/>
      <c r="I17" s="75"/>
      <c r="J17" s="301"/>
      <c r="K17" s="85" t="s">
        <v>548</v>
      </c>
      <c r="L17" s="75"/>
      <c r="M17" s="85"/>
      <c r="N17" s="85" t="s">
        <v>549</v>
      </c>
      <c r="O17" s="165" t="s">
        <v>476</v>
      </c>
      <c r="P17" s="166" t="s">
        <v>124</v>
      </c>
      <c r="Q17" s="129"/>
      <c r="R17" s="88"/>
      <c r="S17" s="75"/>
      <c r="T17" s="75"/>
      <c r="U17" s="75"/>
      <c r="V17" s="75"/>
      <c r="W17" s="87"/>
      <c r="X17" s="165" t="s">
        <v>476</v>
      </c>
      <c r="Y17" s="166" t="s">
        <v>124</v>
      </c>
      <c r="Z17" s="129"/>
      <c r="AA17" s="130" t="s">
        <v>476</v>
      </c>
      <c r="AB17" s="131" t="s">
        <v>502</v>
      </c>
      <c r="AD17" s="353" t="s">
        <v>670</v>
      </c>
      <c r="AE17" s="176" t="s">
        <v>671</v>
      </c>
      <c r="AF17" s="176" t="s">
        <v>672</v>
      </c>
      <c r="AG17" s="176" t="s">
        <v>673</v>
      </c>
      <c r="AH17" s="177" t="s">
        <v>674</v>
      </c>
      <c r="AS17" s="30"/>
      <c r="AT17" s="30"/>
      <c r="AU17" s="30"/>
      <c r="AV17" s="3"/>
      <c r="AW17" s="30"/>
      <c r="AX17" s="30"/>
      <c r="CD17" s="74"/>
    </row>
    <row r="18" spans="1:101" x14ac:dyDescent="0.2">
      <c r="A18" s="76"/>
      <c r="B18" s="76" t="s">
        <v>597</v>
      </c>
      <c r="C18" s="76"/>
      <c r="D18" s="76">
        <f t="shared" ref="D18:O18" si="0">SUM(D20:D313)</f>
        <v>5517897</v>
      </c>
      <c r="E18" s="90">
        <f>SUM(E20:E313)</f>
        <v>15088241657.300005</v>
      </c>
      <c r="F18" s="76">
        <f t="shared" si="0"/>
        <v>8114343053.5958691</v>
      </c>
      <c r="G18" s="76">
        <f t="shared" si="0"/>
        <v>2089148745.3658993</v>
      </c>
      <c r="H18" s="76">
        <f t="shared" si="0"/>
        <v>1634000000.0000002</v>
      </c>
      <c r="I18" s="76">
        <f t="shared" si="0"/>
        <v>2609104821.665875</v>
      </c>
      <c r="J18" s="76">
        <f t="shared" si="0"/>
        <v>832500000.00000072</v>
      </c>
      <c r="K18" s="76">
        <f t="shared" si="0"/>
        <v>-3590914.7967728116</v>
      </c>
      <c r="L18" s="76">
        <f t="shared" si="0"/>
        <v>2396556</v>
      </c>
      <c r="M18" s="76">
        <f t="shared" si="0"/>
        <v>343265093.32000005</v>
      </c>
      <c r="N18" s="76">
        <f t="shared" si="0"/>
        <v>62000000.000000015</v>
      </c>
      <c r="O18" s="178">
        <f t="shared" si="0"/>
        <v>594925697.85086036</v>
      </c>
      <c r="P18" s="179">
        <f>O18/D18</f>
        <v>107.81747065065919</v>
      </c>
      <c r="Q18" s="76"/>
      <c r="R18" s="90">
        <f t="shared" ref="R18:X18" si="1">SUM(R20:R313)</f>
        <v>36321822657.299988</v>
      </c>
      <c r="S18" s="76">
        <f t="shared" si="1"/>
        <v>21284200836.235836</v>
      </c>
      <c r="T18" s="76">
        <f t="shared" si="1"/>
        <v>2450999999.999999</v>
      </c>
      <c r="U18" s="76">
        <f t="shared" si="1"/>
        <v>7947251138.7454529</v>
      </c>
      <c r="V18" s="76">
        <f t="shared" si="1"/>
        <v>2776500000.0000014</v>
      </c>
      <c r="W18" s="76">
        <f t="shared" si="1"/>
        <v>2434810394.6858997</v>
      </c>
      <c r="X18" s="178">
        <f t="shared" si="1"/>
        <v>571939712.36720848</v>
      </c>
      <c r="Y18" s="179">
        <f>X18/D18</f>
        <v>103.65175579885026</v>
      </c>
      <c r="Z18" s="76"/>
      <c r="AA18" s="84">
        <f>SUM(AA20:AA313)</f>
        <v>22985985.483651958</v>
      </c>
      <c r="AB18" s="132">
        <f>AA18/D18</f>
        <v>4.1657148518089331</v>
      </c>
      <c r="AD18" s="180"/>
      <c r="AE18" s="181"/>
      <c r="AF18" s="181"/>
      <c r="AG18" s="181"/>
      <c r="AH18" s="182"/>
      <c r="AJ18" s="74">
        <f t="shared" ref="AJ18:AY18" si="2">SUM(AJ20:AJ313)</f>
        <v>13169857782.639996</v>
      </c>
      <c r="AK18" s="74">
        <f t="shared" si="2"/>
        <v>817000000.00000012</v>
      </c>
      <c r="AL18" s="74">
        <f t="shared" si="2"/>
        <v>5338146317.0795794</v>
      </c>
      <c r="AM18" s="74">
        <f t="shared" si="2"/>
        <v>21233581000.000008</v>
      </c>
      <c r="AN18" s="74">
        <f t="shared" si="2"/>
        <v>5.7276338338851929E-8</v>
      </c>
      <c r="AO18" s="74">
        <f t="shared" si="2"/>
        <v>2.0954757928848267E-8</v>
      </c>
      <c r="AP18" s="74">
        <f t="shared" si="2"/>
        <v>-2.0023435354232788E-8</v>
      </c>
      <c r="AQ18" s="74">
        <f t="shared" si="2"/>
        <v>-3.7252902984619141E-9</v>
      </c>
      <c r="AR18" s="74">
        <f t="shared" si="2"/>
        <v>1.5366822481155396E-8</v>
      </c>
      <c r="AS18" s="75">
        <f t="shared" si="2"/>
        <v>2455007</v>
      </c>
      <c r="AT18" s="75">
        <f t="shared" si="2"/>
        <v>0</v>
      </c>
      <c r="AU18" s="75">
        <f t="shared" si="2"/>
        <v>0</v>
      </c>
      <c r="AV18" s="75">
        <f t="shared" si="2"/>
        <v>49527</v>
      </c>
      <c r="AW18" s="75">
        <f t="shared" si="2"/>
        <v>5361132.3025632305</v>
      </c>
      <c r="AX18" s="129">
        <f t="shared" si="2"/>
        <v>3.092281986027956E-11</v>
      </c>
      <c r="AY18" s="75">
        <f t="shared" si="2"/>
        <v>1944000</v>
      </c>
      <c r="AZ18" s="315"/>
      <c r="BA18" s="74">
        <f>(Tuloslaskelma!E29+Tuloslaskelma!E46+Tuloslaskelma!E52+Tuloslaskelma!E53+Tuloslaskelma!E54+Tuloslaskelma!E55+Tuloslaskelma!E57+Tuloslaskelma!E60)/Tuloslaskelma!A98*1000</f>
        <v>262.12479163123811</v>
      </c>
      <c r="BB18" s="74">
        <f>(Tuloslaskelma!B29+Tuloslaskelma!B46+Tuloslaskelma!B51+Tuloslaskelma!B60)/Tuloslaskelma!A98*1000</f>
        <v>179.40857599483684</v>
      </c>
      <c r="BC18" s="74">
        <f>BA18-BB18</f>
        <v>82.716215636401273</v>
      </c>
      <c r="BD18" s="74"/>
      <c r="BE18" s="74"/>
      <c r="BF18" s="74"/>
      <c r="BG18" s="74"/>
      <c r="BH18" s="74">
        <f>VLOOKUP(linkki,alue5,29,FALSE)/VLOOKUP(linkki,alue5,3,FALSE)</f>
        <v>16.817840264151343</v>
      </c>
      <c r="BI18" s="74">
        <f>(IF($BC$18&lt;-15,-$BC$18-15,IF($BC$18&gt;15,15-$BC$18,0)))-BI24</f>
        <v>-64.846255684096263</v>
      </c>
      <c r="BJ18" s="74">
        <f>(IF($BC$18&lt;-30,-$BC$18-30,IF($BC$18&gt;30,30-$BC$18,0)))-BJ24</f>
        <v>-50.934922313091448</v>
      </c>
      <c r="BK18" s="74">
        <f>(IF($BC$18&lt;-45,-$BC$18-45,IF($BC$18&gt;45,45-$BC$18,0)))-BK24</f>
        <v>-37.12516130509696</v>
      </c>
      <c r="BL18" s="74">
        <f>(IF($BC$18&lt;-60,-$BC$18-60,IF($BC$18&gt;60,60-$BC$18,0)))-BL24</f>
        <v>-23.10136046188331</v>
      </c>
      <c r="BM18" s="315"/>
      <c r="BN18" s="74">
        <f>SUM(BN20:BN312)</f>
        <v>15088241657.300005</v>
      </c>
      <c r="BO18" s="74">
        <f>SUM(BO20:BO312)</f>
        <v>19911190244.660015</v>
      </c>
      <c r="BP18" s="74">
        <f t="shared" ref="BP18:BR18" si="3">SUM(BP20:BP312)</f>
        <v>21308619000</v>
      </c>
      <c r="BQ18" s="74">
        <f t="shared" si="3"/>
        <v>457092369.63999987</v>
      </c>
      <c r="BR18" s="74">
        <f t="shared" si="3"/>
        <v>491883000</v>
      </c>
      <c r="CN18" s="74">
        <f>SUM(CN20:CN312)</f>
        <v>21920709.50373758</v>
      </c>
      <c r="CO18" s="74">
        <f>SUM(CO20:CO312)</f>
        <v>2659999.9999999986</v>
      </c>
    </row>
    <row r="19" spans="1:101" x14ac:dyDescent="0.2">
      <c r="D19" s="74"/>
      <c r="E19" s="89"/>
      <c r="F19" s="74"/>
      <c r="G19" s="74"/>
      <c r="H19" s="74"/>
      <c r="I19" s="74"/>
      <c r="J19" s="74"/>
      <c r="K19" s="74"/>
      <c r="L19" s="74"/>
      <c r="M19" s="75"/>
      <c r="N19" s="75"/>
      <c r="O19" s="178"/>
      <c r="P19" s="179"/>
      <c r="Q19" s="74"/>
      <c r="R19" s="89"/>
      <c r="S19" s="74"/>
      <c r="T19" s="74"/>
      <c r="U19" s="74"/>
      <c r="V19" s="74"/>
      <c r="W19" s="74"/>
      <c r="X19" s="183"/>
      <c r="Y19" s="179"/>
      <c r="Z19" s="74"/>
      <c r="AA19" s="91"/>
      <c r="AB19" s="132"/>
      <c r="AD19" s="180"/>
      <c r="AE19" s="184"/>
      <c r="AF19" s="185"/>
      <c r="AG19" s="164"/>
      <c r="AH19" s="186"/>
      <c r="AS19" s="30"/>
      <c r="AT19" s="30"/>
      <c r="AU19" s="30"/>
      <c r="AV19" s="30"/>
      <c r="AW19" s="30"/>
      <c r="AX19" s="30"/>
      <c r="BH19" s="125"/>
      <c r="BI19" s="125"/>
      <c r="BJ19" s="125"/>
      <c r="BK19" s="125"/>
      <c r="BL19" s="125"/>
    </row>
    <row r="20" spans="1:101" x14ac:dyDescent="0.2">
      <c r="A20" s="74">
        <v>5</v>
      </c>
      <c r="B20" s="74" t="s">
        <v>143</v>
      </c>
      <c r="C20" s="74">
        <v>14</v>
      </c>
      <c r="D20" s="358">
        <v>9311</v>
      </c>
      <c r="E20" s="91">
        <v>26344105.441880807</v>
      </c>
      <c r="F20" s="358">
        <v>12041866.224489415</v>
      </c>
      <c r="G20" s="358">
        <v>2278245.6457000002</v>
      </c>
      <c r="H20" s="358">
        <v>1724445.1680000001</v>
      </c>
      <c r="I20" s="358">
        <v>9607581.6505500209</v>
      </c>
      <c r="J20" s="358">
        <v>1981206.4290376324</v>
      </c>
      <c r="K20" s="358">
        <v>1357610.106746292</v>
      </c>
      <c r="L20" s="358">
        <v>1473494</v>
      </c>
      <c r="M20" s="359">
        <v>-430000</v>
      </c>
      <c r="N20" s="359">
        <v>70482.77617798571</v>
      </c>
      <c r="O20" s="178">
        <f t="shared" ref="O20:O83" si="4">N20+M20+L20+K20+J20+I20+H20+G20+F20-E20</f>
        <v>3760826.5588205382</v>
      </c>
      <c r="P20" s="179">
        <f t="shared" ref="P20:P83" si="5">O20/D20</f>
        <v>403.9122069402361</v>
      </c>
      <c r="Q20" s="74"/>
      <c r="R20" s="91">
        <v>66860415</v>
      </c>
      <c r="S20" s="358">
        <v>27080168.907056067</v>
      </c>
      <c r="T20" s="358">
        <v>2586667.7520000003</v>
      </c>
      <c r="U20" s="358">
        <v>31142878.022339758</v>
      </c>
      <c r="V20" s="358">
        <v>6607591.1714390153</v>
      </c>
      <c r="W20" s="358">
        <v>3321739.6457000002</v>
      </c>
      <c r="X20" s="178">
        <f t="shared" ref="X20:X83" si="6">W20+V20+U20+T20+S20-R20</f>
        <v>3878630.4985348433</v>
      </c>
      <c r="Y20" s="179">
        <f t="shared" ref="Y20:Y83" si="7">X20/D20</f>
        <v>416.56433235257686</v>
      </c>
      <c r="Z20" s="74"/>
      <c r="AA20" s="84">
        <f t="shared" ref="AA20:AA83" si="8">O20-X20</f>
        <v>-117803.9397143051</v>
      </c>
      <c r="AB20" s="132">
        <f t="shared" ref="AB20:AB83" si="9">AA20/D20</f>
        <v>-12.652125412340791</v>
      </c>
      <c r="AD20" s="180">
        <v>156590.91069951316</v>
      </c>
      <c r="AE20" s="187">
        <v>26722.197115911898</v>
      </c>
      <c r="AF20" s="187">
        <v>16585.622133337791</v>
      </c>
      <c r="AG20" s="187">
        <v>5503.3068787744478</v>
      </c>
      <c r="AH20" s="188">
        <v>-3586.0834700632317</v>
      </c>
      <c r="AJ20" s="74">
        <f t="shared" ref="AJ20:AJ83" si="10">S20-F20</f>
        <v>15038302.682566652</v>
      </c>
      <c r="AK20" s="74">
        <f t="shared" ref="AK20:AK83" si="11">T20-H20</f>
        <v>862222.58400000026</v>
      </c>
      <c r="AL20" s="74">
        <f t="shared" ref="AL20:AL83" si="12">U20-I20</f>
        <v>21535296.371789739</v>
      </c>
      <c r="AM20" s="74">
        <f>R20-E20</f>
        <v>40516309.558119193</v>
      </c>
      <c r="AN20" s="74">
        <f t="shared" ref="AN20:AN83" si="13">AD20</f>
        <v>156590.91069951316</v>
      </c>
      <c r="AO20" s="74">
        <f t="shared" ref="AO20:AO83" si="14">AE20</f>
        <v>26722.197115911898</v>
      </c>
      <c r="AP20" s="74">
        <f t="shared" ref="AP20:AP83" si="15">AF20</f>
        <v>16585.622133337791</v>
      </c>
      <c r="AQ20" s="74">
        <f t="shared" ref="AQ20:AQ83" si="16">AG20</f>
        <v>5503.3068787744478</v>
      </c>
      <c r="AR20" s="74">
        <f t="shared" ref="AR20:AR83" si="17">AH20</f>
        <v>-3586.0834700632317</v>
      </c>
      <c r="AS20" s="75">
        <v>3828</v>
      </c>
      <c r="AT20" s="75"/>
      <c r="AU20" s="75"/>
      <c r="AV20" s="75">
        <v>0</v>
      </c>
      <c r="AW20" s="75">
        <v>17031.106423112589</v>
      </c>
      <c r="AX20" s="75">
        <v>-5295.4989968587561</v>
      </c>
      <c r="AY20" s="75">
        <v>4626.3847424013829</v>
      </c>
      <c r="AZ20" s="316"/>
      <c r="BA20" s="74"/>
      <c r="BB20" s="74"/>
      <c r="BC20" s="74"/>
      <c r="BD20" s="74"/>
      <c r="BE20" s="74"/>
      <c r="BF20" s="74"/>
      <c r="BG20" s="74"/>
      <c r="BH20" s="74"/>
      <c r="BI20" s="74"/>
      <c r="BJ20" s="74"/>
      <c r="BK20" s="74"/>
      <c r="BL20" s="74"/>
      <c r="BM20" s="316"/>
      <c r="BN20" s="74">
        <v>26344105.441880807</v>
      </c>
      <c r="BO20" s="74">
        <v>40283427.550000004</v>
      </c>
      <c r="BP20" s="74">
        <v>41062000</v>
      </c>
      <c r="BQ20" s="74">
        <v>955756.07000000007</v>
      </c>
      <c r="BR20" s="74">
        <v>989000</v>
      </c>
      <c r="BS20" s="406">
        <f>1-F20/S20</f>
        <v>0.55532529114499873</v>
      </c>
      <c r="BT20" s="406">
        <f>1-H20/T20</f>
        <v>0.33333333333333337</v>
      </c>
      <c r="BU20" s="74">
        <f>(U20+V20)-(I20+J20)+K20</f>
        <v>27519291.220937416</v>
      </c>
      <c r="BV20" s="316"/>
      <c r="BW20" s="74">
        <v>66860415</v>
      </c>
      <c r="BX20" s="74">
        <v>26344105.441880807</v>
      </c>
      <c r="BY20" s="74">
        <v>31945082.304756068</v>
      </c>
      <c r="BZ20" s="74">
        <v>16044557.038189415</v>
      </c>
      <c r="CA20" s="74">
        <f>((BX20-BW20)-N20+(BY20-BZ20)+AW20*1000+AY20*1000-AX20*1000-$BX$8)*0.6+(D20*-0.260310389757568)</f>
        <v>1357610.1067462882</v>
      </c>
      <c r="CB20" s="74">
        <f>(-R20+S20+T20+U20+V20+W20)/D20</f>
        <v>416.56433235257657</v>
      </c>
      <c r="CC20" s="74">
        <f>(-E20+F20+G20+H20+I20+J20+L20+CA20+M20+N20)/D20</f>
        <v>403.91220694023571</v>
      </c>
      <c r="CD20" s="74">
        <f>CC20-CB20</f>
        <v>-12.652125412340865</v>
      </c>
      <c r="CE20" s="74">
        <f>(IF(CD20&lt;-15,-CD20-15,IF(CD20&gt;15,15-CD20,0)))-$BI$24</f>
        <v>2.8699599523050048</v>
      </c>
      <c r="CF20" s="74">
        <f>(IF(CD20&lt;-30,-CD20-30,IF(CD20&gt;30,30-CD20,0)))-$BJ$24</f>
        <v>1.7812933233098263</v>
      </c>
      <c r="CG20" s="74">
        <f>(IF(CD20&lt;-45,-CD20-45,IF(CD20&gt;45,45-CD20,0)))-$BK$24</f>
        <v>0.59105433130431184</v>
      </c>
      <c r="CH20" s="74">
        <f>(IF(CD20&lt;-60,-CD20-60,IF(CD20&gt;60,60-CD20,0)))-$BL$24</f>
        <v>-0.38514482548203544</v>
      </c>
      <c r="CI20" s="74">
        <f>CE20*$D20</f>
        <v>26722.197115911898</v>
      </c>
      <c r="CJ20" s="74">
        <f t="shared" ref="CJ20:CL20" si="18">CF20*$D20</f>
        <v>16585.622133337791</v>
      </c>
      <c r="CK20" s="74">
        <f t="shared" si="18"/>
        <v>5503.3068787744478</v>
      </c>
      <c r="CL20" s="74">
        <f t="shared" si="18"/>
        <v>-3586.0834700632317</v>
      </c>
      <c r="CM20" s="316"/>
      <c r="CN20" s="74">
        <v>27194.755138970093</v>
      </c>
      <c r="CO20" s="74">
        <v>2807.2363200000004</v>
      </c>
      <c r="CP20" s="74"/>
    </row>
    <row r="21" spans="1:101" x14ac:dyDescent="0.2">
      <c r="A21" s="74">
        <v>9</v>
      </c>
      <c r="B21" s="74" t="s">
        <v>144</v>
      </c>
      <c r="C21" s="74">
        <v>17</v>
      </c>
      <c r="D21" s="74">
        <v>2491</v>
      </c>
      <c r="E21" s="89">
        <v>7237315.2538106088</v>
      </c>
      <c r="F21" s="74">
        <v>3268430.2392999618</v>
      </c>
      <c r="G21" s="74">
        <v>755993.58960000006</v>
      </c>
      <c r="H21" s="74">
        <v>224372.21979999999</v>
      </c>
      <c r="I21" s="74">
        <v>3071456.8046982549</v>
      </c>
      <c r="J21" s="74">
        <v>527923.38543703966</v>
      </c>
      <c r="K21" s="74">
        <v>413751.29628251819</v>
      </c>
      <c r="L21" s="74">
        <v>-539829</v>
      </c>
      <c r="M21" s="75">
        <v>-91549</v>
      </c>
      <c r="N21" s="75">
        <v>17931.474286847402</v>
      </c>
      <c r="O21" s="178">
        <f t="shared" si="4"/>
        <v>411165.75559401326</v>
      </c>
      <c r="P21" s="179">
        <f t="shared" si="5"/>
        <v>165.06052011000131</v>
      </c>
      <c r="Q21" s="74"/>
      <c r="R21" s="89">
        <v>18423844.800000001</v>
      </c>
      <c r="S21" s="74">
        <v>7201485.753322551</v>
      </c>
      <c r="T21" s="74">
        <v>336558.3297</v>
      </c>
      <c r="U21" s="74">
        <v>9431688.9702618457</v>
      </c>
      <c r="V21" s="74">
        <v>1760695.8314305567</v>
      </c>
      <c r="W21" s="74">
        <v>124615.58960000006</v>
      </c>
      <c r="X21" s="178">
        <f t="shared" si="6"/>
        <v>431199.67431495339</v>
      </c>
      <c r="Y21" s="179">
        <f t="shared" si="7"/>
        <v>173.10304067240199</v>
      </c>
      <c r="Z21" s="74"/>
      <c r="AA21" s="84">
        <f t="shared" si="8"/>
        <v>-20033.918720940128</v>
      </c>
      <c r="AB21" s="132">
        <f t="shared" si="9"/>
        <v>-8.0425205624006928</v>
      </c>
      <c r="AD21" s="180">
        <v>30410.714416795254</v>
      </c>
      <c r="AE21" s="187">
        <v>7149.0702411917673</v>
      </c>
      <c r="AF21" s="187">
        <v>4437.2016683647771</v>
      </c>
      <c r="AG21" s="187">
        <v>1472.3163392790409</v>
      </c>
      <c r="AH21" s="188">
        <v>-959.39576027575026</v>
      </c>
      <c r="AJ21" s="74">
        <f t="shared" si="10"/>
        <v>3933055.5140225892</v>
      </c>
      <c r="AK21" s="74">
        <f t="shared" si="11"/>
        <v>112186.10990000001</v>
      </c>
      <c r="AL21" s="74">
        <f t="shared" si="12"/>
        <v>6360232.1655635908</v>
      </c>
      <c r="AM21" s="74">
        <f t="shared" ref="AM21:AM83" si="19">R21-E21</f>
        <v>11186529.546189392</v>
      </c>
      <c r="AN21" s="74">
        <f t="shared" si="13"/>
        <v>30410.714416795254</v>
      </c>
      <c r="AO21" s="74">
        <f t="shared" si="14"/>
        <v>7149.0702411917673</v>
      </c>
      <c r="AP21" s="74">
        <f t="shared" si="15"/>
        <v>4437.2016683647771</v>
      </c>
      <c r="AQ21" s="74">
        <f t="shared" si="16"/>
        <v>1472.3163392790409</v>
      </c>
      <c r="AR21" s="74">
        <f t="shared" si="17"/>
        <v>-959.39576027575026</v>
      </c>
      <c r="AS21" s="75">
        <v>738</v>
      </c>
      <c r="AT21" s="75"/>
      <c r="AU21" s="75"/>
      <c r="AV21" s="75">
        <v>4</v>
      </c>
      <c r="AW21" s="75">
        <v>5156.5849833388038</v>
      </c>
      <c r="AX21" s="75">
        <v>-1460.5281829936669</v>
      </c>
      <c r="AY21" s="75">
        <v>1232.7724459935171</v>
      </c>
      <c r="AZ21" s="316"/>
      <c r="BA21" t="s">
        <v>645</v>
      </c>
      <c r="BH21" s="357"/>
      <c r="BI21" s="357"/>
      <c r="BJ21" s="357"/>
      <c r="BK21" s="357"/>
      <c r="BL21" s="357"/>
      <c r="BM21" s="316"/>
      <c r="BN21" s="74">
        <v>7237315.2538106088</v>
      </c>
      <c r="BO21" s="74">
        <v>10412007.789999999</v>
      </c>
      <c r="BP21" s="74">
        <v>11047000</v>
      </c>
      <c r="BQ21" s="74">
        <v>333521.96999999997</v>
      </c>
      <c r="BR21" s="74">
        <v>403000</v>
      </c>
      <c r="BS21" s="406">
        <f t="shared" ref="BS21:BS84" si="20">1-F21/S21</f>
        <v>0.54614501073031974</v>
      </c>
      <c r="BT21" s="406">
        <f t="shared" ref="BT21:BT84" si="21">1-H21/T21</f>
        <v>0.33333333333333337</v>
      </c>
      <c r="BU21" s="74">
        <f t="shared" ref="BU21:BU84" si="22">(U21+V21)-(I21+J21)+K21</f>
        <v>8006755.9078396261</v>
      </c>
      <c r="BV21" s="316"/>
      <c r="BW21" s="74">
        <v>18423844.800000001</v>
      </c>
      <c r="BX21" s="74">
        <v>7237315.2538106088</v>
      </c>
      <c r="BY21" s="74">
        <v>8294037.6726225503</v>
      </c>
      <c r="BZ21" s="74">
        <v>4248796.048699962</v>
      </c>
      <c r="CA21" s="74">
        <f t="shared" ref="CA21:CA84" si="23">((BX21-BW21)-N21+(BY21-BZ21)+AW21*1000+AY21*1000-AX21*1000-$BX$8)*0.6+(D21*-0.260310389757568)</f>
        <v>413751.29628251638</v>
      </c>
      <c r="CB21" s="74">
        <f t="shared" ref="CB21:CB84" si="24">(-R21+S21+T21+U21+V21+W21)/D21</f>
        <v>173.10304067240199</v>
      </c>
      <c r="CC21" s="74">
        <f t="shared" ref="CC21:CC84" si="25">(-E21+F21+G21+H21+I21+J21+L21+CA21+M21+N21)/D21</f>
        <v>165.06052011000062</v>
      </c>
      <c r="CD21" s="74">
        <f t="shared" ref="CD21:CD84" si="26">CC21-CB21</f>
        <v>-8.0425205624013643</v>
      </c>
      <c r="CE21" s="74">
        <f t="shared" ref="CE21:CE84" si="27">(IF(CD21&lt;-15,-CD21-15,IF(CD21&gt;15,15-CD21,0)))-$BI$24</f>
        <v>2.8699599523050048</v>
      </c>
      <c r="CF21" s="74">
        <f t="shared" ref="CF21:CF84" si="28">(IF(CD21&lt;-30,-CD21-30,IF(CD21&gt;30,30-CD21,0)))-$BJ$24</f>
        <v>1.7812933233098263</v>
      </c>
      <c r="CG21" s="74">
        <f t="shared" ref="CG21:CG84" si="29">(IF(CD21&lt;-45,-CD21-45,IF(CD21&gt;45,45-CD21,0)))-$BK$24</f>
        <v>0.59105433130431184</v>
      </c>
      <c r="CH21" s="74">
        <f t="shared" ref="CH21:CH84" si="30">(IF(CD21&lt;-60,-CD21-60,IF(CD21&gt;60,60-CD21,0)))-$BL$24</f>
        <v>-0.38514482548203544</v>
      </c>
      <c r="CI21" s="74">
        <f t="shared" ref="CI21:CI84" si="31">CE21*$D21</f>
        <v>7149.0702411917673</v>
      </c>
      <c r="CJ21" s="74">
        <f t="shared" ref="CJ21:CJ84" si="32">CF21*$D21</f>
        <v>4437.2016683647771</v>
      </c>
      <c r="CK21" s="74">
        <f t="shared" ref="CK21:CK84" si="33">CG21*$D21</f>
        <v>1472.3163392790409</v>
      </c>
      <c r="CL21" s="74">
        <f t="shared" ref="CL21:CL84" si="34">CH21*$D21</f>
        <v>-959.39576027575026</v>
      </c>
      <c r="CM21" s="316"/>
      <c r="CN21" s="74">
        <v>7743.6743103014423</v>
      </c>
      <c r="CO21" s="74">
        <v>365.25710199999997</v>
      </c>
    </row>
    <row r="22" spans="1:101" x14ac:dyDescent="0.2">
      <c r="A22" s="74">
        <v>10</v>
      </c>
      <c r="B22" s="74" t="s">
        <v>145</v>
      </c>
      <c r="C22" s="74">
        <v>14</v>
      </c>
      <c r="D22" s="74">
        <v>11197</v>
      </c>
      <c r="E22" s="89">
        <v>31425462.728369981</v>
      </c>
      <c r="F22" s="74">
        <v>13682390.800569097</v>
      </c>
      <c r="G22" s="74">
        <v>2860142.4282999998</v>
      </c>
      <c r="H22" s="74">
        <v>2165045.915</v>
      </c>
      <c r="I22" s="74">
        <v>10550268.865735646</v>
      </c>
      <c r="J22" s="74">
        <v>2421746.9769187393</v>
      </c>
      <c r="K22" s="74">
        <v>449394.50858596608</v>
      </c>
      <c r="L22" s="74">
        <v>-700212</v>
      </c>
      <c r="M22" s="75">
        <v>36000</v>
      </c>
      <c r="N22" s="75">
        <v>83277.058406342578</v>
      </c>
      <c r="O22" s="178">
        <f t="shared" si="4"/>
        <v>122591.82514581084</v>
      </c>
      <c r="P22" s="179">
        <f t="shared" si="5"/>
        <v>10.9486313428428</v>
      </c>
      <c r="Q22" s="74"/>
      <c r="R22" s="89">
        <v>83105726</v>
      </c>
      <c r="S22" s="74">
        <v>31386712.56058713</v>
      </c>
      <c r="T22" s="74">
        <v>3247568.8725000001</v>
      </c>
      <c r="U22" s="74">
        <v>37670462.683795512</v>
      </c>
      <c r="V22" s="74">
        <v>8076853.4311289731</v>
      </c>
      <c r="W22" s="74">
        <v>2195930.4282999998</v>
      </c>
      <c r="X22" s="178">
        <f t="shared" si="6"/>
        <v>-528198.02368837595</v>
      </c>
      <c r="Y22" s="179">
        <f t="shared" si="7"/>
        <v>-47.173173500792707</v>
      </c>
      <c r="Z22" s="74"/>
      <c r="AA22" s="84">
        <f t="shared" si="8"/>
        <v>650789.84883418679</v>
      </c>
      <c r="AB22" s="132">
        <f t="shared" si="9"/>
        <v>58.121804843635509</v>
      </c>
      <c r="AD22" s="180">
        <v>-604146.33963847836</v>
      </c>
      <c r="AE22" s="187">
        <v>-450699.90724822396</v>
      </c>
      <c r="AF22" s="187">
        <v>-294934.70749308297</v>
      </c>
      <c r="AG22" s="187">
        <v>-140306.81348656869</v>
      </c>
      <c r="AH22" s="188">
        <v>-4312.4666109223508</v>
      </c>
      <c r="AJ22" s="74">
        <f t="shared" si="10"/>
        <v>17704321.760018036</v>
      </c>
      <c r="AK22" s="74">
        <f t="shared" si="11"/>
        <v>1082522.9575</v>
      </c>
      <c r="AL22" s="74">
        <f t="shared" si="12"/>
        <v>27120193.818059865</v>
      </c>
      <c r="AM22" s="74">
        <f t="shared" si="19"/>
        <v>51680263.271630019</v>
      </c>
      <c r="AN22" s="74">
        <f t="shared" si="13"/>
        <v>-604146.33963847836</v>
      </c>
      <c r="AO22" s="74">
        <f t="shared" si="14"/>
        <v>-450699.90724822396</v>
      </c>
      <c r="AP22" s="74">
        <f t="shared" si="15"/>
        <v>-294934.70749308297</v>
      </c>
      <c r="AQ22" s="74">
        <f t="shared" si="16"/>
        <v>-140306.81348656869</v>
      </c>
      <c r="AR22" s="74">
        <f t="shared" si="17"/>
        <v>-4312.4666109223508</v>
      </c>
      <c r="AS22" s="75">
        <v>4323</v>
      </c>
      <c r="AT22" s="75"/>
      <c r="AU22" s="75"/>
      <c r="AV22" s="75">
        <v>0</v>
      </c>
      <c r="AW22" s="75">
        <v>21635.243259363608</v>
      </c>
      <c r="AX22" s="75">
        <v>-6440.1945723112822</v>
      </c>
      <c r="AY22" s="75">
        <v>5655.106454210234</v>
      </c>
      <c r="AZ22" s="316"/>
      <c r="BA22" s="74"/>
      <c r="BB22" s="74"/>
      <c r="BC22" s="74"/>
      <c r="BD22" s="74"/>
      <c r="BE22" s="74"/>
      <c r="BF22" s="74"/>
      <c r="BG22" s="74"/>
      <c r="BH22" s="354"/>
      <c r="BI22" s="354"/>
      <c r="BJ22" s="354"/>
      <c r="BK22" s="354"/>
      <c r="BL22" s="354"/>
      <c r="BM22" s="316"/>
      <c r="BN22" s="74">
        <v>31425462.728369981</v>
      </c>
      <c r="BO22" s="74">
        <v>49727888.63000001</v>
      </c>
      <c r="BP22" s="74">
        <v>50681000</v>
      </c>
      <c r="BQ22" s="74">
        <v>1205716.78</v>
      </c>
      <c r="BR22" s="74">
        <v>1245000</v>
      </c>
      <c r="BS22" s="406">
        <f t="shared" si="20"/>
        <v>0.56407059916971602</v>
      </c>
      <c r="BT22" s="406">
        <f t="shared" si="21"/>
        <v>0.33333333333333337</v>
      </c>
      <c r="BU22" s="74">
        <f t="shared" si="22"/>
        <v>33224694.780856065</v>
      </c>
      <c r="BV22" s="316"/>
      <c r="BW22" s="74">
        <v>83105726</v>
      </c>
      <c r="BX22" s="74">
        <v>31425462.728369981</v>
      </c>
      <c r="BY22" s="74">
        <v>37494423.861387134</v>
      </c>
      <c r="BZ22" s="74">
        <v>18707579.143869095</v>
      </c>
      <c r="CA22" s="74">
        <f t="shared" si="23"/>
        <v>449394.50858596282</v>
      </c>
      <c r="CB22" s="74">
        <f t="shared" si="24"/>
        <v>-47.17317350079329</v>
      </c>
      <c r="CC22" s="74">
        <f t="shared" si="25"/>
        <v>10.948631342842233</v>
      </c>
      <c r="CD22" s="74">
        <f t="shared" si="26"/>
        <v>58.121804843635523</v>
      </c>
      <c r="CE22" s="74">
        <f t="shared" si="27"/>
        <v>-40.251844891330521</v>
      </c>
      <c r="CF22" s="74">
        <f t="shared" si="28"/>
        <v>-26.340511520325698</v>
      </c>
      <c r="CG22" s="74">
        <f t="shared" si="29"/>
        <v>-12.530750512331212</v>
      </c>
      <c r="CH22" s="74">
        <f t="shared" si="30"/>
        <v>-0.38514482548203544</v>
      </c>
      <c r="CI22" s="74">
        <f t="shared" si="31"/>
        <v>-450699.90724822786</v>
      </c>
      <c r="CJ22" s="74">
        <f t="shared" si="32"/>
        <v>-294934.70749308687</v>
      </c>
      <c r="CK22" s="74">
        <f t="shared" si="33"/>
        <v>-140306.81348657259</v>
      </c>
      <c r="CL22" s="74">
        <f t="shared" si="34"/>
        <v>-4312.4666109223508</v>
      </c>
      <c r="CM22" s="316"/>
      <c r="CN22" s="74">
        <v>31307.004291879104</v>
      </c>
      <c r="CO22" s="74">
        <v>3524.4933500000002</v>
      </c>
    </row>
    <row r="23" spans="1:101" x14ac:dyDescent="0.2">
      <c r="A23" s="74">
        <v>16</v>
      </c>
      <c r="B23" s="74" t="s">
        <v>146</v>
      </c>
      <c r="C23" s="74">
        <v>7</v>
      </c>
      <c r="D23" s="74">
        <v>8033</v>
      </c>
      <c r="E23" s="89">
        <v>22187913.231521394</v>
      </c>
      <c r="F23" s="74">
        <v>11323563.374794215</v>
      </c>
      <c r="G23" s="74">
        <v>3068675.2041000002</v>
      </c>
      <c r="H23" s="74">
        <v>1354320.1481999999</v>
      </c>
      <c r="I23" s="74">
        <v>2793994.661647616</v>
      </c>
      <c r="J23" s="74">
        <v>1425551.6973761218</v>
      </c>
      <c r="K23" s="74">
        <v>3305207.0963274743</v>
      </c>
      <c r="L23" s="74">
        <v>-571243</v>
      </c>
      <c r="M23" s="75">
        <v>545000</v>
      </c>
      <c r="N23" s="75">
        <v>76668.29741812365</v>
      </c>
      <c r="O23" s="178">
        <f t="shared" si="4"/>
        <v>1133824.2483421564</v>
      </c>
      <c r="P23" s="179">
        <f t="shared" si="5"/>
        <v>141.14580459879951</v>
      </c>
      <c r="Q23" s="74"/>
      <c r="R23" s="89">
        <v>52689682</v>
      </c>
      <c r="S23" s="74">
        <v>27942348.01721745</v>
      </c>
      <c r="T23" s="74">
        <v>2031480.2223</v>
      </c>
      <c r="U23" s="74">
        <v>18913443.985282019</v>
      </c>
      <c r="V23" s="74">
        <v>4754407.5528706266</v>
      </c>
      <c r="W23" s="74">
        <v>3042432.2041000002</v>
      </c>
      <c r="X23" s="178">
        <f t="shared" si="6"/>
        <v>3994429.9817700982</v>
      </c>
      <c r="Y23" s="179">
        <f t="shared" si="7"/>
        <v>497.25258082535765</v>
      </c>
      <c r="Z23" s="74"/>
      <c r="AA23" s="84">
        <f t="shared" si="8"/>
        <v>-2860605.7334279418</v>
      </c>
      <c r="AB23" s="132">
        <f t="shared" si="9"/>
        <v>-356.10677622655817</v>
      </c>
      <c r="AC23" s="125"/>
      <c r="AD23" s="180">
        <v>2894068.9208325194</v>
      </c>
      <c r="AE23" s="187">
        <v>2763165.1217248044</v>
      </c>
      <c r="AF23" s="187">
        <v>2633924.862694086</v>
      </c>
      <c r="AG23" s="187">
        <v>2503868.6728713056</v>
      </c>
      <c r="AH23" s="188">
        <v>2375531.8650448411</v>
      </c>
      <c r="AJ23" s="74">
        <f t="shared" si="10"/>
        <v>16618784.642423235</v>
      </c>
      <c r="AK23" s="74">
        <f t="shared" si="11"/>
        <v>677160.07410000009</v>
      </c>
      <c r="AL23" s="74">
        <f t="shared" si="12"/>
        <v>16119449.323634403</v>
      </c>
      <c r="AM23" s="74">
        <f t="shared" si="19"/>
        <v>30501768.768478606</v>
      </c>
      <c r="AN23" s="74">
        <f t="shared" si="13"/>
        <v>2894068.9208325194</v>
      </c>
      <c r="AO23" s="74">
        <f t="shared" si="14"/>
        <v>2763165.1217248044</v>
      </c>
      <c r="AP23" s="74">
        <f t="shared" si="15"/>
        <v>2633924.862694086</v>
      </c>
      <c r="AQ23" s="74">
        <f t="shared" si="16"/>
        <v>2503868.6728713056</v>
      </c>
      <c r="AR23" s="74">
        <f t="shared" si="17"/>
        <v>2375531.8650448411</v>
      </c>
      <c r="AS23" s="75">
        <v>2387</v>
      </c>
      <c r="AT23" s="75"/>
      <c r="AU23" s="75"/>
      <c r="AV23" s="75">
        <v>0</v>
      </c>
      <c r="AW23" s="75">
        <v>13820.702777095885</v>
      </c>
      <c r="AX23" s="75">
        <v>-1645.097332930427</v>
      </c>
      <c r="AY23" s="75">
        <v>3328.8558554945048</v>
      </c>
      <c r="AZ23" s="316"/>
      <c r="BA23" s="74"/>
      <c r="BB23" s="74"/>
      <c r="BC23" s="74"/>
      <c r="BD23" s="74"/>
      <c r="BE23" s="74"/>
      <c r="BF23" s="74"/>
      <c r="BG23" s="74"/>
      <c r="BM23" s="316"/>
      <c r="BN23" s="74">
        <v>22187913.231521394</v>
      </c>
      <c r="BO23" s="74">
        <v>28546271.930000007</v>
      </c>
      <c r="BP23" s="74">
        <v>31589000</v>
      </c>
      <c r="BQ23" s="74">
        <v>846012.58000000007</v>
      </c>
      <c r="BR23" s="74">
        <v>873000</v>
      </c>
      <c r="BS23" s="406">
        <f t="shared" si="20"/>
        <v>0.59475261821888092</v>
      </c>
      <c r="BT23" s="406">
        <f t="shared" si="21"/>
        <v>0.33333333333333337</v>
      </c>
      <c r="BU23" s="74">
        <f t="shared" si="22"/>
        <v>22753512.275456384</v>
      </c>
      <c r="BV23" s="316"/>
      <c r="BW23" s="74">
        <v>52689682</v>
      </c>
      <c r="BX23" s="74">
        <v>22187913.231521394</v>
      </c>
      <c r="BY23" s="74">
        <v>33042503.443617452</v>
      </c>
      <c r="BZ23" s="74">
        <v>15746558.727094214</v>
      </c>
      <c r="CA23" s="74">
        <f t="shared" si="23"/>
        <v>3305207.0963274706</v>
      </c>
      <c r="CB23" s="74">
        <f t="shared" si="24"/>
        <v>497.25258082535737</v>
      </c>
      <c r="CC23" s="74">
        <f t="shared" si="25"/>
        <v>141.14580459879897</v>
      </c>
      <c r="CD23" s="74">
        <f t="shared" si="26"/>
        <v>-356.1067762265584</v>
      </c>
      <c r="CE23" s="74">
        <f t="shared" si="27"/>
        <v>343.9767361788634</v>
      </c>
      <c r="CF23" s="74">
        <f t="shared" si="28"/>
        <v>327.88806954986825</v>
      </c>
      <c r="CG23" s="74">
        <f t="shared" si="29"/>
        <v>311.69783055786269</v>
      </c>
      <c r="CH23" s="74">
        <f t="shared" si="30"/>
        <v>295.72163140107637</v>
      </c>
      <c r="CI23" s="74">
        <f t="shared" si="31"/>
        <v>2763165.1217248095</v>
      </c>
      <c r="CJ23" s="74">
        <f t="shared" si="32"/>
        <v>2633924.8626940916</v>
      </c>
      <c r="CK23" s="74">
        <f t="shared" si="33"/>
        <v>2503868.6728713112</v>
      </c>
      <c r="CL23" s="74">
        <f t="shared" si="34"/>
        <v>2375531.8650448467</v>
      </c>
      <c r="CM23" s="316"/>
      <c r="CN23" s="74">
        <v>28146.912824251613</v>
      </c>
      <c r="CO23" s="74">
        <v>2204.7072180000005</v>
      </c>
    </row>
    <row r="24" spans="1:101" x14ac:dyDescent="0.2">
      <c r="A24" s="74">
        <v>18</v>
      </c>
      <c r="B24" s="74" t="s">
        <v>147</v>
      </c>
      <c r="C24" s="74">
        <v>34</v>
      </c>
      <c r="D24" s="74">
        <v>4847</v>
      </c>
      <c r="E24" s="89">
        <v>13265884.231872084</v>
      </c>
      <c r="F24" s="74">
        <v>8275124.887506933</v>
      </c>
      <c r="G24" s="74">
        <v>1230938.7119999998</v>
      </c>
      <c r="H24" s="74">
        <v>916727.75860000006</v>
      </c>
      <c r="I24" s="74">
        <v>3662758.5979850711</v>
      </c>
      <c r="J24" s="74">
        <v>827783.08923652419</v>
      </c>
      <c r="K24" s="74">
        <v>-455199.6460995652</v>
      </c>
      <c r="L24" s="74">
        <v>-122335</v>
      </c>
      <c r="M24" s="75">
        <v>-25000</v>
      </c>
      <c r="N24" s="75">
        <v>51091.700689186247</v>
      </c>
      <c r="O24" s="178">
        <f t="shared" si="4"/>
        <v>1096005.8680460658</v>
      </c>
      <c r="P24" s="179">
        <f t="shared" si="5"/>
        <v>226.12045967527663</v>
      </c>
      <c r="Q24" s="74"/>
      <c r="R24" s="89">
        <v>29943000</v>
      </c>
      <c r="S24" s="74">
        <v>19342766.676156253</v>
      </c>
      <c r="T24" s="74">
        <v>1375091.6379</v>
      </c>
      <c r="U24" s="74">
        <v>6128276.5050370852</v>
      </c>
      <c r="V24" s="74">
        <v>2760768.4651834308</v>
      </c>
      <c r="W24" s="74">
        <v>1083603.7119999998</v>
      </c>
      <c r="X24" s="178">
        <f t="shared" si="6"/>
        <v>747506.99627676606</v>
      </c>
      <c r="Y24" s="179">
        <f t="shared" si="7"/>
        <v>154.22054802491564</v>
      </c>
      <c r="Z24" s="74"/>
      <c r="AA24" s="84">
        <f t="shared" si="8"/>
        <v>348498.87176929973</v>
      </c>
      <c r="AB24" s="132">
        <f t="shared" si="9"/>
        <v>71.899911650360991</v>
      </c>
      <c r="AD24" s="180">
        <v>-328307.65188257984</v>
      </c>
      <c r="AE24" s="187">
        <v>-261883.17588047544</v>
      </c>
      <c r="AF24" s="187">
        <v>-194454.94303121508</v>
      </c>
      <c r="AG24" s="187">
        <v>-127519.03142546579</v>
      </c>
      <c r="AH24" s="188">
        <v>-59545.668738409222</v>
      </c>
      <c r="AJ24" s="74">
        <f t="shared" si="10"/>
        <v>11067641.788649321</v>
      </c>
      <c r="AK24" s="74">
        <f t="shared" si="11"/>
        <v>458363.87929999991</v>
      </c>
      <c r="AL24" s="74">
        <f t="shared" si="12"/>
        <v>2465517.907052014</v>
      </c>
      <c r="AM24" s="74">
        <f t="shared" si="19"/>
        <v>16677115.768127916</v>
      </c>
      <c r="AN24" s="74">
        <f t="shared" si="13"/>
        <v>-328307.65188257984</v>
      </c>
      <c r="AO24" s="74">
        <f t="shared" si="14"/>
        <v>-261883.17588047544</v>
      </c>
      <c r="AP24" s="74">
        <f t="shared" si="15"/>
        <v>-194454.94303121508</v>
      </c>
      <c r="AQ24" s="74">
        <f t="shared" si="16"/>
        <v>-127519.03142546579</v>
      </c>
      <c r="AR24" s="74">
        <f t="shared" si="17"/>
        <v>-59545.668738409222</v>
      </c>
      <c r="AS24" s="75">
        <v>1512</v>
      </c>
      <c r="AT24" s="75"/>
      <c r="AU24" s="75"/>
      <c r="AV24" s="75">
        <v>38</v>
      </c>
      <c r="AW24" s="75">
        <v>2179.874838978259</v>
      </c>
      <c r="AX24" s="75">
        <v>-332.77838320859456</v>
      </c>
      <c r="AY24" s="75">
        <v>1932.9853759469067</v>
      </c>
      <c r="AZ24" s="316"/>
      <c r="BA24" s="74"/>
      <c r="BB24" s="74"/>
      <c r="BC24" s="74"/>
      <c r="BD24" s="74" t="s">
        <v>678</v>
      </c>
      <c r="BE24" s="106"/>
      <c r="BF24" s="74"/>
      <c r="BG24" s="74"/>
      <c r="BH24" s="106">
        <v>-1.6962607085426857E-14</v>
      </c>
      <c r="BI24" s="325">
        <v>-2.8699599523050048</v>
      </c>
      <c r="BJ24" s="325">
        <v>-1.7812933233098263</v>
      </c>
      <c r="BK24" s="325">
        <v>-0.59105433130431184</v>
      </c>
      <c r="BL24" s="325">
        <v>0.38514482548203544</v>
      </c>
      <c r="BM24" s="316"/>
      <c r="BN24" s="74">
        <v>13265884.231872084</v>
      </c>
      <c r="BO24" s="74">
        <v>15180794.720000001</v>
      </c>
      <c r="BP24" s="74">
        <v>16705000</v>
      </c>
      <c r="BQ24" s="74">
        <v>461466.39999999997</v>
      </c>
      <c r="BR24" s="74">
        <v>475000</v>
      </c>
      <c r="BS24" s="406">
        <f t="shared" si="20"/>
        <v>0.57218504332642106</v>
      </c>
      <c r="BT24" s="406">
        <f t="shared" si="21"/>
        <v>0.33333333333333326</v>
      </c>
      <c r="BU24" s="74">
        <f t="shared" si="22"/>
        <v>3943303.6368993553</v>
      </c>
      <c r="BV24" s="316"/>
      <c r="BW24" s="74">
        <v>29943000</v>
      </c>
      <c r="BX24" s="74">
        <v>13265884.231872084</v>
      </c>
      <c r="BY24" s="74">
        <v>21948797.026056252</v>
      </c>
      <c r="BZ24" s="74">
        <v>10422791.358106934</v>
      </c>
      <c r="CA24" s="74">
        <f t="shared" si="23"/>
        <v>-455199.64609956864</v>
      </c>
      <c r="CB24" s="74">
        <f t="shared" si="24"/>
        <v>154.22054802491621</v>
      </c>
      <c r="CC24" s="74">
        <f t="shared" si="25"/>
        <v>226.12045967527587</v>
      </c>
      <c r="CD24" s="74">
        <f t="shared" si="26"/>
        <v>71.899911650359655</v>
      </c>
      <c r="CE24" s="74">
        <f t="shared" si="27"/>
        <v>-54.029951698054653</v>
      </c>
      <c r="CF24" s="74">
        <f t="shared" si="28"/>
        <v>-40.11861832704983</v>
      </c>
      <c r="CG24" s="74">
        <f t="shared" si="29"/>
        <v>-26.308857319055342</v>
      </c>
      <c r="CH24" s="74">
        <f t="shared" si="30"/>
        <v>-12.28505647584169</v>
      </c>
      <c r="CI24" s="74">
        <f t="shared" si="31"/>
        <v>-261883.1758804709</v>
      </c>
      <c r="CJ24" s="74">
        <f t="shared" si="32"/>
        <v>-194454.94303121054</v>
      </c>
      <c r="CK24" s="74">
        <f t="shared" si="33"/>
        <v>-127519.03142546125</v>
      </c>
      <c r="CL24" s="74">
        <f t="shared" si="34"/>
        <v>-59545.668738404675</v>
      </c>
      <c r="CM24" s="316"/>
      <c r="CN24" s="74">
        <v>19617.147448638698</v>
      </c>
      <c r="CO24" s="74">
        <v>1492.347514</v>
      </c>
    </row>
    <row r="25" spans="1:101" x14ac:dyDescent="0.2">
      <c r="A25" s="74">
        <v>19</v>
      </c>
      <c r="B25" s="74" t="s">
        <v>148</v>
      </c>
      <c r="C25" s="74">
        <v>2</v>
      </c>
      <c r="D25" s="74">
        <v>3955</v>
      </c>
      <c r="E25" s="89">
        <v>9257631.1951651331</v>
      </c>
      <c r="F25" s="74">
        <v>6426445.8503643814</v>
      </c>
      <c r="G25" s="74">
        <v>868373.35799999989</v>
      </c>
      <c r="H25" s="74">
        <v>491085.30119999999</v>
      </c>
      <c r="I25" s="74">
        <v>3420552.6420265287</v>
      </c>
      <c r="J25" s="74">
        <v>677928.97207726259</v>
      </c>
      <c r="K25" s="74">
        <v>-90275.155369053187</v>
      </c>
      <c r="L25" s="74">
        <v>-74210</v>
      </c>
      <c r="M25" s="75">
        <v>175000</v>
      </c>
      <c r="N25" s="75">
        <v>38293.604147777209</v>
      </c>
      <c r="O25" s="178">
        <f t="shared" si="4"/>
        <v>2675563.3772817645</v>
      </c>
      <c r="P25" s="179">
        <f t="shared" si="5"/>
        <v>676.50148603837283</v>
      </c>
      <c r="Q25" s="74"/>
      <c r="R25" s="89">
        <v>22477260</v>
      </c>
      <c r="S25" s="74">
        <v>14819728.928791365</v>
      </c>
      <c r="T25" s="74">
        <v>736627.95179999992</v>
      </c>
      <c r="U25" s="74">
        <v>5984784.8917118423</v>
      </c>
      <c r="V25" s="74">
        <v>2260984.7339009214</v>
      </c>
      <c r="W25" s="74">
        <v>969163.35799999989</v>
      </c>
      <c r="X25" s="178">
        <f t="shared" si="6"/>
        <v>2294029.8642041311</v>
      </c>
      <c r="Y25" s="179">
        <f t="shared" si="7"/>
        <v>580.03283544984356</v>
      </c>
      <c r="Z25" s="74"/>
      <c r="AA25" s="84">
        <f t="shared" si="8"/>
        <v>381533.51307763346</v>
      </c>
      <c r="AB25" s="132">
        <f t="shared" si="9"/>
        <v>96.468650588529314</v>
      </c>
      <c r="AD25" s="180">
        <v>-365058.11083873117</v>
      </c>
      <c r="AE25" s="187">
        <v>-310857.8214662692</v>
      </c>
      <c r="AF25" s="187">
        <v>-255838.49798394516</v>
      </c>
      <c r="AG25" s="187">
        <v>-201220.89319732695</v>
      </c>
      <c r="AH25" s="188">
        <v>-145756.76086241697</v>
      </c>
      <c r="AJ25" s="74">
        <f t="shared" si="10"/>
        <v>8393283.0784269832</v>
      </c>
      <c r="AK25" s="74">
        <f t="shared" si="11"/>
        <v>245542.65059999994</v>
      </c>
      <c r="AL25" s="74">
        <f t="shared" si="12"/>
        <v>2564232.2496853136</v>
      </c>
      <c r="AM25" s="74">
        <f t="shared" si="19"/>
        <v>13219628.804834867</v>
      </c>
      <c r="AN25" s="74">
        <f t="shared" si="13"/>
        <v>-365058.11083873117</v>
      </c>
      <c r="AO25" s="74">
        <f t="shared" si="14"/>
        <v>-310857.8214662692</v>
      </c>
      <c r="AP25" s="74">
        <f t="shared" si="15"/>
        <v>-255838.49798394516</v>
      </c>
      <c r="AQ25" s="74">
        <f t="shared" si="16"/>
        <v>-201220.89319732695</v>
      </c>
      <c r="AR25" s="74">
        <f t="shared" si="17"/>
        <v>-145756.76086241697</v>
      </c>
      <c r="AS25" s="75">
        <v>884</v>
      </c>
      <c r="AT25" s="75"/>
      <c r="AU25" s="75"/>
      <c r="AV25" s="75">
        <v>14</v>
      </c>
      <c r="AW25" s="75">
        <v>2242.5320392308181</v>
      </c>
      <c r="AX25" s="75">
        <v>-644.7661659385758</v>
      </c>
      <c r="AY25" s="75">
        <v>1583.0557618236589</v>
      </c>
      <c r="AZ25" s="316"/>
      <c r="BA25" s="74"/>
      <c r="BB25" s="74"/>
      <c r="BC25" s="74"/>
      <c r="BD25" s="74"/>
      <c r="BE25" s="74"/>
      <c r="BF25" s="74"/>
      <c r="BG25" s="74"/>
      <c r="BM25" s="316"/>
      <c r="BN25" s="74">
        <v>9257631.1951651331</v>
      </c>
      <c r="BO25" s="74">
        <v>12544570.08</v>
      </c>
      <c r="BP25" s="74">
        <v>13612000</v>
      </c>
      <c r="BQ25" s="74">
        <v>318414.58</v>
      </c>
      <c r="BR25" s="74">
        <v>326000</v>
      </c>
      <c r="BS25" s="406">
        <f t="shared" si="20"/>
        <v>0.56635874507264039</v>
      </c>
      <c r="BT25" s="406">
        <f t="shared" si="21"/>
        <v>0.33333333333333326</v>
      </c>
      <c r="BU25" s="74">
        <f t="shared" si="22"/>
        <v>4057012.8561399193</v>
      </c>
      <c r="BV25" s="316"/>
      <c r="BW25" s="74">
        <v>22477260</v>
      </c>
      <c r="BX25" s="74">
        <v>9257631.1951651331</v>
      </c>
      <c r="BY25" s="74">
        <v>16424730.238591364</v>
      </c>
      <c r="BZ25" s="74">
        <v>7785904.5095643811</v>
      </c>
      <c r="CA25" s="74">
        <f t="shared" si="23"/>
        <v>-90275.155369056447</v>
      </c>
      <c r="CB25" s="74">
        <f t="shared" si="24"/>
        <v>580.03283544984276</v>
      </c>
      <c r="CC25" s="74">
        <f t="shared" si="25"/>
        <v>676.50148603837192</v>
      </c>
      <c r="CD25" s="74">
        <f t="shared" si="26"/>
        <v>96.468650588529158</v>
      </c>
      <c r="CE25" s="74">
        <f t="shared" si="27"/>
        <v>-78.598690636224148</v>
      </c>
      <c r="CF25" s="74">
        <f t="shared" si="28"/>
        <v>-64.687357265219333</v>
      </c>
      <c r="CG25" s="74">
        <f t="shared" si="29"/>
        <v>-50.877596257224845</v>
      </c>
      <c r="CH25" s="74">
        <f t="shared" si="30"/>
        <v>-36.853795414011195</v>
      </c>
      <c r="CI25" s="74">
        <f t="shared" si="31"/>
        <v>-310857.82146626653</v>
      </c>
      <c r="CJ25" s="74">
        <f t="shared" si="32"/>
        <v>-255838.49798394245</v>
      </c>
      <c r="CK25" s="74">
        <f t="shared" si="33"/>
        <v>-201220.89319732427</v>
      </c>
      <c r="CL25" s="74">
        <f t="shared" si="34"/>
        <v>-145756.76086241429</v>
      </c>
      <c r="CM25" s="316"/>
      <c r="CN25" s="74">
        <v>14997.55768106938</v>
      </c>
      <c r="CO25" s="74">
        <v>799.44118800000001</v>
      </c>
    </row>
    <row r="26" spans="1:101" x14ac:dyDescent="0.2">
      <c r="A26" s="74">
        <v>20</v>
      </c>
      <c r="B26" s="74" t="s">
        <v>126</v>
      </c>
      <c r="C26" s="74">
        <v>6</v>
      </c>
      <c r="D26" s="74">
        <v>16467</v>
      </c>
      <c r="E26" s="89">
        <v>41137019.981694326</v>
      </c>
      <c r="F26" s="74">
        <v>27363452.160325166</v>
      </c>
      <c r="G26" s="74">
        <v>3745636.5665000002</v>
      </c>
      <c r="H26" s="74">
        <v>1452074.5249999999</v>
      </c>
      <c r="I26" s="74">
        <v>11353560.760628026</v>
      </c>
      <c r="J26" s="74">
        <v>2769296.1857285686</v>
      </c>
      <c r="K26" s="74">
        <v>-1559634.2949535965</v>
      </c>
      <c r="L26" s="74">
        <v>-2659976</v>
      </c>
      <c r="M26" s="75">
        <v>-1870</v>
      </c>
      <c r="N26" s="75">
        <v>155701.23338471007</v>
      </c>
      <c r="O26" s="178">
        <f t="shared" si="4"/>
        <v>1481221.1549185514</v>
      </c>
      <c r="P26" s="179">
        <f t="shared" si="5"/>
        <v>89.950880847668145</v>
      </c>
      <c r="Q26" s="74"/>
      <c r="R26" s="89">
        <v>103959700</v>
      </c>
      <c r="S26" s="74">
        <v>61762753.73546353</v>
      </c>
      <c r="T26" s="74">
        <v>2178111.7875000001</v>
      </c>
      <c r="U26" s="74">
        <v>29404426.721806802</v>
      </c>
      <c r="V26" s="74">
        <v>9235977.0086190514</v>
      </c>
      <c r="W26" s="74">
        <v>1083790.5665000002</v>
      </c>
      <c r="X26" s="178">
        <f t="shared" si="6"/>
        <v>-294640.18011060357</v>
      </c>
      <c r="Y26" s="179">
        <f t="shared" si="7"/>
        <v>-17.892766145053962</v>
      </c>
      <c r="Z26" s="74"/>
      <c r="AA26" s="84">
        <f t="shared" si="8"/>
        <v>1775861.335029155</v>
      </c>
      <c r="AB26" s="132">
        <f t="shared" si="9"/>
        <v>107.84364699272211</v>
      </c>
      <c r="AD26" s="180">
        <v>-1707264.5085644319</v>
      </c>
      <c r="AE26" s="187">
        <v>-1481596.7044945632</v>
      </c>
      <c r="AF26" s="187">
        <v>-1252518.7778742269</v>
      </c>
      <c r="AG26" s="187">
        <v>-1025113.4433555816</v>
      </c>
      <c r="AH26" s="188">
        <v>-794183.5148703825</v>
      </c>
      <c r="AJ26" s="74">
        <f t="shared" si="10"/>
        <v>34399301.57513836</v>
      </c>
      <c r="AK26" s="74">
        <f t="shared" si="11"/>
        <v>726037.26250000019</v>
      </c>
      <c r="AL26" s="74">
        <f t="shared" si="12"/>
        <v>18050865.961178776</v>
      </c>
      <c r="AM26" s="74">
        <f t="shared" si="19"/>
        <v>62822680.018305674</v>
      </c>
      <c r="AN26" s="74">
        <f t="shared" si="13"/>
        <v>-1707264.5085644319</v>
      </c>
      <c r="AO26" s="74">
        <f t="shared" si="14"/>
        <v>-1481596.7044945632</v>
      </c>
      <c r="AP26" s="74">
        <f t="shared" si="15"/>
        <v>-1252518.7778742269</v>
      </c>
      <c r="AQ26" s="74">
        <f t="shared" si="16"/>
        <v>-1025113.4433555816</v>
      </c>
      <c r="AR26" s="74">
        <f t="shared" si="17"/>
        <v>-794183.5148703825</v>
      </c>
      <c r="AS26" s="75">
        <v>4347</v>
      </c>
      <c r="AT26" s="75"/>
      <c r="AU26" s="75"/>
      <c r="AV26" s="75">
        <v>18</v>
      </c>
      <c r="AW26" s="75">
        <v>15353.013852143971</v>
      </c>
      <c r="AX26" s="75">
        <v>-3441.101466075128</v>
      </c>
      <c r="AY26" s="75">
        <v>6466.6808228904829</v>
      </c>
      <c r="AZ26" s="316"/>
      <c r="BA26" s="74"/>
      <c r="BB26" s="74"/>
      <c r="BC26" s="74"/>
      <c r="BD26" s="74"/>
      <c r="BE26" s="74"/>
      <c r="BF26" s="74"/>
      <c r="BG26" s="74"/>
      <c r="BH26" s="356"/>
      <c r="BI26" s="356"/>
      <c r="BJ26" s="356"/>
      <c r="BK26" s="356"/>
      <c r="BL26" s="356"/>
      <c r="BM26" s="316"/>
      <c r="BN26" s="74">
        <v>41137019.981694326</v>
      </c>
      <c r="BO26" s="74">
        <v>59090545.219999991</v>
      </c>
      <c r="BP26" s="74">
        <v>64565000</v>
      </c>
      <c r="BQ26" s="74">
        <v>1305298.58</v>
      </c>
      <c r="BR26" s="74">
        <v>1308000</v>
      </c>
      <c r="BS26" s="406">
        <f t="shared" si="20"/>
        <v>0.55695867646177577</v>
      </c>
      <c r="BT26" s="406">
        <f t="shared" si="21"/>
        <v>0.33333333333333337</v>
      </c>
      <c r="BU26" s="74">
        <f t="shared" si="22"/>
        <v>22957912.489115659</v>
      </c>
      <c r="BV26" s="316"/>
      <c r="BW26" s="74">
        <v>103959700</v>
      </c>
      <c r="BX26" s="74">
        <v>41137019.981694326</v>
      </c>
      <c r="BY26" s="74">
        <v>67686502.089463532</v>
      </c>
      <c r="BZ26" s="74">
        <v>32561163.251825165</v>
      </c>
      <c r="CA26" s="74">
        <f t="shared" si="23"/>
        <v>-1559634.2949536033</v>
      </c>
      <c r="CB26" s="74">
        <f t="shared" si="24"/>
        <v>-17.892766145054669</v>
      </c>
      <c r="CC26" s="74">
        <f t="shared" si="25"/>
        <v>89.950880847667605</v>
      </c>
      <c r="CD26" s="74">
        <f t="shared" si="26"/>
        <v>107.84364699272227</v>
      </c>
      <c r="CE26" s="74">
        <f t="shared" si="27"/>
        <v>-89.973687040417261</v>
      </c>
      <c r="CF26" s="74">
        <f t="shared" si="28"/>
        <v>-76.062353669412445</v>
      </c>
      <c r="CG26" s="74">
        <f t="shared" si="29"/>
        <v>-62.252592661417957</v>
      </c>
      <c r="CH26" s="74">
        <f t="shared" si="30"/>
        <v>-48.228791818204307</v>
      </c>
      <c r="CI26" s="74">
        <f t="shared" si="31"/>
        <v>-1481596.7044945511</v>
      </c>
      <c r="CJ26" s="74">
        <f t="shared" si="32"/>
        <v>-1252518.7778742148</v>
      </c>
      <c r="CK26" s="74">
        <f t="shared" si="33"/>
        <v>-1025113.4433555695</v>
      </c>
      <c r="CL26" s="74">
        <f t="shared" si="34"/>
        <v>-794183.51487037027</v>
      </c>
      <c r="CM26" s="316"/>
      <c r="CN26" s="74">
        <v>63536.200550533082</v>
      </c>
      <c r="CO26" s="74">
        <v>2363.8422499999997</v>
      </c>
    </row>
    <row r="27" spans="1:101" x14ac:dyDescent="0.2">
      <c r="A27" s="74">
        <v>46</v>
      </c>
      <c r="B27" s="74" t="s">
        <v>149</v>
      </c>
      <c r="C27" s="74">
        <v>10</v>
      </c>
      <c r="D27" s="74">
        <v>1362</v>
      </c>
      <c r="E27" s="89">
        <v>4234677.6560602374</v>
      </c>
      <c r="F27" s="74">
        <v>1533796.8057536825</v>
      </c>
      <c r="G27" s="74">
        <v>561966.83299999998</v>
      </c>
      <c r="H27" s="74">
        <v>459194.5232</v>
      </c>
      <c r="I27" s="74">
        <v>1083852.992540132</v>
      </c>
      <c r="J27" s="74">
        <v>301268.86995873181</v>
      </c>
      <c r="K27" s="74">
        <v>423169.38777901919</v>
      </c>
      <c r="L27" s="74">
        <v>-336729</v>
      </c>
      <c r="M27" s="75">
        <v>122010</v>
      </c>
      <c r="N27" s="75">
        <v>10275.162581856683</v>
      </c>
      <c r="O27" s="178">
        <f t="shared" si="4"/>
        <v>-75872.081246815622</v>
      </c>
      <c r="P27" s="179">
        <f t="shared" si="5"/>
        <v>-55.706373896340395</v>
      </c>
      <c r="Q27" s="74"/>
      <c r="R27" s="89">
        <v>10780038</v>
      </c>
      <c r="S27" s="74">
        <v>3622219.5074751889</v>
      </c>
      <c r="T27" s="74">
        <v>688791.78480000002</v>
      </c>
      <c r="U27" s="74">
        <v>5376806.5017952109</v>
      </c>
      <c r="V27" s="74">
        <v>1004772.393321823</v>
      </c>
      <c r="W27" s="74">
        <v>347247.83299999998</v>
      </c>
      <c r="X27" s="178">
        <f t="shared" si="6"/>
        <v>259800.02039222419</v>
      </c>
      <c r="Y27" s="179">
        <f t="shared" si="7"/>
        <v>190.74891365067856</v>
      </c>
      <c r="Z27" s="74"/>
      <c r="AA27" s="84">
        <f t="shared" si="8"/>
        <v>-335672.10163903981</v>
      </c>
      <c r="AB27" s="132">
        <f t="shared" si="9"/>
        <v>-246.45528754701894</v>
      </c>
      <c r="AD27" s="180">
        <v>341345.80526720313</v>
      </c>
      <c r="AE27" s="187">
        <v>319150.98709407874</v>
      </c>
      <c r="AF27" s="187">
        <v>297238.22314538731</v>
      </c>
      <c r="AG27" s="187">
        <v>275187.11763827584</v>
      </c>
      <c r="AH27" s="188">
        <v>253427.53438673282</v>
      </c>
      <c r="AJ27" s="74">
        <f t="shared" si="10"/>
        <v>2088422.7017215064</v>
      </c>
      <c r="AK27" s="74">
        <f t="shared" si="11"/>
        <v>229597.26160000003</v>
      </c>
      <c r="AL27" s="74">
        <f t="shared" si="12"/>
        <v>4292953.5092550786</v>
      </c>
      <c r="AM27" s="74">
        <f t="shared" si="19"/>
        <v>6545360.3439397626</v>
      </c>
      <c r="AN27" s="74">
        <f t="shared" si="13"/>
        <v>341345.80526720313</v>
      </c>
      <c r="AO27" s="74">
        <f t="shared" si="14"/>
        <v>319150.98709407874</v>
      </c>
      <c r="AP27" s="74">
        <f t="shared" si="15"/>
        <v>297238.22314538731</v>
      </c>
      <c r="AQ27" s="74">
        <f t="shared" si="16"/>
        <v>275187.11763827584</v>
      </c>
      <c r="AR27" s="74">
        <f t="shared" si="17"/>
        <v>253427.53438673282</v>
      </c>
      <c r="AS27" s="75">
        <v>568</v>
      </c>
      <c r="AT27" s="75"/>
      <c r="AU27" s="75"/>
      <c r="AV27" s="75">
        <v>0</v>
      </c>
      <c r="AW27" s="75">
        <v>3568.8254146533495</v>
      </c>
      <c r="AX27" s="75">
        <v>-671.15982273345287</v>
      </c>
      <c r="AY27" s="75">
        <v>703.50352336309118</v>
      </c>
      <c r="AZ27" s="316"/>
      <c r="BA27" s="74"/>
      <c r="BB27" s="74"/>
      <c r="BC27" s="74"/>
      <c r="BD27" s="74"/>
      <c r="BE27" s="74"/>
      <c r="BF27" s="74"/>
      <c r="BG27" s="74"/>
      <c r="BI27" s="355"/>
      <c r="BJ27" s="355"/>
      <c r="BK27" s="355"/>
      <c r="BL27" s="355"/>
      <c r="BM27" s="316"/>
      <c r="BN27" s="74">
        <v>4234677.6560602374</v>
      </c>
      <c r="BO27" s="74">
        <v>5984633.4899999984</v>
      </c>
      <c r="BP27" s="74">
        <v>6580000</v>
      </c>
      <c r="BQ27" s="74">
        <v>136428.15</v>
      </c>
      <c r="BR27" s="74">
        <v>156000</v>
      </c>
      <c r="BS27" s="406">
        <f t="shared" si="20"/>
        <v>0.57655884669927371</v>
      </c>
      <c r="BT27" s="406">
        <f t="shared" si="21"/>
        <v>0.33333333333333337</v>
      </c>
      <c r="BU27" s="74">
        <f t="shared" si="22"/>
        <v>5419626.4203971894</v>
      </c>
      <c r="BV27" s="316"/>
      <c r="BW27" s="74">
        <v>10780038</v>
      </c>
      <c r="BX27" s="74">
        <v>4234677.6560602374</v>
      </c>
      <c r="BY27" s="74">
        <v>4872978.1252751881</v>
      </c>
      <c r="BZ27" s="74">
        <v>2554958.1619536825</v>
      </c>
      <c r="CA27" s="74">
        <f t="shared" si="23"/>
        <v>423169.38777901873</v>
      </c>
      <c r="CB27" s="74">
        <f t="shared" si="24"/>
        <v>190.7489136506772</v>
      </c>
      <c r="CC27" s="74">
        <f t="shared" si="25"/>
        <v>-55.706373896340246</v>
      </c>
      <c r="CD27" s="74">
        <f t="shared" si="26"/>
        <v>-246.45528754701743</v>
      </c>
      <c r="CE27" s="74">
        <f t="shared" si="27"/>
        <v>234.32524749932244</v>
      </c>
      <c r="CF27" s="74">
        <f t="shared" si="28"/>
        <v>218.23658087032726</v>
      </c>
      <c r="CG27" s="74">
        <f t="shared" si="29"/>
        <v>202.04634187832175</v>
      </c>
      <c r="CH27" s="74">
        <f t="shared" si="30"/>
        <v>186.0701427215354</v>
      </c>
      <c r="CI27" s="74">
        <f t="shared" si="31"/>
        <v>319150.98709407717</v>
      </c>
      <c r="CJ27" s="74">
        <f t="shared" si="32"/>
        <v>297238.22314538574</v>
      </c>
      <c r="CK27" s="74">
        <f t="shared" si="33"/>
        <v>275187.11763827421</v>
      </c>
      <c r="CL27" s="74">
        <f t="shared" si="34"/>
        <v>253427.53438673122</v>
      </c>
      <c r="CM27" s="316"/>
      <c r="CN27" s="74">
        <v>3698.378463558603</v>
      </c>
      <c r="CO27" s="74">
        <v>747.52596800000003</v>
      </c>
    </row>
    <row r="28" spans="1:101" x14ac:dyDescent="0.2">
      <c r="A28" s="74">
        <v>47</v>
      </c>
      <c r="B28" s="74" t="s">
        <v>150</v>
      </c>
      <c r="C28" s="74">
        <v>19</v>
      </c>
      <c r="D28" s="74">
        <v>1789</v>
      </c>
      <c r="E28" s="89">
        <v>7579563.3612110261</v>
      </c>
      <c r="F28" s="74">
        <v>2330290.0387183591</v>
      </c>
      <c r="G28" s="74">
        <v>888444.00479999988</v>
      </c>
      <c r="H28" s="74">
        <v>500769.36559999996</v>
      </c>
      <c r="I28" s="74">
        <v>2763863.7464286303</v>
      </c>
      <c r="J28" s="74">
        <v>386566.9411265715</v>
      </c>
      <c r="K28" s="74">
        <v>-40129.627860742439</v>
      </c>
      <c r="L28" s="74">
        <v>-36544</v>
      </c>
      <c r="M28" s="75">
        <v>565737</v>
      </c>
      <c r="N28" s="75">
        <v>14835.99025397518</v>
      </c>
      <c r="O28" s="178">
        <f t="shared" si="4"/>
        <v>-205729.90214423276</v>
      </c>
      <c r="P28" s="179">
        <f t="shared" si="5"/>
        <v>-114.99715044395347</v>
      </c>
      <c r="Q28" s="74"/>
      <c r="R28" s="89">
        <v>17086763.119999997</v>
      </c>
      <c r="S28" s="74">
        <v>5426822.8679664861</v>
      </c>
      <c r="T28" s="74">
        <v>751154.04839999997</v>
      </c>
      <c r="U28" s="74">
        <v>8657694.1818423644</v>
      </c>
      <c r="V28" s="74">
        <v>1289252.987432942</v>
      </c>
      <c r="W28" s="74">
        <v>1417637.0047999998</v>
      </c>
      <c r="X28" s="178">
        <f t="shared" si="6"/>
        <v>455797.97044179589</v>
      </c>
      <c r="Y28" s="179">
        <f t="shared" si="7"/>
        <v>254.77807179530234</v>
      </c>
      <c r="Z28" s="74"/>
      <c r="AA28" s="84">
        <f t="shared" si="8"/>
        <v>-661527.87258602865</v>
      </c>
      <c r="AB28" s="132">
        <f t="shared" si="9"/>
        <v>-369.77522223925581</v>
      </c>
      <c r="AD28" s="180">
        <v>668980.33645591396</v>
      </c>
      <c r="AE28" s="187">
        <v>639827.23094070144</v>
      </c>
      <c r="AF28" s="187">
        <v>611044.60634142905</v>
      </c>
      <c r="AG28" s="187">
        <v>582080.26878473116</v>
      </c>
      <c r="AH28" s="188">
        <v>553498.84849324042</v>
      </c>
      <c r="AJ28" s="74">
        <f t="shared" si="10"/>
        <v>3096532.8292481271</v>
      </c>
      <c r="AK28" s="74">
        <f t="shared" si="11"/>
        <v>250384.68280000001</v>
      </c>
      <c r="AL28" s="74">
        <f t="shared" si="12"/>
        <v>5893830.4354137341</v>
      </c>
      <c r="AM28" s="74">
        <f t="shared" si="19"/>
        <v>9507199.7587889712</v>
      </c>
      <c r="AN28" s="74">
        <f t="shared" si="13"/>
        <v>668980.33645591396</v>
      </c>
      <c r="AO28" s="74">
        <f t="shared" si="14"/>
        <v>639827.23094070144</v>
      </c>
      <c r="AP28" s="74">
        <f t="shared" si="15"/>
        <v>611044.60634142905</v>
      </c>
      <c r="AQ28" s="74">
        <f t="shared" si="16"/>
        <v>582080.26878473116</v>
      </c>
      <c r="AR28" s="74">
        <f t="shared" si="17"/>
        <v>553498.84849324042</v>
      </c>
      <c r="AS28" s="75">
        <v>468</v>
      </c>
      <c r="AT28" s="75"/>
      <c r="AU28" s="75"/>
      <c r="AV28" s="75">
        <v>44</v>
      </c>
      <c r="AW28" s="75">
        <v>4376.1357173875649</v>
      </c>
      <c r="AX28" s="75">
        <v>-830.18991901177378</v>
      </c>
      <c r="AY28" s="75">
        <v>902.6860463063706</v>
      </c>
      <c r="AZ28" s="316"/>
      <c r="BA28" s="74"/>
      <c r="BB28" s="74"/>
      <c r="BC28" s="74"/>
      <c r="BD28" s="74"/>
      <c r="BE28" s="74"/>
      <c r="BF28" s="74"/>
      <c r="BG28" s="74"/>
      <c r="BM28" s="316"/>
      <c r="BN28" s="74">
        <v>7579563.3612110261</v>
      </c>
      <c r="BO28" s="74">
        <v>8903430.0800000001</v>
      </c>
      <c r="BP28" s="74">
        <v>9572000</v>
      </c>
      <c r="BQ28" s="74">
        <v>333251.82</v>
      </c>
      <c r="BR28" s="74">
        <v>372000</v>
      </c>
      <c r="BS28" s="406">
        <f t="shared" si="20"/>
        <v>0.57059773362539201</v>
      </c>
      <c r="BT28" s="406">
        <f t="shared" si="21"/>
        <v>0.33333333333333337</v>
      </c>
      <c r="BU28" s="74">
        <f t="shared" si="22"/>
        <v>6756386.8538593622</v>
      </c>
      <c r="BV28" s="316"/>
      <c r="BW28" s="74">
        <v>17086763.119999997</v>
      </c>
      <c r="BX28" s="74">
        <v>7579563.3612110261</v>
      </c>
      <c r="BY28" s="74">
        <v>7066420.9211664861</v>
      </c>
      <c r="BZ28" s="74">
        <v>3719503.409118359</v>
      </c>
      <c r="CA28" s="74">
        <f t="shared" si="23"/>
        <v>-40129.627860742781</v>
      </c>
      <c r="CB28" s="74">
        <f t="shared" si="24"/>
        <v>254.77807179530168</v>
      </c>
      <c r="CC28" s="74">
        <f t="shared" si="25"/>
        <v>-114.997150443953</v>
      </c>
      <c r="CD28" s="74">
        <f t="shared" si="26"/>
        <v>-369.77522223925467</v>
      </c>
      <c r="CE28" s="74">
        <f t="shared" si="27"/>
        <v>357.64518219155968</v>
      </c>
      <c r="CF28" s="74">
        <f t="shared" si="28"/>
        <v>341.55651556256453</v>
      </c>
      <c r="CG28" s="74">
        <f t="shared" si="29"/>
        <v>325.36627657055897</v>
      </c>
      <c r="CH28" s="74">
        <f t="shared" si="30"/>
        <v>309.39007741377264</v>
      </c>
      <c r="CI28" s="74">
        <f t="shared" si="31"/>
        <v>639827.23094070028</v>
      </c>
      <c r="CJ28" s="74">
        <f t="shared" si="32"/>
        <v>611044.60634142789</v>
      </c>
      <c r="CK28" s="74">
        <f t="shared" si="33"/>
        <v>582080.26878473</v>
      </c>
      <c r="CL28" s="74">
        <f t="shared" si="34"/>
        <v>553498.84849323926</v>
      </c>
      <c r="CM28" s="316"/>
      <c r="CN28" s="74">
        <v>5617.6091843443701</v>
      </c>
      <c r="CO28" s="74">
        <v>815.20594399999993</v>
      </c>
    </row>
    <row r="29" spans="1:101" x14ac:dyDescent="0.2">
      <c r="A29" s="74">
        <v>49</v>
      </c>
      <c r="B29" s="74" t="s">
        <v>151</v>
      </c>
      <c r="C29" s="74">
        <v>33</v>
      </c>
      <c r="D29" s="74">
        <v>297132</v>
      </c>
      <c r="E29" s="89">
        <v>997168948.67332685</v>
      </c>
      <c r="F29" s="74">
        <v>429934882.04677296</v>
      </c>
      <c r="G29" s="74">
        <v>141945469.14330003</v>
      </c>
      <c r="H29" s="74">
        <v>121960299.0406</v>
      </c>
      <c r="I29" s="74">
        <v>201128757.86385483</v>
      </c>
      <c r="J29" s="74">
        <v>29212414.683880985</v>
      </c>
      <c r="K29" s="74">
        <v>85654835.328998104</v>
      </c>
      <c r="L29" s="74">
        <v>-77253</v>
      </c>
      <c r="M29" s="75">
        <v>21455850</v>
      </c>
      <c r="N29" s="75">
        <v>4697004.007614797</v>
      </c>
      <c r="O29" s="178">
        <f t="shared" si="4"/>
        <v>38743310.441694856</v>
      </c>
      <c r="P29" s="179">
        <f t="shared" si="5"/>
        <v>130.39090519262433</v>
      </c>
      <c r="Q29" s="74"/>
      <c r="R29" s="89">
        <v>1871879259.46</v>
      </c>
      <c r="S29" s="74">
        <v>1428572910.8974128</v>
      </c>
      <c r="T29" s="74">
        <v>182940448.5609</v>
      </c>
      <c r="U29" s="74">
        <v>67781680.961724758</v>
      </c>
      <c r="V29" s="74">
        <v>97427350.594348863</v>
      </c>
      <c r="W29" s="74">
        <v>163324066.14330003</v>
      </c>
      <c r="X29" s="178">
        <f t="shared" si="6"/>
        <v>68167197.697686434</v>
      </c>
      <c r="Y29" s="179">
        <f t="shared" si="7"/>
        <v>229.41722095797974</v>
      </c>
      <c r="Z29" s="74"/>
      <c r="AA29" s="84">
        <f t="shared" si="8"/>
        <v>-29423887.255991578</v>
      </c>
      <c r="AB29" s="132">
        <f t="shared" si="9"/>
        <v>-99.026315765355392</v>
      </c>
      <c r="AD29" s="180">
        <v>30661654.441339031</v>
      </c>
      <c r="AE29" s="187">
        <v>25819664.196539629</v>
      </c>
      <c r="AF29" s="187">
        <v>21039206.503733031</v>
      </c>
      <c r="AG29" s="187">
        <v>16228568.411560452</v>
      </c>
      <c r="AH29" s="188">
        <v>11481528.40370621</v>
      </c>
      <c r="AJ29" s="74">
        <f t="shared" si="10"/>
        <v>998638028.85063982</v>
      </c>
      <c r="AK29" s="74">
        <f t="shared" si="11"/>
        <v>60980149.520300001</v>
      </c>
      <c r="AL29" s="74">
        <f t="shared" si="12"/>
        <v>-133347076.90213007</v>
      </c>
      <c r="AM29" s="74">
        <f t="shared" si="19"/>
        <v>874710310.78667319</v>
      </c>
      <c r="AN29" s="74">
        <f t="shared" si="13"/>
        <v>30661654.441339031</v>
      </c>
      <c r="AO29" s="74">
        <f t="shared" si="14"/>
        <v>25819664.196539629</v>
      </c>
      <c r="AP29" s="74">
        <f t="shared" si="15"/>
        <v>21039206.503733031</v>
      </c>
      <c r="AQ29" s="74">
        <f t="shared" si="16"/>
        <v>16228568.411560452</v>
      </c>
      <c r="AR29" s="74">
        <f t="shared" si="17"/>
        <v>11481528.40370621</v>
      </c>
      <c r="AS29" s="75">
        <v>190164</v>
      </c>
      <c r="AT29" s="75"/>
      <c r="AU29" s="75"/>
      <c r="AV29" s="75">
        <v>1942</v>
      </c>
      <c r="AW29" s="75">
        <v>26845.763669881613</v>
      </c>
      <c r="AX29" s="75">
        <v>132384.59336412215</v>
      </c>
      <c r="AY29" s="75">
        <v>68214.935910467873</v>
      </c>
      <c r="AZ29" s="316"/>
      <c r="BA29" s="74"/>
      <c r="BB29" s="74"/>
      <c r="BC29" s="74"/>
      <c r="BD29" s="74"/>
      <c r="BE29" s="74"/>
      <c r="BF29" s="74"/>
      <c r="BG29" s="74"/>
      <c r="BM29" s="316"/>
      <c r="BN29" s="74">
        <v>997168948.67332685</v>
      </c>
      <c r="BO29" s="74">
        <v>811132334.48000002</v>
      </c>
      <c r="BP29" s="74">
        <v>867107000</v>
      </c>
      <c r="BQ29" s="74">
        <v>21524130.320000004</v>
      </c>
      <c r="BR29" s="74">
        <v>21698000</v>
      </c>
      <c r="BS29" s="406">
        <f t="shared" si="20"/>
        <v>0.69904589484572199</v>
      </c>
      <c r="BT29" s="406">
        <f t="shared" si="21"/>
        <v>0.33333333333333337</v>
      </c>
      <c r="BU29" s="74">
        <f t="shared" si="22"/>
        <v>20522694.337335899</v>
      </c>
      <c r="BV29" s="316"/>
      <c r="BW29" s="74">
        <v>1871879259.46</v>
      </c>
      <c r="BX29" s="74">
        <v>997168948.67332685</v>
      </c>
      <c r="BY29" s="74">
        <v>1753458828.6016128</v>
      </c>
      <c r="BZ29" s="74">
        <v>693840650.23067307</v>
      </c>
      <c r="CA29" s="74">
        <f t="shared" si="23"/>
        <v>85654835.328997985</v>
      </c>
      <c r="CB29" s="74">
        <f t="shared" si="24"/>
        <v>229.41722095797959</v>
      </c>
      <c r="CC29" s="74">
        <f t="shared" si="25"/>
        <v>130.39090519262402</v>
      </c>
      <c r="CD29" s="74">
        <f t="shared" si="26"/>
        <v>-99.026315765355577</v>
      </c>
      <c r="CE29" s="74">
        <f t="shared" si="27"/>
        <v>86.896275717660586</v>
      </c>
      <c r="CF29" s="74">
        <f t="shared" si="28"/>
        <v>70.807609088665401</v>
      </c>
      <c r="CG29" s="74">
        <f t="shared" si="29"/>
        <v>54.61737009665989</v>
      </c>
      <c r="CH29" s="74">
        <f t="shared" si="30"/>
        <v>38.64117093987354</v>
      </c>
      <c r="CI29" s="74">
        <f t="shared" si="31"/>
        <v>25819664.196539924</v>
      </c>
      <c r="CJ29" s="74">
        <f t="shared" si="32"/>
        <v>21039206.503733329</v>
      </c>
      <c r="CK29" s="74">
        <f t="shared" si="33"/>
        <v>16228568.411560746</v>
      </c>
      <c r="CL29" s="74">
        <f t="shared" si="34"/>
        <v>11481528.403706504</v>
      </c>
      <c r="CM29" s="316"/>
      <c r="CN29" s="74">
        <v>1503942.1853536807</v>
      </c>
      <c r="CO29" s="74">
        <v>198540.02169400002</v>
      </c>
      <c r="CW29" s="102"/>
    </row>
    <row r="30" spans="1:101" x14ac:dyDescent="0.2">
      <c r="A30" s="74">
        <v>50</v>
      </c>
      <c r="B30" s="74" t="s">
        <v>152</v>
      </c>
      <c r="C30" s="74">
        <v>4</v>
      </c>
      <c r="D30" s="74">
        <v>11417</v>
      </c>
      <c r="E30" s="89">
        <v>27821895.371319167</v>
      </c>
      <c r="F30" s="74">
        <v>17705905.043558773</v>
      </c>
      <c r="G30" s="74">
        <v>3264719.3390000002</v>
      </c>
      <c r="H30" s="74">
        <v>1971037.5002000001</v>
      </c>
      <c r="I30" s="74">
        <v>5640596.2427046876</v>
      </c>
      <c r="J30" s="74">
        <v>2057021.1877782783</v>
      </c>
      <c r="K30" s="74">
        <v>92375.646514763721</v>
      </c>
      <c r="L30" s="74">
        <v>-1324551</v>
      </c>
      <c r="M30" s="75">
        <v>61000</v>
      </c>
      <c r="N30" s="75">
        <v>115805.92961446565</v>
      </c>
      <c r="O30" s="178">
        <f t="shared" si="4"/>
        <v>1762014.5180518031</v>
      </c>
      <c r="P30" s="179">
        <f t="shared" si="5"/>
        <v>154.33253201820119</v>
      </c>
      <c r="Q30" s="74"/>
      <c r="R30" s="89">
        <v>74882222</v>
      </c>
      <c r="S30" s="74">
        <v>42845564.808038585</v>
      </c>
      <c r="T30" s="74">
        <v>2956556.2503000004</v>
      </c>
      <c r="U30" s="74">
        <v>21993229.815159716</v>
      </c>
      <c r="V30" s="74">
        <v>6860443.6370767346</v>
      </c>
      <c r="W30" s="74">
        <v>2001168.3390000002</v>
      </c>
      <c r="X30" s="178">
        <f t="shared" si="6"/>
        <v>1774740.8495750427</v>
      </c>
      <c r="Y30" s="179">
        <f t="shared" si="7"/>
        <v>155.44721464264191</v>
      </c>
      <c r="Z30" s="74"/>
      <c r="AA30" s="84">
        <f t="shared" si="8"/>
        <v>-12726.331523239613</v>
      </c>
      <c r="AB30" s="132">
        <f t="shared" si="9"/>
        <v>-1.1146826244407124</v>
      </c>
      <c r="AD30" s="180">
        <v>60286.297986327452</v>
      </c>
      <c r="AE30" s="187">
        <v>32766.332775466239</v>
      </c>
      <c r="AF30" s="187">
        <v>20337.025872228285</v>
      </c>
      <c r="AG30" s="187">
        <v>6748.0673005013286</v>
      </c>
      <c r="AH30" s="188">
        <v>-4397.1984725283983</v>
      </c>
      <c r="AJ30" s="74">
        <f t="shared" si="10"/>
        <v>25139659.764479812</v>
      </c>
      <c r="AK30" s="74">
        <f t="shared" si="11"/>
        <v>985518.7501000003</v>
      </c>
      <c r="AL30" s="74">
        <f t="shared" si="12"/>
        <v>16352633.572455028</v>
      </c>
      <c r="AM30" s="74">
        <f t="shared" si="19"/>
        <v>47060326.628680833</v>
      </c>
      <c r="AN30" s="74">
        <f t="shared" si="13"/>
        <v>60286.297986327452</v>
      </c>
      <c r="AO30" s="74">
        <f t="shared" si="14"/>
        <v>32766.332775466239</v>
      </c>
      <c r="AP30" s="74">
        <f t="shared" si="15"/>
        <v>20337.025872228285</v>
      </c>
      <c r="AQ30" s="74">
        <f t="shared" si="16"/>
        <v>6748.0673005013286</v>
      </c>
      <c r="AR30" s="74">
        <f t="shared" si="17"/>
        <v>-4397.1984725283983</v>
      </c>
      <c r="AS30" s="75">
        <v>3798</v>
      </c>
      <c r="AT30" s="75"/>
      <c r="AU30" s="75"/>
      <c r="AV30" s="75">
        <v>9</v>
      </c>
      <c r="AW30" s="75">
        <v>14978.354956905414</v>
      </c>
      <c r="AX30" s="75">
        <v>-1428.0893212359774</v>
      </c>
      <c r="AY30" s="75">
        <v>4803.4224492984567</v>
      </c>
      <c r="AZ30" s="316"/>
      <c r="BA30" s="74"/>
      <c r="BB30" s="74"/>
      <c r="BC30" s="74"/>
      <c r="BD30" s="74"/>
      <c r="BE30" s="74"/>
      <c r="BF30" s="74"/>
      <c r="BG30" s="74"/>
      <c r="BM30" s="316"/>
      <c r="BN30" s="74">
        <v>27821895.371319167</v>
      </c>
      <c r="BO30" s="74">
        <v>43836768.089999981</v>
      </c>
      <c r="BP30" s="74">
        <v>46816000</v>
      </c>
      <c r="BQ30" s="74">
        <v>1335255.3500000001</v>
      </c>
      <c r="BR30" s="74">
        <v>1398000</v>
      </c>
      <c r="BS30" s="406">
        <f t="shared" si="20"/>
        <v>0.58675057446700218</v>
      </c>
      <c r="BT30" s="406">
        <f t="shared" si="21"/>
        <v>0.33333333333333337</v>
      </c>
      <c r="BU30" s="74">
        <f t="shared" si="22"/>
        <v>21248431.668268248</v>
      </c>
      <c r="BV30" s="316"/>
      <c r="BW30" s="74">
        <v>74882222</v>
      </c>
      <c r="BX30" s="74">
        <v>27821895.371319167</v>
      </c>
      <c r="BY30" s="74">
        <v>49066840.397338584</v>
      </c>
      <c r="BZ30" s="74">
        <v>22941661.882758774</v>
      </c>
      <c r="CA30" s="74">
        <f t="shared" si="23"/>
        <v>92375.646514755426</v>
      </c>
      <c r="CB30" s="74">
        <f t="shared" si="24"/>
        <v>155.44721464264137</v>
      </c>
      <c r="CC30" s="74">
        <f t="shared" si="25"/>
        <v>154.3325320182002</v>
      </c>
      <c r="CD30" s="74">
        <f t="shared" si="26"/>
        <v>-1.1146826244411727</v>
      </c>
      <c r="CE30" s="74">
        <f t="shared" si="27"/>
        <v>2.8699599523050048</v>
      </c>
      <c r="CF30" s="74">
        <f t="shared" si="28"/>
        <v>1.7812933233098263</v>
      </c>
      <c r="CG30" s="74">
        <f t="shared" si="29"/>
        <v>0.59105433130431184</v>
      </c>
      <c r="CH30" s="74">
        <f t="shared" si="30"/>
        <v>-0.38514482548203544</v>
      </c>
      <c r="CI30" s="74">
        <f t="shared" si="31"/>
        <v>32766.332775466239</v>
      </c>
      <c r="CJ30" s="74">
        <f t="shared" si="32"/>
        <v>20337.025872228285</v>
      </c>
      <c r="CK30" s="74">
        <f t="shared" si="33"/>
        <v>6748.0673005013286</v>
      </c>
      <c r="CL30" s="74">
        <f t="shared" si="34"/>
        <v>-4397.1984725283983</v>
      </c>
      <c r="CM30" s="316"/>
      <c r="CN30" s="74">
        <v>42274.830818882583</v>
      </c>
      <c r="CO30" s="74">
        <v>3208.6656980000002</v>
      </c>
    </row>
    <row r="31" spans="1:101" x14ac:dyDescent="0.2">
      <c r="A31" s="74">
        <v>51</v>
      </c>
      <c r="B31" s="74" t="s">
        <v>153</v>
      </c>
      <c r="C31" s="74">
        <v>4</v>
      </c>
      <c r="D31" s="74">
        <v>9334</v>
      </c>
      <c r="E31" s="89">
        <v>30527100.644907445</v>
      </c>
      <c r="F31" s="74">
        <v>9760612.7167566195</v>
      </c>
      <c r="G31" s="74">
        <v>24711012.036000002</v>
      </c>
      <c r="H31" s="74">
        <v>1799143.4780000001</v>
      </c>
      <c r="I31" s="74">
        <v>3604325.8613204472</v>
      </c>
      <c r="J31" s="74">
        <v>1756208.4956111293</v>
      </c>
      <c r="K31" s="74">
        <v>-3965481.1848943904</v>
      </c>
      <c r="L31" s="74">
        <v>-914679</v>
      </c>
      <c r="M31" s="75">
        <v>236900</v>
      </c>
      <c r="N31" s="75">
        <v>99494.060366750127</v>
      </c>
      <c r="O31" s="178">
        <f t="shared" si="4"/>
        <v>6560435.8182531148</v>
      </c>
      <c r="P31" s="179">
        <f t="shared" si="5"/>
        <v>702.85363383898812</v>
      </c>
      <c r="Q31" s="74"/>
      <c r="R31" s="89">
        <v>71163291</v>
      </c>
      <c r="S31" s="74">
        <v>31306351.825613596</v>
      </c>
      <c r="T31" s="74">
        <v>2698715.2170000002</v>
      </c>
      <c r="U31" s="74">
        <v>9316671.2470571287</v>
      </c>
      <c r="V31" s="74">
        <v>5857192.6583354883</v>
      </c>
      <c r="W31" s="74">
        <v>24033233.036000002</v>
      </c>
      <c r="X31" s="178">
        <f t="shared" si="6"/>
        <v>2048872.9840062112</v>
      </c>
      <c r="Y31" s="179">
        <f t="shared" si="7"/>
        <v>219.50642639877987</v>
      </c>
      <c r="Z31" s="74"/>
      <c r="AA31" s="84">
        <f t="shared" si="8"/>
        <v>4511562.8342469037</v>
      </c>
      <c r="AB31" s="132">
        <f t="shared" si="9"/>
        <v>483.34720744020825</v>
      </c>
      <c r="AD31" s="180">
        <v>-4472680.0518201264</v>
      </c>
      <c r="AE31" s="187">
        <v>-4344764.6280520959</v>
      </c>
      <c r="AF31" s="187">
        <v>-4214916.2423671372</v>
      </c>
      <c r="AG31" s="187">
        <v>-4086015.933118517</v>
      </c>
      <c r="AH31" s="188">
        <v>-3955117.7760479604</v>
      </c>
      <c r="AJ31" s="74">
        <f t="shared" si="10"/>
        <v>21545739.108856976</v>
      </c>
      <c r="AK31" s="74">
        <f t="shared" si="11"/>
        <v>899571.73900000006</v>
      </c>
      <c r="AL31" s="74">
        <f t="shared" si="12"/>
        <v>5712345.3857366815</v>
      </c>
      <c r="AM31" s="74">
        <f t="shared" si="19"/>
        <v>40636190.355092555</v>
      </c>
      <c r="AN31" s="74">
        <f t="shared" si="13"/>
        <v>-4472680.0518201264</v>
      </c>
      <c r="AO31" s="74">
        <f t="shared" si="14"/>
        <v>-4344764.6280520959</v>
      </c>
      <c r="AP31" s="74">
        <f t="shared" si="15"/>
        <v>-4214916.2423671372</v>
      </c>
      <c r="AQ31" s="74">
        <f t="shared" si="16"/>
        <v>-4086015.933118517</v>
      </c>
      <c r="AR31" s="74">
        <f t="shared" si="17"/>
        <v>-3955117.7760479604</v>
      </c>
      <c r="AS31" s="75">
        <v>4659</v>
      </c>
      <c r="AT31" s="75"/>
      <c r="AU31" s="75"/>
      <c r="AV31" s="75">
        <v>728</v>
      </c>
      <c r="AW31" s="75">
        <v>7915.1492050175739</v>
      </c>
      <c r="AX31" s="75">
        <v>330.84554633360574</v>
      </c>
      <c r="AY31" s="75">
        <v>4100.9841627243586</v>
      </c>
      <c r="AZ31" s="316"/>
      <c r="BA31" s="74"/>
      <c r="BB31" s="74"/>
      <c r="BC31" s="74"/>
      <c r="BD31" s="74"/>
      <c r="BE31" s="74"/>
      <c r="BF31" s="74"/>
      <c r="BG31" s="74"/>
      <c r="BM31" s="316"/>
      <c r="BN31" s="74">
        <v>30527100.644907445</v>
      </c>
      <c r="BO31" s="74">
        <v>37281412.149999999</v>
      </c>
      <c r="BP31" s="74">
        <v>42824000</v>
      </c>
      <c r="BQ31" s="74">
        <v>916257.93</v>
      </c>
      <c r="BR31" s="74">
        <v>965000</v>
      </c>
      <c r="BS31" s="406">
        <f t="shared" si="20"/>
        <v>0.68822260827047632</v>
      </c>
      <c r="BT31" s="406">
        <f t="shared" si="21"/>
        <v>0.33333333333333337</v>
      </c>
      <c r="BU31" s="74">
        <f t="shared" si="22"/>
        <v>5847848.3635666501</v>
      </c>
      <c r="BV31" s="316"/>
      <c r="BW31" s="74">
        <v>71163291</v>
      </c>
      <c r="BX31" s="74">
        <v>30527100.644907445</v>
      </c>
      <c r="BY31" s="74">
        <v>58716079.078613594</v>
      </c>
      <c r="BZ31" s="74">
        <v>36270768.230756626</v>
      </c>
      <c r="CA31" s="74">
        <f t="shared" si="23"/>
        <v>-3965481.1848944025</v>
      </c>
      <c r="CB31" s="74">
        <f t="shared" si="24"/>
        <v>219.50642639878026</v>
      </c>
      <c r="CC31" s="74">
        <f t="shared" si="25"/>
        <v>702.85363383898664</v>
      </c>
      <c r="CD31" s="74">
        <f t="shared" si="26"/>
        <v>483.34720744020638</v>
      </c>
      <c r="CE31" s="74">
        <f t="shared" si="27"/>
        <v>-465.47724748790137</v>
      </c>
      <c r="CF31" s="74">
        <f t="shared" si="28"/>
        <v>-451.56591411689652</v>
      </c>
      <c r="CG31" s="74">
        <f t="shared" si="29"/>
        <v>-437.75615310890208</v>
      </c>
      <c r="CH31" s="74">
        <f t="shared" si="30"/>
        <v>-423.73235226568841</v>
      </c>
      <c r="CI31" s="74">
        <f t="shared" si="31"/>
        <v>-4344764.6280520717</v>
      </c>
      <c r="CJ31" s="74">
        <f t="shared" si="32"/>
        <v>-4214916.2423671121</v>
      </c>
      <c r="CK31" s="74">
        <f t="shared" si="33"/>
        <v>-4086015.9331184919</v>
      </c>
      <c r="CL31" s="74">
        <f t="shared" si="34"/>
        <v>-3955117.7760479357</v>
      </c>
      <c r="CM31" s="316"/>
      <c r="CN31" s="74">
        <v>31603.226075748542</v>
      </c>
      <c r="CO31" s="74">
        <v>2928.8382200000001</v>
      </c>
    </row>
    <row r="32" spans="1:101" x14ac:dyDescent="0.2">
      <c r="A32" s="74">
        <v>52</v>
      </c>
      <c r="B32" s="74" t="s">
        <v>154</v>
      </c>
      <c r="C32" s="74">
        <v>14</v>
      </c>
      <c r="D32" s="74">
        <v>2404</v>
      </c>
      <c r="E32" s="89">
        <v>7880010.1645515691</v>
      </c>
      <c r="F32" s="74">
        <v>3456938.6438971655</v>
      </c>
      <c r="G32" s="74">
        <v>845200.40350000001</v>
      </c>
      <c r="H32" s="74">
        <v>559547.45019999996</v>
      </c>
      <c r="I32" s="74">
        <v>2021828.3739765112</v>
      </c>
      <c r="J32" s="74">
        <v>547297.19874302251</v>
      </c>
      <c r="K32" s="74">
        <v>586767.76662889076</v>
      </c>
      <c r="L32" s="74">
        <v>148576</v>
      </c>
      <c r="M32" s="75">
        <v>129580</v>
      </c>
      <c r="N32" s="75">
        <v>18712.552953801307</v>
      </c>
      <c r="O32" s="178">
        <f t="shared" si="4"/>
        <v>434438.2253478216</v>
      </c>
      <c r="P32" s="179">
        <f t="shared" si="5"/>
        <v>180.71473600158967</v>
      </c>
      <c r="Q32" s="74"/>
      <c r="R32" s="89">
        <v>18641900</v>
      </c>
      <c r="S32" s="74">
        <v>7398613.5787155339</v>
      </c>
      <c r="T32" s="74">
        <v>839321.1753</v>
      </c>
      <c r="U32" s="74">
        <v>8173141.9309515739</v>
      </c>
      <c r="V32" s="74">
        <v>1825310.1168888889</v>
      </c>
      <c r="W32" s="74">
        <v>1123356.4035</v>
      </c>
      <c r="X32" s="178">
        <f t="shared" si="6"/>
        <v>717843.20535599813</v>
      </c>
      <c r="Y32" s="179">
        <f t="shared" si="7"/>
        <v>298.60366279367645</v>
      </c>
      <c r="Z32" s="74"/>
      <c r="AA32" s="84">
        <f t="shared" si="8"/>
        <v>-283404.98000817653</v>
      </c>
      <c r="AB32" s="132">
        <f t="shared" si="9"/>
        <v>-117.88892679208674</v>
      </c>
      <c r="AD32" s="180">
        <v>293419.35851192148</v>
      </c>
      <c r="AE32" s="187">
        <v>254244.36373351404</v>
      </c>
      <c r="AF32" s="187">
        <v>215567.20915740961</v>
      </c>
      <c r="AG32" s="187">
        <v>176645.87462062834</v>
      </c>
      <c r="AH32" s="188">
        <v>138239.09184771398</v>
      </c>
      <c r="AJ32" s="74">
        <f t="shared" si="10"/>
        <v>3941674.9348183684</v>
      </c>
      <c r="AK32" s="74">
        <f t="shared" si="11"/>
        <v>279773.72510000004</v>
      </c>
      <c r="AL32" s="74">
        <f t="shared" si="12"/>
        <v>6151313.5569750629</v>
      </c>
      <c r="AM32" s="74">
        <f t="shared" si="19"/>
        <v>10761889.835448431</v>
      </c>
      <c r="AN32" s="74">
        <f t="shared" si="13"/>
        <v>293419.35851192148</v>
      </c>
      <c r="AO32" s="74">
        <f t="shared" si="14"/>
        <v>254244.36373351404</v>
      </c>
      <c r="AP32" s="74">
        <f t="shared" si="15"/>
        <v>215567.20915740961</v>
      </c>
      <c r="AQ32" s="74">
        <f t="shared" si="16"/>
        <v>176645.87462062834</v>
      </c>
      <c r="AR32" s="74">
        <f t="shared" si="17"/>
        <v>138239.09184771398</v>
      </c>
      <c r="AS32" s="75">
        <v>839</v>
      </c>
      <c r="AT32" s="75"/>
      <c r="AU32" s="75"/>
      <c r="AV32" s="75">
        <v>20</v>
      </c>
      <c r="AW32" s="75">
        <v>5083.8629410253343</v>
      </c>
      <c r="AX32" s="75">
        <v>-1176.2671239891081</v>
      </c>
      <c r="AY32" s="75">
        <v>1278.0129181458665</v>
      </c>
      <c r="AZ32" s="316"/>
      <c r="BA32" s="74"/>
      <c r="BB32" s="74"/>
      <c r="BC32" s="74"/>
      <c r="BD32" s="74"/>
      <c r="BE32" s="74"/>
      <c r="BF32" s="74"/>
      <c r="BG32" s="74"/>
      <c r="BM32" s="316"/>
      <c r="BN32" s="74">
        <v>7880010.1645515691</v>
      </c>
      <c r="BO32" s="74">
        <v>10315227.800000001</v>
      </c>
      <c r="BP32" s="74">
        <v>10436000</v>
      </c>
      <c r="BQ32" s="74">
        <v>253212.59999999998</v>
      </c>
      <c r="BR32" s="74">
        <v>246000</v>
      </c>
      <c r="BS32" s="406">
        <f t="shared" si="20"/>
        <v>0.53275858954951372</v>
      </c>
      <c r="BT32" s="406">
        <f t="shared" si="21"/>
        <v>0.33333333333333337</v>
      </c>
      <c r="BU32" s="74">
        <f t="shared" si="22"/>
        <v>8016094.2417498194</v>
      </c>
      <c r="BV32" s="316"/>
      <c r="BW32" s="74">
        <v>18641900</v>
      </c>
      <c r="BX32" s="74">
        <v>7880010.1645515691</v>
      </c>
      <c r="BY32" s="74">
        <v>9083135.1575155333</v>
      </c>
      <c r="BZ32" s="74">
        <v>4861686.4975971654</v>
      </c>
      <c r="CA32" s="74">
        <f t="shared" si="23"/>
        <v>586767.76662888902</v>
      </c>
      <c r="CB32" s="74">
        <f t="shared" si="24"/>
        <v>298.60366279367554</v>
      </c>
      <c r="CC32" s="74">
        <f t="shared" si="25"/>
        <v>180.71473600158913</v>
      </c>
      <c r="CD32" s="74">
        <f t="shared" si="26"/>
        <v>-117.88892679208641</v>
      </c>
      <c r="CE32" s="74">
        <f t="shared" si="27"/>
        <v>105.75888674439142</v>
      </c>
      <c r="CF32" s="74">
        <f t="shared" si="28"/>
        <v>89.670220115396233</v>
      </c>
      <c r="CG32" s="74">
        <f t="shared" si="29"/>
        <v>73.479981123390715</v>
      </c>
      <c r="CH32" s="74">
        <f t="shared" si="30"/>
        <v>57.503781966604372</v>
      </c>
      <c r="CI32" s="74">
        <f t="shared" si="31"/>
        <v>254244.36373351698</v>
      </c>
      <c r="CJ32" s="74">
        <f t="shared" si="32"/>
        <v>215567.20915741255</v>
      </c>
      <c r="CK32" s="74">
        <f t="shared" si="33"/>
        <v>176645.87462063128</v>
      </c>
      <c r="CL32" s="74">
        <f t="shared" si="34"/>
        <v>138239.09184771692</v>
      </c>
      <c r="CM32" s="316"/>
      <c r="CN32" s="74">
        <v>7345.9064982700047</v>
      </c>
      <c r="CO32" s="74">
        <v>910.89119799999992</v>
      </c>
    </row>
    <row r="33" spans="1:93" x14ac:dyDescent="0.2">
      <c r="A33" s="74">
        <v>61</v>
      </c>
      <c r="B33" s="74" t="s">
        <v>155</v>
      </c>
      <c r="C33" s="74">
        <v>5</v>
      </c>
      <c r="D33" s="74">
        <v>16573</v>
      </c>
      <c r="E33" s="89">
        <v>39866505.084700823</v>
      </c>
      <c r="F33" s="74">
        <v>22330040.37260659</v>
      </c>
      <c r="G33" s="74">
        <v>5248616.9221000001</v>
      </c>
      <c r="H33" s="74">
        <v>3734718.2762000002</v>
      </c>
      <c r="I33" s="74">
        <v>4744918.4014833206</v>
      </c>
      <c r="J33" s="74">
        <v>2930213.7279476514</v>
      </c>
      <c r="K33" s="74">
        <v>1336798.4277311836</v>
      </c>
      <c r="L33" s="74">
        <v>966312</v>
      </c>
      <c r="M33" s="75">
        <v>-549000</v>
      </c>
      <c r="N33" s="75">
        <v>156430.72439010884</v>
      </c>
      <c r="O33" s="178">
        <f t="shared" si="4"/>
        <v>1032543.7677580342</v>
      </c>
      <c r="P33" s="179">
        <f t="shared" si="5"/>
        <v>62.302767619503662</v>
      </c>
      <c r="Q33" s="74"/>
      <c r="R33" s="89">
        <v>113371102</v>
      </c>
      <c r="S33" s="74">
        <v>55752589.216438942</v>
      </c>
      <c r="T33" s="74">
        <v>5602077.4143000003</v>
      </c>
      <c r="U33" s="74">
        <v>39534152.20165538</v>
      </c>
      <c r="V33" s="74">
        <v>9772658.7575335056</v>
      </c>
      <c r="W33" s="74">
        <v>5665928.9221000001</v>
      </c>
      <c r="X33" s="178">
        <f t="shared" si="6"/>
        <v>2956304.5120278299</v>
      </c>
      <c r="Y33" s="179">
        <f t="shared" si="7"/>
        <v>178.38077065273819</v>
      </c>
      <c r="Z33" s="74"/>
      <c r="AA33" s="84">
        <f t="shared" si="8"/>
        <v>-1923760.7442697957</v>
      </c>
      <c r="AB33" s="132">
        <f t="shared" si="9"/>
        <v>-116.07800303323452</v>
      </c>
      <c r="AD33" s="180">
        <v>1992799.136508818</v>
      </c>
      <c r="AE33" s="187">
        <v>1722729.5905593394</v>
      </c>
      <c r="AF33" s="187">
        <v>1456092.1185170021</v>
      </c>
      <c r="AG33" s="187">
        <v>1187771.2877024948</v>
      </c>
      <c r="AH33" s="188">
        <v>922997.73907707469</v>
      </c>
      <c r="AJ33" s="74">
        <f t="shared" si="10"/>
        <v>33422548.843832351</v>
      </c>
      <c r="AK33" s="74">
        <f t="shared" si="11"/>
        <v>1867359.1381000001</v>
      </c>
      <c r="AL33" s="74">
        <f t="shared" si="12"/>
        <v>34789233.800172061</v>
      </c>
      <c r="AM33" s="74">
        <f t="shared" si="19"/>
        <v>73504596.915299177</v>
      </c>
      <c r="AN33" s="74">
        <f t="shared" si="13"/>
        <v>1992799.136508818</v>
      </c>
      <c r="AO33" s="74">
        <f t="shared" si="14"/>
        <v>1722729.5905593394</v>
      </c>
      <c r="AP33" s="74">
        <f t="shared" si="15"/>
        <v>1456092.1185170021</v>
      </c>
      <c r="AQ33" s="74">
        <f t="shared" si="16"/>
        <v>1187771.2877024948</v>
      </c>
      <c r="AR33" s="74">
        <f t="shared" si="17"/>
        <v>922997.73907707469</v>
      </c>
      <c r="AS33" s="75">
        <v>6124</v>
      </c>
      <c r="AT33" s="75"/>
      <c r="AU33" s="75"/>
      <c r="AV33" s="75">
        <v>3</v>
      </c>
      <c r="AW33" s="75">
        <v>29360.74080832136</v>
      </c>
      <c r="AX33" s="75">
        <v>-4403.1214062174267</v>
      </c>
      <c r="AY33" s="75">
        <v>6842.4450295858542</v>
      </c>
      <c r="AZ33" s="316"/>
      <c r="BA33" s="74"/>
      <c r="BB33" s="74"/>
      <c r="BC33" s="74"/>
      <c r="BD33" s="74"/>
      <c r="BE33" s="74"/>
      <c r="BF33" s="74"/>
      <c r="BG33" s="74"/>
      <c r="BM33" s="316"/>
      <c r="BN33" s="74">
        <v>39866505.084700823</v>
      </c>
      <c r="BO33" s="74">
        <v>69213092.780000016</v>
      </c>
      <c r="BP33" s="74">
        <v>72698000</v>
      </c>
      <c r="BQ33" s="74">
        <v>1568368.49</v>
      </c>
      <c r="BR33" s="74">
        <v>1643000</v>
      </c>
      <c r="BS33" s="406">
        <f t="shared" si="20"/>
        <v>0.59947976073508591</v>
      </c>
      <c r="BT33" s="406">
        <f t="shared" si="21"/>
        <v>0.33333333333333337</v>
      </c>
      <c r="BU33" s="74">
        <f t="shared" si="22"/>
        <v>42968477.2574891</v>
      </c>
      <c r="BV33" s="316"/>
      <c r="BW33" s="74">
        <v>113371102</v>
      </c>
      <c r="BX33" s="74">
        <v>39866505.084700823</v>
      </c>
      <c r="BY33" s="74">
        <v>66603283.552838944</v>
      </c>
      <c r="BZ33" s="74">
        <v>31313375.570906591</v>
      </c>
      <c r="CA33" s="74">
        <f t="shared" si="23"/>
        <v>1336798.427731178</v>
      </c>
      <c r="CB33" s="74">
        <f t="shared" si="24"/>
        <v>178.38077065273819</v>
      </c>
      <c r="CC33" s="74">
        <f t="shared" si="25"/>
        <v>62.302767619503214</v>
      </c>
      <c r="CD33" s="74">
        <f t="shared" si="26"/>
        <v>-116.07800303323498</v>
      </c>
      <c r="CE33" s="74">
        <f t="shared" si="27"/>
        <v>103.94796298553999</v>
      </c>
      <c r="CF33" s="74">
        <f t="shared" si="28"/>
        <v>87.859296356544803</v>
      </c>
      <c r="CG33" s="74">
        <f t="shared" si="29"/>
        <v>71.669057364539285</v>
      </c>
      <c r="CH33" s="74">
        <f t="shared" si="30"/>
        <v>55.692858207752941</v>
      </c>
      <c r="CI33" s="74">
        <f t="shared" si="31"/>
        <v>1722729.5905593543</v>
      </c>
      <c r="CJ33" s="74">
        <f t="shared" si="32"/>
        <v>1456092.118517017</v>
      </c>
      <c r="CK33" s="74">
        <f t="shared" si="33"/>
        <v>1187771.2877025097</v>
      </c>
      <c r="CL33" s="74">
        <f t="shared" si="34"/>
        <v>922997.73907708947</v>
      </c>
      <c r="CM33" s="316"/>
      <c r="CN33" s="74">
        <v>56089.608869590083</v>
      </c>
      <c r="CO33" s="74">
        <v>6079.7739379999994</v>
      </c>
    </row>
    <row r="34" spans="1:93" x14ac:dyDescent="0.2">
      <c r="A34" s="74">
        <v>69</v>
      </c>
      <c r="B34" s="74" t="s">
        <v>156</v>
      </c>
      <c r="C34" s="74">
        <v>17</v>
      </c>
      <c r="D34" s="74">
        <v>6802</v>
      </c>
      <c r="E34" s="89">
        <v>20299215.709354077</v>
      </c>
      <c r="F34" s="74">
        <v>10099523.227572933</v>
      </c>
      <c r="G34" s="74">
        <v>2388110.5210000002</v>
      </c>
      <c r="H34" s="74">
        <v>1151094.176</v>
      </c>
      <c r="I34" s="74">
        <v>7634806.3327659909</v>
      </c>
      <c r="J34" s="74">
        <v>1338732.8922206098</v>
      </c>
      <c r="K34" s="74">
        <v>-1346132.7263176125</v>
      </c>
      <c r="L34" s="74">
        <v>834691</v>
      </c>
      <c r="M34" s="75">
        <v>857500</v>
      </c>
      <c r="N34" s="75">
        <v>54569.034062199862</v>
      </c>
      <c r="O34" s="178">
        <f t="shared" si="4"/>
        <v>2713678.7479500435</v>
      </c>
      <c r="P34" s="179">
        <f t="shared" si="5"/>
        <v>398.95306497354358</v>
      </c>
      <c r="Q34" s="74"/>
      <c r="R34" s="89">
        <v>52960871</v>
      </c>
      <c r="S34" s="74">
        <v>21834449.022863694</v>
      </c>
      <c r="T34" s="74">
        <v>1726641.264</v>
      </c>
      <c r="U34" s="74">
        <v>21921160.861004997</v>
      </c>
      <c r="V34" s="74">
        <v>4464855.1054060282</v>
      </c>
      <c r="W34" s="74">
        <v>4080301.5210000002</v>
      </c>
      <c r="X34" s="178">
        <f t="shared" si="6"/>
        <v>1066536.7742747217</v>
      </c>
      <c r="Y34" s="179">
        <f t="shared" si="7"/>
        <v>156.79752635617785</v>
      </c>
      <c r="Z34" s="74"/>
      <c r="AA34" s="84">
        <f t="shared" si="8"/>
        <v>1647141.9736753218</v>
      </c>
      <c r="AB34" s="132">
        <f t="shared" si="9"/>
        <v>242.15553861736575</v>
      </c>
      <c r="AD34" s="180">
        <v>-1618806.7812533171</v>
      </c>
      <c r="AE34" s="187">
        <v>-1525590.5060797429</v>
      </c>
      <c r="AF34" s="187">
        <v>-1430965.6164901683</v>
      </c>
      <c r="AG34" s="187">
        <v>-1337031.6221137897</v>
      </c>
      <c r="AH34" s="188">
        <v>-1241641.7287782505</v>
      </c>
      <c r="AJ34" s="74">
        <f t="shared" si="10"/>
        <v>11734925.795290761</v>
      </c>
      <c r="AK34" s="74">
        <f t="shared" si="11"/>
        <v>575547.08799999999</v>
      </c>
      <c r="AL34" s="74">
        <f t="shared" si="12"/>
        <v>14286354.528239006</v>
      </c>
      <c r="AM34" s="74">
        <f t="shared" si="19"/>
        <v>32661655.290645923</v>
      </c>
      <c r="AN34" s="74">
        <f t="shared" si="13"/>
        <v>-1618806.7812533171</v>
      </c>
      <c r="AO34" s="74">
        <f t="shared" si="14"/>
        <v>-1525590.5060797429</v>
      </c>
      <c r="AP34" s="74">
        <f t="shared" si="15"/>
        <v>-1430965.6164901683</v>
      </c>
      <c r="AQ34" s="74">
        <f t="shared" si="16"/>
        <v>-1337031.6221137897</v>
      </c>
      <c r="AR34" s="74">
        <f t="shared" si="17"/>
        <v>-1241641.7287782505</v>
      </c>
      <c r="AS34" s="75">
        <v>6063</v>
      </c>
      <c r="AT34" s="75"/>
      <c r="AU34" s="75"/>
      <c r="AV34" s="75">
        <v>1</v>
      </c>
      <c r="AW34" s="75">
        <v>11617.963741851278</v>
      </c>
      <c r="AX34" s="75">
        <v>-3421.0619946365237</v>
      </c>
      <c r="AY34" s="75">
        <v>3126.1222131854183</v>
      </c>
      <c r="AZ34" s="316"/>
      <c r="BA34" s="74"/>
      <c r="BB34" s="74"/>
      <c r="BC34" s="74"/>
      <c r="BD34" s="74"/>
      <c r="BE34" s="74"/>
      <c r="BF34" s="74"/>
      <c r="BG34" s="74"/>
      <c r="BM34" s="316"/>
      <c r="BN34" s="74">
        <v>20299215.709354077</v>
      </c>
      <c r="BO34" s="74">
        <v>31028320.499999996</v>
      </c>
      <c r="BP34" s="74">
        <v>30249000</v>
      </c>
      <c r="BQ34" s="74">
        <v>879801.45</v>
      </c>
      <c r="BR34" s="74">
        <v>887000</v>
      </c>
      <c r="BS34" s="406">
        <f t="shared" si="20"/>
        <v>0.53745005349128194</v>
      </c>
      <c r="BT34" s="406">
        <f t="shared" si="21"/>
        <v>0.33333333333333337</v>
      </c>
      <c r="BU34" s="74">
        <f t="shared" si="22"/>
        <v>16066344.01510681</v>
      </c>
      <c r="BV34" s="316"/>
      <c r="BW34" s="74">
        <v>52960871</v>
      </c>
      <c r="BX34" s="74">
        <v>20299215.709354077</v>
      </c>
      <c r="BY34" s="74">
        <v>25949200.807863694</v>
      </c>
      <c r="BZ34" s="74">
        <v>13638727.924572933</v>
      </c>
      <c r="CA34" s="74">
        <f t="shared" si="23"/>
        <v>-1346132.7263176166</v>
      </c>
      <c r="CB34" s="74">
        <f t="shared" si="24"/>
        <v>156.79752635617723</v>
      </c>
      <c r="CC34" s="74">
        <f t="shared" si="25"/>
        <v>398.95306497354306</v>
      </c>
      <c r="CD34" s="74">
        <f t="shared" si="26"/>
        <v>242.15553861736583</v>
      </c>
      <c r="CE34" s="74">
        <f t="shared" si="27"/>
        <v>-224.28557866506083</v>
      </c>
      <c r="CF34" s="74">
        <f t="shared" si="28"/>
        <v>-210.37424529405601</v>
      </c>
      <c r="CG34" s="74">
        <f t="shared" si="29"/>
        <v>-196.56448428606151</v>
      </c>
      <c r="CH34" s="74">
        <f t="shared" si="30"/>
        <v>-182.54068344284786</v>
      </c>
      <c r="CI34" s="74">
        <f t="shared" si="31"/>
        <v>-1525590.5060797438</v>
      </c>
      <c r="CJ34" s="74">
        <f t="shared" si="32"/>
        <v>-1430965.616490169</v>
      </c>
      <c r="CK34" s="74">
        <f t="shared" si="33"/>
        <v>-1337031.6221137904</v>
      </c>
      <c r="CL34" s="74">
        <f t="shared" si="34"/>
        <v>-1241641.7287782512</v>
      </c>
      <c r="CM34" s="316"/>
      <c r="CN34" s="74">
        <v>22069.573332618034</v>
      </c>
      <c r="CO34" s="74">
        <v>1873.8742400000001</v>
      </c>
    </row>
    <row r="35" spans="1:93" x14ac:dyDescent="0.2">
      <c r="A35" s="74">
        <v>71</v>
      </c>
      <c r="B35" s="74" t="s">
        <v>157</v>
      </c>
      <c r="C35" s="74">
        <v>17</v>
      </c>
      <c r="D35" s="74">
        <v>6613</v>
      </c>
      <c r="E35" s="89">
        <v>21723128.00190885</v>
      </c>
      <c r="F35" s="74">
        <v>8916128.5010034405</v>
      </c>
      <c r="G35" s="74">
        <v>1708825.0359999998</v>
      </c>
      <c r="H35" s="74">
        <v>1072641.2608</v>
      </c>
      <c r="I35" s="74">
        <v>8681440.0573491212</v>
      </c>
      <c r="J35" s="74">
        <v>1312641.39497911</v>
      </c>
      <c r="K35" s="74">
        <v>116196.85905073934</v>
      </c>
      <c r="L35" s="74">
        <v>398312</v>
      </c>
      <c r="M35" s="75">
        <v>-86400</v>
      </c>
      <c r="N35" s="75">
        <v>50201.178756793663</v>
      </c>
      <c r="O35" s="178">
        <f t="shared" si="4"/>
        <v>446858.28603035584</v>
      </c>
      <c r="P35" s="179">
        <f t="shared" si="5"/>
        <v>67.572703165031882</v>
      </c>
      <c r="Q35" s="74"/>
      <c r="R35" s="89">
        <v>51554996</v>
      </c>
      <c r="S35" s="74">
        <v>19704916.705960877</v>
      </c>
      <c r="T35" s="74">
        <v>1608961.8912</v>
      </c>
      <c r="U35" s="74">
        <v>23691077.637128849</v>
      </c>
      <c r="V35" s="74">
        <v>4377836.4362276206</v>
      </c>
      <c r="W35" s="74">
        <v>2020737.0359999998</v>
      </c>
      <c r="X35" s="178">
        <f t="shared" si="6"/>
        <v>-151466.2934826538</v>
      </c>
      <c r="Y35" s="179">
        <f t="shared" si="7"/>
        <v>-22.904323829223316</v>
      </c>
      <c r="Z35" s="74"/>
      <c r="AA35" s="84">
        <f t="shared" si="8"/>
        <v>598324.57951300964</v>
      </c>
      <c r="AB35" s="132">
        <f t="shared" si="9"/>
        <v>90.477026994255198</v>
      </c>
      <c r="AD35" s="180">
        <v>-570776.70719800459</v>
      </c>
      <c r="AE35" s="187">
        <v>-480150.53434842412</v>
      </c>
      <c r="AF35" s="187">
        <v>-388154.88676596928</v>
      </c>
      <c r="AG35" s="187">
        <v>-296830.93722010171</v>
      </c>
      <c r="AH35" s="188">
        <v>-204091.54224392984</v>
      </c>
      <c r="AJ35" s="74">
        <f t="shared" si="10"/>
        <v>10788788.204957437</v>
      </c>
      <c r="AK35" s="74">
        <f t="shared" si="11"/>
        <v>536320.63039999991</v>
      </c>
      <c r="AL35" s="74">
        <f t="shared" si="12"/>
        <v>15009637.579779727</v>
      </c>
      <c r="AM35" s="74">
        <f t="shared" si="19"/>
        <v>29831867.99809115</v>
      </c>
      <c r="AN35" s="74">
        <f t="shared" si="13"/>
        <v>-570776.70719800459</v>
      </c>
      <c r="AO35" s="74">
        <f t="shared" si="14"/>
        <v>-480150.53434842412</v>
      </c>
      <c r="AP35" s="74">
        <f t="shared" si="15"/>
        <v>-388154.88676596928</v>
      </c>
      <c r="AQ35" s="74">
        <f t="shared" si="16"/>
        <v>-296830.93722010171</v>
      </c>
      <c r="AR35" s="74">
        <f t="shared" si="17"/>
        <v>-204091.54224392984</v>
      </c>
      <c r="AS35" s="75">
        <v>1165</v>
      </c>
      <c r="AT35" s="75"/>
      <c r="AU35" s="75"/>
      <c r="AV35" s="75">
        <v>130</v>
      </c>
      <c r="AW35" s="75">
        <v>11993.146687129369</v>
      </c>
      <c r="AX35" s="75">
        <v>-3695.1490992096305</v>
      </c>
      <c r="AY35" s="75">
        <v>3065.1950412485107</v>
      </c>
      <c r="AZ35" s="316"/>
      <c r="BA35" s="74"/>
      <c r="BB35" s="74"/>
      <c r="BC35" s="74"/>
      <c r="BD35" s="74"/>
      <c r="BE35" s="74"/>
      <c r="BF35" s="74"/>
      <c r="BG35" s="74"/>
      <c r="BM35" s="316"/>
      <c r="BN35" s="74">
        <v>21723128.00190885</v>
      </c>
      <c r="BO35" s="74">
        <v>27650953.670000006</v>
      </c>
      <c r="BP35" s="74">
        <v>29260000</v>
      </c>
      <c r="BQ35" s="74">
        <v>855597.52</v>
      </c>
      <c r="BR35" s="74">
        <v>996000</v>
      </c>
      <c r="BS35" s="406">
        <f t="shared" si="20"/>
        <v>0.54751757472254381</v>
      </c>
      <c r="BT35" s="406">
        <f t="shared" si="21"/>
        <v>0.33333333333333326</v>
      </c>
      <c r="BU35" s="74">
        <f t="shared" si="22"/>
        <v>18191029.480078977</v>
      </c>
      <c r="BV35" s="316"/>
      <c r="BW35" s="74">
        <v>51554996</v>
      </c>
      <c r="BX35" s="74">
        <v>21723128.00190885</v>
      </c>
      <c r="BY35" s="74">
        <v>23022703.633160874</v>
      </c>
      <c r="BZ35" s="74">
        <v>11697594.797803441</v>
      </c>
      <c r="CA35" s="74">
        <f t="shared" si="23"/>
        <v>116196.85905073493</v>
      </c>
      <c r="CB35" s="74">
        <f t="shared" si="24"/>
        <v>-22.904323829223529</v>
      </c>
      <c r="CC35" s="74">
        <f t="shared" si="25"/>
        <v>67.572703165031129</v>
      </c>
      <c r="CD35" s="74">
        <f t="shared" si="26"/>
        <v>90.477026994254658</v>
      </c>
      <c r="CE35" s="74">
        <f t="shared" si="27"/>
        <v>-72.607067041949648</v>
      </c>
      <c r="CF35" s="74">
        <f t="shared" si="28"/>
        <v>-58.695733670944833</v>
      </c>
      <c r="CG35" s="74">
        <f t="shared" si="29"/>
        <v>-44.885972662950344</v>
      </c>
      <c r="CH35" s="74">
        <f t="shared" si="30"/>
        <v>-30.862171819736695</v>
      </c>
      <c r="CI35" s="74">
        <f t="shared" si="31"/>
        <v>-480150.534348413</v>
      </c>
      <c r="CJ35" s="74">
        <f t="shared" si="32"/>
        <v>-388154.88676595816</v>
      </c>
      <c r="CK35" s="74">
        <f t="shared" si="33"/>
        <v>-296830.93722009065</v>
      </c>
      <c r="CL35" s="74">
        <f t="shared" si="34"/>
        <v>-204091.54224391875</v>
      </c>
      <c r="CM35" s="316"/>
      <c r="CN35" s="74">
        <v>20076.083295908149</v>
      </c>
      <c r="CO35" s="74">
        <v>1746.1601920000001</v>
      </c>
    </row>
    <row r="36" spans="1:93" x14ac:dyDescent="0.2">
      <c r="A36" s="74">
        <v>72</v>
      </c>
      <c r="B36" s="74" t="s">
        <v>158</v>
      </c>
      <c r="C36" s="74">
        <v>17</v>
      </c>
      <c r="D36" s="74">
        <v>950</v>
      </c>
      <c r="E36" s="89">
        <v>3142464.7410840513</v>
      </c>
      <c r="F36" s="74">
        <v>1320721.3494648589</v>
      </c>
      <c r="G36" s="74">
        <v>364517.32829999999</v>
      </c>
      <c r="H36" s="74">
        <v>96168.252999999997</v>
      </c>
      <c r="I36" s="74">
        <v>1552525.7348386829</v>
      </c>
      <c r="J36" s="74">
        <v>167551.73249265895</v>
      </c>
      <c r="K36" s="74">
        <v>-18543.602143970566</v>
      </c>
      <c r="L36" s="74">
        <v>-235405</v>
      </c>
      <c r="M36" s="75">
        <v>-25000</v>
      </c>
      <c r="N36" s="75">
        <v>9210.2210233157639</v>
      </c>
      <c r="O36" s="178">
        <f t="shared" si="4"/>
        <v>89281.275891494937</v>
      </c>
      <c r="P36" s="179">
        <f t="shared" si="5"/>
        <v>93.980290412099933</v>
      </c>
      <c r="Q36" s="74"/>
      <c r="R36" s="89">
        <v>7721792</v>
      </c>
      <c r="S36" s="74">
        <v>3350412.2487680623</v>
      </c>
      <c r="T36" s="74">
        <v>144252.37949999998</v>
      </c>
      <c r="U36" s="74">
        <v>3669685.1184625826</v>
      </c>
      <c r="V36" s="74">
        <v>558807.66998902941</v>
      </c>
      <c r="W36" s="74">
        <v>104112.32829999999</v>
      </c>
      <c r="X36" s="178">
        <f t="shared" si="6"/>
        <v>105477.7450196743</v>
      </c>
      <c r="Y36" s="179">
        <f t="shared" si="7"/>
        <v>111.02920528386768</v>
      </c>
      <c r="Z36" s="74"/>
      <c r="AA36" s="84">
        <f t="shared" si="8"/>
        <v>-16196.469128179364</v>
      </c>
      <c r="AB36" s="132">
        <f t="shared" si="9"/>
        <v>-17.048914871767753</v>
      </c>
      <c r="AD36" s="180">
        <v>20153.898237397858</v>
      </c>
      <c r="AE36" s="187">
        <v>4672.9310828691159</v>
      </c>
      <c r="AF36" s="187">
        <v>1692.2286571443349</v>
      </c>
      <c r="AG36" s="187">
        <v>561.50161473909623</v>
      </c>
      <c r="AH36" s="188">
        <v>-365.88758420793368</v>
      </c>
      <c r="AJ36" s="74">
        <f t="shared" si="10"/>
        <v>2029690.8993032034</v>
      </c>
      <c r="AK36" s="74">
        <f t="shared" si="11"/>
        <v>48084.126499999984</v>
      </c>
      <c r="AL36" s="74">
        <f t="shared" si="12"/>
        <v>2117159.3836238999</v>
      </c>
      <c r="AM36" s="74">
        <f t="shared" si="19"/>
        <v>4579327.2589159487</v>
      </c>
      <c r="AN36" s="74">
        <f t="shared" si="13"/>
        <v>20153.898237397858</v>
      </c>
      <c r="AO36" s="74">
        <f t="shared" si="14"/>
        <v>4672.9310828691159</v>
      </c>
      <c r="AP36" s="74">
        <f t="shared" si="15"/>
        <v>1692.2286571443349</v>
      </c>
      <c r="AQ36" s="74">
        <f t="shared" si="16"/>
        <v>561.50161473909623</v>
      </c>
      <c r="AR36" s="74">
        <f t="shared" si="17"/>
        <v>-365.88758420793368</v>
      </c>
      <c r="AS36" s="75">
        <v>509</v>
      </c>
      <c r="AT36" s="75"/>
      <c r="AU36" s="75"/>
      <c r="AV36" s="75">
        <v>9</v>
      </c>
      <c r="AW36" s="75">
        <v>1904.5502780569966</v>
      </c>
      <c r="AX36" s="75">
        <v>-184.46239312652546</v>
      </c>
      <c r="AY36" s="75">
        <v>391.25593749637045</v>
      </c>
      <c r="AZ36" s="316"/>
      <c r="BA36" s="74"/>
      <c r="BB36" s="74"/>
      <c r="BC36" s="74"/>
      <c r="BD36" s="74"/>
      <c r="BE36" s="74"/>
      <c r="BF36" s="74"/>
      <c r="BG36" s="74"/>
      <c r="BM36" s="316"/>
      <c r="BN36" s="74">
        <v>3142464.7410840513</v>
      </c>
      <c r="BO36" s="74">
        <v>4310935.78</v>
      </c>
      <c r="BP36" s="74">
        <v>4759000</v>
      </c>
      <c r="BQ36" s="74">
        <v>66739.320000000007</v>
      </c>
      <c r="BR36" s="74">
        <v>67000</v>
      </c>
      <c r="BS36" s="406">
        <f t="shared" si="20"/>
        <v>0.60580333063476455</v>
      </c>
      <c r="BT36" s="406">
        <f t="shared" si="21"/>
        <v>0.33333333333333326</v>
      </c>
      <c r="BU36" s="74">
        <f t="shared" si="22"/>
        <v>2489871.7189762993</v>
      </c>
      <c r="BV36" s="316"/>
      <c r="BW36" s="74">
        <v>7721792</v>
      </c>
      <c r="BX36" s="74">
        <v>3142464.7410840513</v>
      </c>
      <c r="BY36" s="74">
        <v>3859181.9565680623</v>
      </c>
      <c r="BZ36" s="74">
        <v>1781406.9307648588</v>
      </c>
      <c r="CA36" s="74">
        <f t="shared" si="23"/>
        <v>-18543.602143970485</v>
      </c>
      <c r="CB36" s="74">
        <f t="shared" si="24"/>
        <v>111.0292052838675</v>
      </c>
      <c r="CC36" s="74">
        <f t="shared" si="25"/>
        <v>93.980290412099663</v>
      </c>
      <c r="CD36" s="74">
        <f t="shared" si="26"/>
        <v>-17.048914871767835</v>
      </c>
      <c r="CE36" s="74">
        <f t="shared" si="27"/>
        <v>4.918874824072839</v>
      </c>
      <c r="CF36" s="74">
        <f t="shared" si="28"/>
        <v>1.7812933233098263</v>
      </c>
      <c r="CG36" s="74">
        <f t="shared" si="29"/>
        <v>0.59105433130431184</v>
      </c>
      <c r="CH36" s="74">
        <f t="shared" si="30"/>
        <v>-0.38514482548203544</v>
      </c>
      <c r="CI36" s="74">
        <f t="shared" si="31"/>
        <v>4672.9310828691969</v>
      </c>
      <c r="CJ36" s="74">
        <f t="shared" si="32"/>
        <v>1692.2286571443349</v>
      </c>
      <c r="CK36" s="74">
        <f t="shared" si="33"/>
        <v>561.50161473909623</v>
      </c>
      <c r="CL36" s="74">
        <f t="shared" si="34"/>
        <v>-365.88758420793368</v>
      </c>
      <c r="CM36" s="316"/>
      <c r="CN36" s="74">
        <v>3565.8705599978366</v>
      </c>
      <c r="CO36" s="74">
        <v>156.55296999999999</v>
      </c>
    </row>
    <row r="37" spans="1:93" x14ac:dyDescent="0.2">
      <c r="A37" s="74">
        <v>74</v>
      </c>
      <c r="B37" s="74" t="s">
        <v>159</v>
      </c>
      <c r="C37" s="74">
        <v>16</v>
      </c>
      <c r="D37" s="74">
        <v>1083</v>
      </c>
      <c r="E37" s="89">
        <v>3285571.2157675633</v>
      </c>
      <c r="F37" s="74">
        <v>1607377.8538994303</v>
      </c>
      <c r="G37" s="74">
        <v>400756.19200000004</v>
      </c>
      <c r="H37" s="74">
        <v>307850.1752</v>
      </c>
      <c r="I37" s="74">
        <v>986785.84765281749</v>
      </c>
      <c r="J37" s="74">
        <v>265824.50872975576</v>
      </c>
      <c r="K37" s="74">
        <v>124876.83825200844</v>
      </c>
      <c r="L37" s="74">
        <v>-308048</v>
      </c>
      <c r="M37" s="75">
        <v>-24570</v>
      </c>
      <c r="N37" s="75">
        <v>7940.5903032504702</v>
      </c>
      <c r="O37" s="178">
        <f t="shared" si="4"/>
        <v>83222.790269698948</v>
      </c>
      <c r="P37" s="179">
        <f t="shared" si="5"/>
        <v>76.844681689472708</v>
      </c>
      <c r="Q37" s="74"/>
      <c r="R37" s="89">
        <v>8845943</v>
      </c>
      <c r="S37" s="74">
        <v>3244806.1095538582</v>
      </c>
      <c r="T37" s="74">
        <v>461775.26280000003</v>
      </c>
      <c r="U37" s="74">
        <v>4291528.6327847335</v>
      </c>
      <c r="V37" s="74">
        <v>886560.65884464374</v>
      </c>
      <c r="W37" s="74">
        <v>68138.192000000039</v>
      </c>
      <c r="X37" s="178">
        <f t="shared" si="6"/>
        <v>106865.85598323494</v>
      </c>
      <c r="Y37" s="179">
        <f t="shared" si="7"/>
        <v>98.675767297539196</v>
      </c>
      <c r="Z37" s="74"/>
      <c r="AA37" s="84">
        <f t="shared" si="8"/>
        <v>-23643.065713535994</v>
      </c>
      <c r="AB37" s="132">
        <f t="shared" si="9"/>
        <v>-21.831085608066477</v>
      </c>
      <c r="AD37" s="180">
        <v>28154.534898044614</v>
      </c>
      <c r="AE37" s="187">
        <v>10506.232341881849</v>
      </c>
      <c r="AF37" s="187">
        <v>1929.1406691445418</v>
      </c>
      <c r="AG37" s="187">
        <v>640.11184080256976</v>
      </c>
      <c r="AH37" s="188">
        <v>-417.11184599704438</v>
      </c>
      <c r="AJ37" s="74">
        <f t="shared" si="10"/>
        <v>1637428.2556544279</v>
      </c>
      <c r="AK37" s="74">
        <f t="shared" si="11"/>
        <v>153925.08760000003</v>
      </c>
      <c r="AL37" s="74">
        <f t="shared" si="12"/>
        <v>3304742.7851319159</v>
      </c>
      <c r="AM37" s="74">
        <f t="shared" si="19"/>
        <v>5560371.7842324367</v>
      </c>
      <c r="AN37" s="74">
        <f t="shared" si="13"/>
        <v>28154.534898044614</v>
      </c>
      <c r="AO37" s="74">
        <f t="shared" si="14"/>
        <v>10506.232341881849</v>
      </c>
      <c r="AP37" s="74">
        <f t="shared" si="15"/>
        <v>1929.1406691445418</v>
      </c>
      <c r="AQ37" s="74">
        <f t="shared" si="16"/>
        <v>640.11184080256976</v>
      </c>
      <c r="AR37" s="74">
        <f t="shared" si="17"/>
        <v>-417.11184599704438</v>
      </c>
      <c r="AS37" s="75">
        <v>154</v>
      </c>
      <c r="AT37" s="75"/>
      <c r="AU37" s="75"/>
      <c r="AV37" s="75">
        <v>16</v>
      </c>
      <c r="AW37" s="75">
        <v>2729.0417382811142</v>
      </c>
      <c r="AX37" s="75">
        <v>-635.77906689211625</v>
      </c>
      <c r="AY37" s="75">
        <v>620.73615011488801</v>
      </c>
      <c r="AZ37" s="316"/>
      <c r="BA37" s="74"/>
      <c r="BB37" s="74"/>
      <c r="BC37" s="74"/>
      <c r="BD37" s="74"/>
      <c r="BE37" s="74"/>
      <c r="BF37" s="74"/>
      <c r="BG37" s="74"/>
      <c r="BM37" s="316"/>
      <c r="BN37" s="74">
        <v>3285571.2157675633</v>
      </c>
      <c r="BO37" s="74">
        <v>5235563.68</v>
      </c>
      <c r="BP37" s="74">
        <v>5161000</v>
      </c>
      <c r="BQ37" s="74">
        <v>146520.79</v>
      </c>
      <c r="BR37" s="74">
        <v>157000</v>
      </c>
      <c r="BS37" s="406">
        <f t="shared" si="20"/>
        <v>0.50463053888898302</v>
      </c>
      <c r="BT37" s="406">
        <f t="shared" si="21"/>
        <v>0.33333333333333337</v>
      </c>
      <c r="BU37" s="74">
        <f t="shared" si="22"/>
        <v>4050355.7734988132</v>
      </c>
      <c r="BV37" s="316"/>
      <c r="BW37" s="74">
        <v>8845943</v>
      </c>
      <c r="BX37" s="74">
        <v>3285571.2157675633</v>
      </c>
      <c r="BY37" s="74">
        <v>4107337.5643538581</v>
      </c>
      <c r="BZ37" s="74">
        <v>2315984.2210994302</v>
      </c>
      <c r="CA37" s="74">
        <f t="shared" si="23"/>
        <v>124876.83825200786</v>
      </c>
      <c r="CB37" s="74">
        <f t="shared" si="24"/>
        <v>98.675767297539835</v>
      </c>
      <c r="CC37" s="74">
        <f t="shared" si="25"/>
        <v>76.844681689472296</v>
      </c>
      <c r="CD37" s="74">
        <f t="shared" si="26"/>
        <v>-21.831085608067539</v>
      </c>
      <c r="CE37" s="74">
        <f t="shared" si="27"/>
        <v>9.7010455603725436</v>
      </c>
      <c r="CF37" s="74">
        <f t="shared" si="28"/>
        <v>1.7812933233098263</v>
      </c>
      <c r="CG37" s="74">
        <f t="shared" si="29"/>
        <v>0.59105433130431184</v>
      </c>
      <c r="CH37" s="74">
        <f t="shared" si="30"/>
        <v>-0.38514482548203544</v>
      </c>
      <c r="CI37" s="74">
        <f t="shared" si="31"/>
        <v>10506.232341883464</v>
      </c>
      <c r="CJ37" s="74">
        <f t="shared" si="32"/>
        <v>1929.1406691445418</v>
      </c>
      <c r="CK37" s="74">
        <f t="shared" si="33"/>
        <v>640.11184080256976</v>
      </c>
      <c r="CL37" s="74">
        <f t="shared" si="34"/>
        <v>-417.11184599704438</v>
      </c>
      <c r="CM37" s="316"/>
      <c r="CN37" s="74">
        <v>3234.0004761522669</v>
      </c>
      <c r="CO37" s="74">
        <v>501.15144800000002</v>
      </c>
    </row>
    <row r="38" spans="1:93" x14ac:dyDescent="0.2">
      <c r="A38" s="74">
        <v>75</v>
      </c>
      <c r="B38" s="74" t="s">
        <v>160</v>
      </c>
      <c r="C38" s="74">
        <v>8</v>
      </c>
      <c r="D38" s="74">
        <v>19702</v>
      </c>
      <c r="E38" s="89">
        <v>44826443.580038905</v>
      </c>
      <c r="F38" s="74">
        <v>32402042.439395156</v>
      </c>
      <c r="G38" s="74">
        <v>7435284.6504999995</v>
      </c>
      <c r="H38" s="74">
        <v>12033904.113600001</v>
      </c>
      <c r="I38" s="74">
        <v>1634205.9300941387</v>
      </c>
      <c r="J38" s="74">
        <v>3220987.5557251303</v>
      </c>
      <c r="K38" s="74">
        <v>-1014078.494076492</v>
      </c>
      <c r="L38" s="74">
        <v>-1667493</v>
      </c>
      <c r="M38" s="75">
        <v>1156000</v>
      </c>
      <c r="N38" s="75">
        <v>233032.56516810754</v>
      </c>
      <c r="O38" s="178">
        <f t="shared" si="4"/>
        <v>10607442.180367135</v>
      </c>
      <c r="P38" s="179">
        <f t="shared" si="5"/>
        <v>538.3941823351505</v>
      </c>
      <c r="Q38" s="74"/>
      <c r="R38" s="89">
        <v>137012600</v>
      </c>
      <c r="S38" s="74">
        <v>78955950.82985495</v>
      </c>
      <c r="T38" s="74">
        <v>18050856.170400001</v>
      </c>
      <c r="U38" s="74">
        <v>33851232.353184395</v>
      </c>
      <c r="V38" s="74">
        <v>10742428.766931906</v>
      </c>
      <c r="W38" s="74">
        <v>6923791.6504999995</v>
      </c>
      <c r="X38" s="178">
        <f t="shared" si="6"/>
        <v>11511659.770871252</v>
      </c>
      <c r="Y38" s="179">
        <f t="shared" si="7"/>
        <v>584.28889305000769</v>
      </c>
      <c r="Z38" s="74"/>
      <c r="AA38" s="84">
        <f t="shared" si="8"/>
        <v>-904217.59050411731</v>
      </c>
      <c r="AB38" s="132">
        <f t="shared" si="9"/>
        <v>-45.89471071485724</v>
      </c>
      <c r="AD38" s="180">
        <v>986290.50451448513</v>
      </c>
      <c r="AE38" s="187">
        <v>665231.54148445849</v>
      </c>
      <c r="AF38" s="187">
        <v>348252.63155999553</v>
      </c>
      <c r="AG38" s="187">
        <v>29272.542939502891</v>
      </c>
      <c r="AH38" s="188">
        <v>-7588.123351647062</v>
      </c>
      <c r="AJ38" s="74">
        <f t="shared" si="10"/>
        <v>46553908.390459791</v>
      </c>
      <c r="AK38" s="74">
        <f t="shared" si="11"/>
        <v>6016952.0568000004</v>
      </c>
      <c r="AL38" s="74">
        <f t="shared" si="12"/>
        <v>32217026.423090257</v>
      </c>
      <c r="AM38" s="74">
        <f t="shared" si="19"/>
        <v>92186156.419961095</v>
      </c>
      <c r="AN38" s="74">
        <f t="shared" si="13"/>
        <v>986290.50451448513</v>
      </c>
      <c r="AO38" s="74">
        <f t="shared" si="14"/>
        <v>665231.54148445849</v>
      </c>
      <c r="AP38" s="74">
        <f t="shared" si="15"/>
        <v>348252.63155999553</v>
      </c>
      <c r="AQ38" s="74">
        <f t="shared" si="16"/>
        <v>29272.542939502891</v>
      </c>
      <c r="AR38" s="74">
        <f t="shared" si="17"/>
        <v>-7588.123351647062</v>
      </c>
      <c r="AS38" s="75">
        <v>9930</v>
      </c>
      <c r="AT38" s="75"/>
      <c r="AU38" s="75"/>
      <c r="AV38" s="75">
        <v>0</v>
      </c>
      <c r="AW38" s="75">
        <v>31910.133002220769</v>
      </c>
      <c r="AX38" s="75">
        <v>1264.8287735206393</v>
      </c>
      <c r="AY38" s="75">
        <v>7521.4412112067766</v>
      </c>
      <c r="AZ38" s="316"/>
      <c r="BA38" s="74"/>
      <c r="BB38" s="74"/>
      <c r="BC38" s="74"/>
      <c r="BD38" s="74"/>
      <c r="BE38" s="74"/>
      <c r="BF38" s="74"/>
      <c r="BG38" s="74"/>
      <c r="BM38" s="316"/>
      <c r="BN38" s="74">
        <v>44826443.580038905</v>
      </c>
      <c r="BO38" s="74">
        <v>88144369.130000025</v>
      </c>
      <c r="BP38" s="74">
        <v>92686000</v>
      </c>
      <c r="BQ38" s="74">
        <v>2650532.6800000002</v>
      </c>
      <c r="BR38" s="74">
        <v>3187000</v>
      </c>
      <c r="BS38" s="406">
        <f t="shared" si="20"/>
        <v>0.58961874185747576</v>
      </c>
      <c r="BT38" s="406">
        <f t="shared" si="21"/>
        <v>0.33333333333333337</v>
      </c>
      <c r="BU38" s="74">
        <f t="shared" si="22"/>
        <v>38724389.140220538</v>
      </c>
      <c r="BV38" s="316"/>
      <c r="BW38" s="74">
        <v>137012600</v>
      </c>
      <c r="BX38" s="74">
        <v>44826443.580038905</v>
      </c>
      <c r="BY38" s="74">
        <v>104442091.65075496</v>
      </c>
      <c r="BZ38" s="74">
        <v>51871231.20349516</v>
      </c>
      <c r="CA38" s="74">
        <f t="shared" si="23"/>
        <v>-1014078.4940765051</v>
      </c>
      <c r="CB38" s="74">
        <f t="shared" si="24"/>
        <v>584.28889305000769</v>
      </c>
      <c r="CC38" s="74">
        <f t="shared" si="25"/>
        <v>538.39418233514982</v>
      </c>
      <c r="CD38" s="74">
        <f t="shared" si="26"/>
        <v>-45.894710714857865</v>
      </c>
      <c r="CE38" s="74">
        <f t="shared" si="27"/>
        <v>33.764670667162868</v>
      </c>
      <c r="CF38" s="74">
        <f t="shared" si="28"/>
        <v>17.67600403816769</v>
      </c>
      <c r="CG38" s="74">
        <f t="shared" si="29"/>
        <v>1.485765046162177</v>
      </c>
      <c r="CH38" s="74">
        <f t="shared" si="30"/>
        <v>-0.38514482548203544</v>
      </c>
      <c r="CI38" s="74">
        <f t="shared" si="31"/>
        <v>665231.54148444277</v>
      </c>
      <c r="CJ38" s="74">
        <f t="shared" si="32"/>
        <v>348252.63155997981</v>
      </c>
      <c r="CK38" s="74">
        <f t="shared" si="33"/>
        <v>29272.542939487212</v>
      </c>
      <c r="CL38" s="74">
        <f t="shared" si="34"/>
        <v>-7588.123351647062</v>
      </c>
      <c r="CM38" s="316"/>
      <c r="CN38" s="74">
        <v>76885.957139443228</v>
      </c>
      <c r="CO38" s="74">
        <v>19590.076463999998</v>
      </c>
    </row>
    <row r="39" spans="1:93" x14ac:dyDescent="0.2">
      <c r="A39" s="74">
        <v>77</v>
      </c>
      <c r="B39" s="74" t="s">
        <v>161</v>
      </c>
      <c r="C39" s="74">
        <v>13</v>
      </c>
      <c r="D39" s="74">
        <v>4683</v>
      </c>
      <c r="E39" s="89">
        <v>12071970.396950111</v>
      </c>
      <c r="F39" s="74">
        <v>6303677.8189599048</v>
      </c>
      <c r="G39" s="74">
        <v>1458391.554</v>
      </c>
      <c r="H39" s="74">
        <v>787426.56079999998</v>
      </c>
      <c r="I39" s="74">
        <v>3425934.6568194907</v>
      </c>
      <c r="J39" s="74">
        <v>1056513.002371972</v>
      </c>
      <c r="K39" s="74">
        <v>62638.926461373107</v>
      </c>
      <c r="L39" s="74">
        <v>252765</v>
      </c>
      <c r="M39" s="75">
        <v>76000</v>
      </c>
      <c r="N39" s="75">
        <v>35943.336459139566</v>
      </c>
      <c r="O39" s="178">
        <f t="shared" si="4"/>
        <v>1387320.4589217696</v>
      </c>
      <c r="P39" s="179">
        <f t="shared" si="5"/>
        <v>296.24609415369838</v>
      </c>
      <c r="Q39" s="74"/>
      <c r="R39" s="89">
        <v>35439700</v>
      </c>
      <c r="S39" s="74">
        <v>14018582.849649649</v>
      </c>
      <c r="T39" s="74">
        <v>1181139.8411999999</v>
      </c>
      <c r="U39" s="74">
        <v>16341115.58640616</v>
      </c>
      <c r="V39" s="74">
        <v>3523613.6349378689</v>
      </c>
      <c r="W39" s="74">
        <v>1787156.554</v>
      </c>
      <c r="X39" s="178">
        <f t="shared" si="6"/>
        <v>1411908.466193676</v>
      </c>
      <c r="Y39" s="179">
        <f t="shared" si="7"/>
        <v>301.49657616777193</v>
      </c>
      <c r="Z39" s="74"/>
      <c r="AA39" s="84">
        <f t="shared" si="8"/>
        <v>-24588.007271906361</v>
      </c>
      <c r="AB39" s="132">
        <f t="shared" si="9"/>
        <v>-5.2504820140735342</v>
      </c>
      <c r="AD39" s="180">
        <v>44096.049922929597</v>
      </c>
      <c r="AE39" s="187">
        <v>13440.022456644338</v>
      </c>
      <c r="AF39" s="187">
        <v>8341.7966330599156</v>
      </c>
      <c r="AG39" s="187">
        <v>2767.9074334980924</v>
      </c>
      <c r="AH39" s="188">
        <v>-1803.633217732372</v>
      </c>
      <c r="AJ39" s="74">
        <f t="shared" si="10"/>
        <v>7714905.0306897443</v>
      </c>
      <c r="AK39" s="74">
        <f t="shared" si="11"/>
        <v>393713.28039999993</v>
      </c>
      <c r="AL39" s="74">
        <f t="shared" si="12"/>
        <v>12915180.929586669</v>
      </c>
      <c r="AM39" s="74">
        <f t="shared" si="19"/>
        <v>23367729.603049889</v>
      </c>
      <c r="AN39" s="74">
        <f t="shared" si="13"/>
        <v>44096.049922929597</v>
      </c>
      <c r="AO39" s="74">
        <f t="shared" si="14"/>
        <v>13440.022456644338</v>
      </c>
      <c r="AP39" s="74">
        <f t="shared" si="15"/>
        <v>8341.7966330599156</v>
      </c>
      <c r="AQ39" s="74">
        <f t="shared" si="16"/>
        <v>2767.9074334980924</v>
      </c>
      <c r="AR39" s="74">
        <f t="shared" si="17"/>
        <v>-1803.633217732372</v>
      </c>
      <c r="AS39" s="75">
        <v>1715</v>
      </c>
      <c r="AT39" s="75"/>
      <c r="AU39" s="75"/>
      <c r="AV39" s="75">
        <v>28</v>
      </c>
      <c r="AW39" s="75">
        <v>10287.999367867236</v>
      </c>
      <c r="AX39" s="75">
        <v>-2646.3845613471585</v>
      </c>
      <c r="AY39" s="75">
        <v>2467.1006325658968</v>
      </c>
      <c r="AZ39" s="316"/>
      <c r="BA39" s="74"/>
      <c r="BB39" s="74"/>
      <c r="BC39" s="74"/>
      <c r="BD39" s="74"/>
      <c r="BE39" s="74"/>
      <c r="BF39" s="74"/>
      <c r="BG39" s="74"/>
      <c r="BM39" s="316"/>
      <c r="BN39" s="74">
        <v>12071970.396950111</v>
      </c>
      <c r="BO39" s="74">
        <v>22380641.080000002</v>
      </c>
      <c r="BP39" s="74">
        <v>23533000</v>
      </c>
      <c r="BQ39" s="74">
        <v>463383.08</v>
      </c>
      <c r="BR39" s="74">
        <v>472000</v>
      </c>
      <c r="BS39" s="406">
        <f t="shared" si="20"/>
        <v>0.55033416097994203</v>
      </c>
      <c r="BT39" s="406">
        <f t="shared" si="21"/>
        <v>0.33333333333333326</v>
      </c>
      <c r="BU39" s="74">
        <f t="shared" si="22"/>
        <v>15444920.488613937</v>
      </c>
      <c r="BV39" s="316"/>
      <c r="BW39" s="74">
        <v>35439700</v>
      </c>
      <c r="BX39" s="74">
        <v>12071970.396950111</v>
      </c>
      <c r="BY39" s="74">
        <v>16658114.244849648</v>
      </c>
      <c r="BZ39" s="74">
        <v>8549495.9337599035</v>
      </c>
      <c r="CA39" s="74">
        <f t="shared" si="23"/>
        <v>62638.926461369447</v>
      </c>
      <c r="CB39" s="74">
        <f t="shared" si="24"/>
        <v>301.49657616777273</v>
      </c>
      <c r="CC39" s="74">
        <f t="shared" si="25"/>
        <v>296.24609415369753</v>
      </c>
      <c r="CD39" s="74">
        <f t="shared" si="26"/>
        <v>-5.2504820140752031</v>
      </c>
      <c r="CE39" s="74">
        <f t="shared" si="27"/>
        <v>2.8699599523050048</v>
      </c>
      <c r="CF39" s="74">
        <f t="shared" si="28"/>
        <v>1.7812933233098263</v>
      </c>
      <c r="CG39" s="74">
        <f t="shared" si="29"/>
        <v>0.59105433130431184</v>
      </c>
      <c r="CH39" s="74">
        <f t="shared" si="30"/>
        <v>-0.38514482548203544</v>
      </c>
      <c r="CI39" s="74">
        <f t="shared" si="31"/>
        <v>13440.022456644338</v>
      </c>
      <c r="CJ39" s="74">
        <f t="shared" si="32"/>
        <v>8341.7966330599156</v>
      </c>
      <c r="CK39" s="74">
        <f t="shared" si="33"/>
        <v>2767.9074334980924</v>
      </c>
      <c r="CL39" s="74">
        <f t="shared" si="34"/>
        <v>-1803.633217732372</v>
      </c>
      <c r="CM39" s="316"/>
      <c r="CN39" s="74">
        <v>14010.59704735953</v>
      </c>
      <c r="CO39" s="74">
        <v>1281.8571919999999</v>
      </c>
    </row>
    <row r="40" spans="1:93" x14ac:dyDescent="0.2">
      <c r="A40" s="74">
        <v>78</v>
      </c>
      <c r="B40" s="74" t="s">
        <v>162</v>
      </c>
      <c r="C40" s="74">
        <v>33</v>
      </c>
      <c r="D40" s="74">
        <v>7979</v>
      </c>
      <c r="E40" s="89">
        <v>19919216.144596301</v>
      </c>
      <c r="F40" s="74">
        <v>15297847.78608853</v>
      </c>
      <c r="G40" s="74">
        <v>2965904.3739999998</v>
      </c>
      <c r="H40" s="74">
        <v>3098585.5727999997</v>
      </c>
      <c r="I40" s="74">
        <v>1303131.2114411183</v>
      </c>
      <c r="J40" s="74">
        <v>1212289.1567150666</v>
      </c>
      <c r="K40" s="74">
        <v>-1543134.5041248978</v>
      </c>
      <c r="L40" s="74">
        <v>-482933</v>
      </c>
      <c r="M40" s="75">
        <v>1863000</v>
      </c>
      <c r="N40" s="75">
        <v>98004.171921084577</v>
      </c>
      <c r="O40" s="178">
        <f t="shared" si="4"/>
        <v>3893478.6242446005</v>
      </c>
      <c r="P40" s="179">
        <f t="shared" si="5"/>
        <v>487.96573809306938</v>
      </c>
      <c r="Q40" s="74"/>
      <c r="R40" s="89">
        <v>57452328.810000002</v>
      </c>
      <c r="S40" s="74">
        <v>35857755.237843528</v>
      </c>
      <c r="T40" s="74">
        <v>4647878.3591999998</v>
      </c>
      <c r="U40" s="74">
        <v>12070289.861490529</v>
      </c>
      <c r="V40" s="74">
        <v>4043148.1605037567</v>
      </c>
      <c r="W40" s="74">
        <v>4345971.3739999998</v>
      </c>
      <c r="X40" s="178">
        <f t="shared" si="6"/>
        <v>3512714.18303781</v>
      </c>
      <c r="Y40" s="179">
        <f t="shared" si="7"/>
        <v>440.24491578365837</v>
      </c>
      <c r="Z40" s="74"/>
      <c r="AA40" s="84">
        <f t="shared" si="8"/>
        <v>380764.44120679051</v>
      </c>
      <c r="AB40" s="132">
        <f t="shared" si="9"/>
        <v>47.72082230941102</v>
      </c>
      <c r="AD40" s="180">
        <v>-347526.20240419958</v>
      </c>
      <c r="AE40" s="187">
        <v>-238180.03074734152</v>
      </c>
      <c r="AF40" s="187">
        <v>-127181.50178009404</v>
      </c>
      <c r="AG40" s="187">
        <v>-16993.418697306053</v>
      </c>
      <c r="AH40" s="188">
        <v>-3073.0705625211608</v>
      </c>
      <c r="AJ40" s="74">
        <f t="shared" si="10"/>
        <v>20559907.451754998</v>
      </c>
      <c r="AK40" s="74">
        <f t="shared" si="11"/>
        <v>1549292.7864000001</v>
      </c>
      <c r="AL40" s="74">
        <f t="shared" si="12"/>
        <v>10767158.650049411</v>
      </c>
      <c r="AM40" s="74">
        <f t="shared" si="19"/>
        <v>37533112.665403701</v>
      </c>
      <c r="AN40" s="74">
        <f t="shared" si="13"/>
        <v>-347526.20240419958</v>
      </c>
      <c r="AO40" s="74">
        <f t="shared" si="14"/>
        <v>-238180.03074734152</v>
      </c>
      <c r="AP40" s="74">
        <f t="shared" si="15"/>
        <v>-127181.50178009404</v>
      </c>
      <c r="AQ40" s="74">
        <f t="shared" si="16"/>
        <v>-16993.418697306053</v>
      </c>
      <c r="AR40" s="74">
        <f t="shared" si="17"/>
        <v>-3073.0705625211608</v>
      </c>
      <c r="AS40" s="75">
        <v>3548</v>
      </c>
      <c r="AT40" s="75"/>
      <c r="AU40" s="75"/>
      <c r="AV40" s="75">
        <v>362</v>
      </c>
      <c r="AW40" s="75">
        <v>11097.807368744414</v>
      </c>
      <c r="AX40" s="75">
        <v>975.17891923836919</v>
      </c>
      <c r="AY40" s="75">
        <v>2830.8590037886902</v>
      </c>
      <c r="AZ40" s="316"/>
      <c r="BA40" s="74"/>
      <c r="BB40" s="74"/>
      <c r="BC40" s="74"/>
      <c r="BD40" s="74"/>
      <c r="BE40" s="74"/>
      <c r="BF40" s="74"/>
      <c r="BG40" s="74"/>
      <c r="BM40" s="316"/>
      <c r="BN40" s="74">
        <v>19919216.144596301</v>
      </c>
      <c r="BO40" s="74">
        <v>34960866.499999993</v>
      </c>
      <c r="BP40" s="74">
        <v>37030000</v>
      </c>
      <c r="BQ40" s="74">
        <v>747346.57000000007</v>
      </c>
      <c r="BR40" s="74">
        <v>646000</v>
      </c>
      <c r="BS40" s="406">
        <f t="shared" si="20"/>
        <v>0.57337408087543917</v>
      </c>
      <c r="BT40" s="406">
        <f t="shared" si="21"/>
        <v>0.33333333333333337</v>
      </c>
      <c r="BU40" s="74">
        <f t="shared" si="22"/>
        <v>12054883.149713201</v>
      </c>
      <c r="BV40" s="316"/>
      <c r="BW40" s="74">
        <v>57452328.810000002</v>
      </c>
      <c r="BX40" s="74">
        <v>19919216.144596301</v>
      </c>
      <c r="BY40" s="74">
        <v>43471537.971043527</v>
      </c>
      <c r="BZ40" s="74">
        <v>21362337.732888531</v>
      </c>
      <c r="CA40" s="74">
        <f t="shared" si="23"/>
        <v>-1543134.5041249066</v>
      </c>
      <c r="CB40" s="74">
        <f t="shared" si="24"/>
        <v>440.24491578365866</v>
      </c>
      <c r="CC40" s="74">
        <f t="shared" si="25"/>
        <v>487.96573809306818</v>
      </c>
      <c r="CD40" s="74">
        <f t="shared" si="26"/>
        <v>47.720822309409527</v>
      </c>
      <c r="CE40" s="74">
        <f t="shared" si="27"/>
        <v>-29.850862357104521</v>
      </c>
      <c r="CF40" s="74">
        <f t="shared" si="28"/>
        <v>-15.939528986099701</v>
      </c>
      <c r="CG40" s="74">
        <f t="shared" si="29"/>
        <v>-2.1297679781052157</v>
      </c>
      <c r="CH40" s="74">
        <f t="shared" si="30"/>
        <v>-0.38514482548203544</v>
      </c>
      <c r="CI40" s="74">
        <f t="shared" si="31"/>
        <v>-238180.03074733698</v>
      </c>
      <c r="CJ40" s="74">
        <f t="shared" si="32"/>
        <v>-127181.50178008951</v>
      </c>
      <c r="CK40" s="74">
        <f t="shared" si="33"/>
        <v>-16993.418697301517</v>
      </c>
      <c r="CL40" s="74">
        <f t="shared" si="34"/>
        <v>-3073.0705625211608</v>
      </c>
      <c r="CM40" s="316"/>
      <c r="CN40" s="74">
        <v>35762.70179156775</v>
      </c>
      <c r="CO40" s="74">
        <v>5044.2090720000006</v>
      </c>
    </row>
    <row r="41" spans="1:93" x14ac:dyDescent="0.2">
      <c r="A41" s="74">
        <v>79</v>
      </c>
      <c r="B41" s="74" t="s">
        <v>163</v>
      </c>
      <c r="C41" s="74">
        <v>4</v>
      </c>
      <c r="D41" s="74">
        <v>6785</v>
      </c>
      <c r="E41" s="89">
        <v>17195054.191208117</v>
      </c>
      <c r="F41" s="74">
        <v>11219487.409054356</v>
      </c>
      <c r="G41" s="74">
        <v>3035570.0728000002</v>
      </c>
      <c r="H41" s="74">
        <v>6675002.9093999993</v>
      </c>
      <c r="I41" s="74">
        <v>174320.1163343853</v>
      </c>
      <c r="J41" s="74">
        <v>1085549.2301670625</v>
      </c>
      <c r="K41" s="74">
        <v>-870011.97962409223</v>
      </c>
      <c r="L41" s="74">
        <v>-374540</v>
      </c>
      <c r="M41" s="75">
        <v>28400</v>
      </c>
      <c r="N41" s="75">
        <v>82558.733307840244</v>
      </c>
      <c r="O41" s="178">
        <f t="shared" si="4"/>
        <v>3861282.3002314344</v>
      </c>
      <c r="P41" s="179">
        <f t="shared" si="5"/>
        <v>569.09098013727851</v>
      </c>
      <c r="Q41" s="74"/>
      <c r="R41" s="89">
        <v>50275471.079999998</v>
      </c>
      <c r="S41" s="74">
        <v>26506780.494542506</v>
      </c>
      <c r="T41" s="74">
        <v>10012504.3641</v>
      </c>
      <c r="U41" s="74">
        <v>10445845.524617717</v>
      </c>
      <c r="V41" s="74">
        <v>3620453.3784490628</v>
      </c>
      <c r="W41" s="74">
        <v>2689430.0728000002</v>
      </c>
      <c r="X41" s="178">
        <f t="shared" si="6"/>
        <v>2999542.7545092851</v>
      </c>
      <c r="Y41" s="179">
        <f t="shared" si="7"/>
        <v>442.08441481345398</v>
      </c>
      <c r="Z41" s="74"/>
      <c r="AA41" s="84">
        <f t="shared" si="8"/>
        <v>861739.54572214931</v>
      </c>
      <c r="AB41" s="132">
        <f t="shared" si="9"/>
        <v>127.00656532382452</v>
      </c>
      <c r="AD41" s="180">
        <v>-833475.17045262572</v>
      </c>
      <c r="AE41" s="187">
        <v>-740491.86744575994</v>
      </c>
      <c r="AF41" s="187">
        <v>-646103.47052349232</v>
      </c>
      <c r="AG41" s="187">
        <v>-552404.24208424974</v>
      </c>
      <c r="AH41" s="188">
        <v>-457252.75336304505</v>
      </c>
      <c r="AJ41" s="74">
        <f t="shared" si="10"/>
        <v>15287293.08548815</v>
      </c>
      <c r="AK41" s="74">
        <f t="shared" si="11"/>
        <v>3337501.4547000006</v>
      </c>
      <c r="AL41" s="74">
        <f t="shared" si="12"/>
        <v>10271525.408283331</v>
      </c>
      <c r="AM41" s="74">
        <f t="shared" si="19"/>
        <v>33080416.888791882</v>
      </c>
      <c r="AN41" s="74">
        <f t="shared" si="13"/>
        <v>-833475.17045262572</v>
      </c>
      <c r="AO41" s="74">
        <f t="shared" si="14"/>
        <v>-740491.86744575994</v>
      </c>
      <c r="AP41" s="74">
        <f t="shared" si="15"/>
        <v>-646103.47052349232</v>
      </c>
      <c r="AQ41" s="74">
        <f t="shared" si="16"/>
        <v>-552404.24208424974</v>
      </c>
      <c r="AR41" s="74">
        <f t="shared" si="17"/>
        <v>-457252.75336304505</v>
      </c>
      <c r="AS41" s="75">
        <v>2785</v>
      </c>
      <c r="AT41" s="75"/>
      <c r="AU41" s="75"/>
      <c r="AV41" s="75">
        <v>0</v>
      </c>
      <c r="AW41" s="75">
        <v>11370.420276375347</v>
      </c>
      <c r="AX41" s="75">
        <v>814.21963212843298</v>
      </c>
      <c r="AY41" s="75">
        <v>2534.9041482820003</v>
      </c>
      <c r="AZ41" s="316"/>
      <c r="BA41" s="74"/>
      <c r="BB41" s="74"/>
      <c r="BC41" s="74"/>
      <c r="BD41" s="74"/>
      <c r="BE41" s="74"/>
      <c r="BF41" s="74"/>
      <c r="BG41" s="74"/>
      <c r="BM41" s="316"/>
      <c r="BN41" s="74">
        <v>17195054.191208117</v>
      </c>
      <c r="BO41" s="74">
        <v>31290049.360000007</v>
      </c>
      <c r="BP41" s="74">
        <v>32599000</v>
      </c>
      <c r="BQ41" s="74">
        <v>717850.42</v>
      </c>
      <c r="BR41" s="74">
        <v>737000</v>
      </c>
      <c r="BS41" s="406">
        <f t="shared" si="20"/>
        <v>0.5767314174060354</v>
      </c>
      <c r="BT41" s="406">
        <f t="shared" si="21"/>
        <v>0.33333333333333337</v>
      </c>
      <c r="BU41" s="74">
        <f t="shared" si="22"/>
        <v>11936417.576941241</v>
      </c>
      <c r="BV41" s="316"/>
      <c r="BW41" s="74">
        <v>50275471.079999998</v>
      </c>
      <c r="BX41" s="74">
        <v>17195054.191208117</v>
      </c>
      <c r="BY41" s="74">
        <v>39554854.931442507</v>
      </c>
      <c r="BZ41" s="74">
        <v>20930060.391254358</v>
      </c>
      <c r="CA41" s="74">
        <f t="shared" si="23"/>
        <v>-870011.97962409875</v>
      </c>
      <c r="CB41" s="74">
        <f t="shared" si="24"/>
        <v>442.0844148134542</v>
      </c>
      <c r="CC41" s="74">
        <f t="shared" si="25"/>
        <v>569.0909801372776</v>
      </c>
      <c r="CD41" s="74">
        <f t="shared" si="26"/>
        <v>127.00656532382339</v>
      </c>
      <c r="CE41" s="74">
        <f t="shared" si="27"/>
        <v>-109.13660537151839</v>
      </c>
      <c r="CF41" s="74">
        <f t="shared" si="28"/>
        <v>-95.22527200051357</v>
      </c>
      <c r="CG41" s="74">
        <f t="shared" si="29"/>
        <v>-81.415510992519089</v>
      </c>
      <c r="CH41" s="74">
        <f t="shared" si="30"/>
        <v>-67.391710149305425</v>
      </c>
      <c r="CI41" s="74">
        <f t="shared" si="31"/>
        <v>-740491.86744575226</v>
      </c>
      <c r="CJ41" s="74">
        <f t="shared" si="32"/>
        <v>-646103.47052348452</v>
      </c>
      <c r="CK41" s="74">
        <f t="shared" si="33"/>
        <v>-552404.24208424205</v>
      </c>
      <c r="CL41" s="74">
        <f t="shared" si="34"/>
        <v>-457252.75336303731</v>
      </c>
      <c r="CM41" s="316"/>
      <c r="CN41" s="74">
        <v>26577.62586080929</v>
      </c>
      <c r="CO41" s="74">
        <v>10866.283805999999</v>
      </c>
    </row>
    <row r="42" spans="1:93" x14ac:dyDescent="0.2">
      <c r="A42" s="74">
        <v>81</v>
      </c>
      <c r="B42" s="74" t="s">
        <v>164</v>
      </c>
      <c r="C42" s="74">
        <v>7</v>
      </c>
      <c r="D42" s="74">
        <v>2621</v>
      </c>
      <c r="E42" s="89">
        <v>6430537.1632038672</v>
      </c>
      <c r="F42" s="74">
        <v>3281726.8294390682</v>
      </c>
      <c r="G42" s="74">
        <v>1381707.1209999998</v>
      </c>
      <c r="H42" s="74">
        <v>992111.53159999987</v>
      </c>
      <c r="I42" s="74">
        <v>228979.61501575317</v>
      </c>
      <c r="J42" s="74">
        <v>634456.15864746901</v>
      </c>
      <c r="K42" s="74">
        <v>290115.99736029241</v>
      </c>
      <c r="L42" s="74">
        <v>-671936</v>
      </c>
      <c r="M42" s="75">
        <v>-19248</v>
      </c>
      <c r="N42" s="75">
        <v>21208.167236442296</v>
      </c>
      <c r="O42" s="178">
        <f t="shared" si="4"/>
        <v>-291415.7429048419</v>
      </c>
      <c r="P42" s="179">
        <f t="shared" si="5"/>
        <v>-111.18494578589923</v>
      </c>
      <c r="Q42" s="74"/>
      <c r="R42" s="89">
        <v>20186221</v>
      </c>
      <c r="S42" s="74">
        <v>7570116.5308417045</v>
      </c>
      <c r="T42" s="74">
        <v>1488167.2973999998</v>
      </c>
      <c r="U42" s="74">
        <v>8431737.0642851871</v>
      </c>
      <c r="V42" s="74">
        <v>2115997.0264080423</v>
      </c>
      <c r="W42" s="74">
        <v>690523.12099999981</v>
      </c>
      <c r="X42" s="178">
        <f t="shared" si="6"/>
        <v>110320.03993493319</v>
      </c>
      <c r="Y42" s="179">
        <f t="shared" si="7"/>
        <v>42.090820272771154</v>
      </c>
      <c r="Z42" s="74"/>
      <c r="AA42" s="84">
        <f t="shared" si="8"/>
        <v>-401735.78283977509</v>
      </c>
      <c r="AB42" s="132">
        <f t="shared" si="9"/>
        <v>-153.2757660586704</v>
      </c>
      <c r="AD42" s="180">
        <v>412654.12146636535</v>
      </c>
      <c r="AE42" s="187">
        <v>369942.94787476555</v>
      </c>
      <c r="AF42" s="187">
        <v>327774.55264016922</v>
      </c>
      <c r="AG42" s="187">
        <v>285339.93624212273</v>
      </c>
      <c r="AH42" s="188">
        <v>243466.31825218574</v>
      </c>
      <c r="AJ42" s="74">
        <f t="shared" si="10"/>
        <v>4288389.7014026362</v>
      </c>
      <c r="AK42" s="74">
        <f t="shared" si="11"/>
        <v>496055.76579999994</v>
      </c>
      <c r="AL42" s="74">
        <f t="shared" si="12"/>
        <v>8202757.4492694335</v>
      </c>
      <c r="AM42" s="74">
        <f t="shared" si="19"/>
        <v>13755683.836796133</v>
      </c>
      <c r="AN42" s="74">
        <f t="shared" si="13"/>
        <v>412654.12146636535</v>
      </c>
      <c r="AO42" s="74">
        <f t="shared" si="14"/>
        <v>369942.94787476555</v>
      </c>
      <c r="AP42" s="74">
        <f t="shared" si="15"/>
        <v>327774.55264016922</v>
      </c>
      <c r="AQ42" s="74">
        <f t="shared" si="16"/>
        <v>285339.93624212273</v>
      </c>
      <c r="AR42" s="74">
        <f t="shared" si="17"/>
        <v>243466.31825218574</v>
      </c>
      <c r="AS42" s="75">
        <v>954</v>
      </c>
      <c r="AT42" s="75"/>
      <c r="AU42" s="75"/>
      <c r="AV42" s="75">
        <v>0</v>
      </c>
      <c r="AW42" s="75">
        <v>6826.6060428355131</v>
      </c>
      <c r="AX42" s="75">
        <v>-1168.9634110535933</v>
      </c>
      <c r="AY42" s="75">
        <v>1481.5408677605733</v>
      </c>
      <c r="AZ42" s="316"/>
      <c r="BA42" s="74"/>
      <c r="BB42" s="74"/>
      <c r="BC42" s="74"/>
      <c r="BD42" s="74"/>
      <c r="BE42" s="74"/>
      <c r="BF42" s="74"/>
      <c r="BG42" s="74"/>
      <c r="BM42" s="316"/>
      <c r="BN42" s="74">
        <v>6430537.1632038672</v>
      </c>
      <c r="BO42" s="74">
        <v>12932876.599999998</v>
      </c>
      <c r="BP42" s="74">
        <v>13701000</v>
      </c>
      <c r="BQ42" s="74">
        <v>268719.94</v>
      </c>
      <c r="BR42" s="74">
        <v>303000</v>
      </c>
      <c r="BS42" s="406">
        <f t="shared" si="20"/>
        <v>0.56648925864366051</v>
      </c>
      <c r="BT42" s="406">
        <f t="shared" si="21"/>
        <v>0.33333333333333337</v>
      </c>
      <c r="BU42" s="74">
        <f t="shared" si="22"/>
        <v>9974414.3143902998</v>
      </c>
      <c r="BV42" s="316"/>
      <c r="BW42" s="74">
        <v>20186221</v>
      </c>
      <c r="BX42" s="74">
        <v>6430537.1632038672</v>
      </c>
      <c r="BY42" s="74">
        <v>10439990.949241703</v>
      </c>
      <c r="BZ42" s="74">
        <v>5655545.4820390679</v>
      </c>
      <c r="CA42" s="74">
        <f t="shared" si="23"/>
        <v>290115.9973602898</v>
      </c>
      <c r="CB42" s="74">
        <f t="shared" si="24"/>
        <v>42.090820272771154</v>
      </c>
      <c r="CC42" s="74">
        <f t="shared" si="25"/>
        <v>-111.18494578590041</v>
      </c>
      <c r="CD42" s="74">
        <f t="shared" si="26"/>
        <v>-153.27576605867156</v>
      </c>
      <c r="CE42" s="74">
        <f t="shared" si="27"/>
        <v>141.14572601097657</v>
      </c>
      <c r="CF42" s="74">
        <f t="shared" si="28"/>
        <v>125.05705938198139</v>
      </c>
      <c r="CG42" s="74">
        <f t="shared" si="29"/>
        <v>108.86682038997587</v>
      </c>
      <c r="CH42" s="74">
        <f t="shared" si="30"/>
        <v>92.890621233189535</v>
      </c>
      <c r="CI42" s="74">
        <f t="shared" si="31"/>
        <v>369942.94787476963</v>
      </c>
      <c r="CJ42" s="74">
        <f t="shared" si="32"/>
        <v>327774.55264017323</v>
      </c>
      <c r="CK42" s="74">
        <f t="shared" si="33"/>
        <v>285339.93624212674</v>
      </c>
      <c r="CL42" s="74">
        <f t="shared" si="34"/>
        <v>243466.31825218978</v>
      </c>
      <c r="CM42" s="316"/>
      <c r="CN42" s="74">
        <v>7822.2121709325393</v>
      </c>
      <c r="CO42" s="74">
        <v>1615.065284</v>
      </c>
    </row>
    <row r="43" spans="1:93" x14ac:dyDescent="0.2">
      <c r="A43" s="74">
        <v>82</v>
      </c>
      <c r="B43" s="74" t="s">
        <v>165</v>
      </c>
      <c r="C43" s="74">
        <v>5</v>
      </c>
      <c r="D43" s="74">
        <v>9405</v>
      </c>
      <c r="E43" s="89">
        <v>23069626.950111344</v>
      </c>
      <c r="F43" s="74">
        <v>15148144.723437956</v>
      </c>
      <c r="G43" s="74">
        <v>2656850.0359999998</v>
      </c>
      <c r="H43" s="74">
        <v>1162079.0677999998</v>
      </c>
      <c r="I43" s="74">
        <v>5482583.8405636521</v>
      </c>
      <c r="J43" s="74">
        <v>1415827.516264678</v>
      </c>
      <c r="K43" s="74">
        <v>348473.04083571001</v>
      </c>
      <c r="L43" s="74">
        <v>-1911323</v>
      </c>
      <c r="M43" s="75">
        <v>79000</v>
      </c>
      <c r="N43" s="75">
        <v>101769.19911252012</v>
      </c>
      <c r="O43" s="178">
        <f t="shared" si="4"/>
        <v>1413777.4739031717</v>
      </c>
      <c r="P43" s="179">
        <f t="shared" si="5"/>
        <v>150.32190046817348</v>
      </c>
      <c r="Q43" s="74"/>
      <c r="R43" s="89">
        <v>54471985.770000003</v>
      </c>
      <c r="S43" s="74">
        <v>37525674.78050556</v>
      </c>
      <c r="T43" s="74">
        <v>1743118.6017</v>
      </c>
      <c r="U43" s="74">
        <v>11129283.066069171</v>
      </c>
      <c r="V43" s="74">
        <v>4721976.0947854333</v>
      </c>
      <c r="W43" s="74">
        <v>824527.03599999985</v>
      </c>
      <c r="X43" s="178">
        <f t="shared" si="6"/>
        <v>1472593.8090601638</v>
      </c>
      <c r="Y43" s="179">
        <f t="shared" si="7"/>
        <v>156.57563094738583</v>
      </c>
      <c r="Z43" s="74"/>
      <c r="AA43" s="84">
        <f t="shared" si="8"/>
        <v>-58816.335156992078</v>
      </c>
      <c r="AB43" s="132">
        <f t="shared" si="9"/>
        <v>-6.2537304792123418</v>
      </c>
      <c r="AD43" s="180">
        <v>97994.883338258747</v>
      </c>
      <c r="AE43" s="187">
        <v>26991.973351428569</v>
      </c>
      <c r="AF43" s="187">
        <v>16753.063705728917</v>
      </c>
      <c r="AG43" s="187">
        <v>5558.865985917053</v>
      </c>
      <c r="AH43" s="188">
        <v>-3622.2870836585435</v>
      </c>
      <c r="AJ43" s="74">
        <f t="shared" si="10"/>
        <v>22377530.057067603</v>
      </c>
      <c r="AK43" s="74">
        <f t="shared" si="11"/>
        <v>581039.53390000015</v>
      </c>
      <c r="AL43" s="74">
        <f t="shared" si="12"/>
        <v>5646699.2255055187</v>
      </c>
      <c r="AM43" s="74">
        <f t="shared" si="19"/>
        <v>31402358.819888659</v>
      </c>
      <c r="AN43" s="74">
        <f t="shared" si="13"/>
        <v>97994.883338258747</v>
      </c>
      <c r="AO43" s="74">
        <f t="shared" si="14"/>
        <v>26991.973351428569</v>
      </c>
      <c r="AP43" s="74">
        <f t="shared" si="15"/>
        <v>16753.063705728917</v>
      </c>
      <c r="AQ43" s="74">
        <f t="shared" si="16"/>
        <v>5558.865985917053</v>
      </c>
      <c r="AR43" s="74">
        <f t="shared" si="17"/>
        <v>-3622.2870836585435</v>
      </c>
      <c r="AS43" s="75">
        <v>2219</v>
      </c>
      <c r="AT43" s="75"/>
      <c r="AU43" s="75"/>
      <c r="AV43" s="75">
        <v>75</v>
      </c>
      <c r="AW43" s="75">
        <v>5793.5285690549817</v>
      </c>
      <c r="AX43" s="75">
        <v>-30.750047210129861</v>
      </c>
      <c r="AY43" s="75">
        <v>3306.1485785207556</v>
      </c>
      <c r="AZ43" s="316"/>
      <c r="BA43" s="74"/>
      <c r="BB43" s="74"/>
      <c r="BC43" s="74"/>
      <c r="BD43" s="74"/>
      <c r="BE43" s="74"/>
      <c r="BF43" s="74"/>
      <c r="BG43" s="74"/>
      <c r="BM43" s="316"/>
      <c r="BN43" s="74">
        <v>23069626.950111344</v>
      </c>
      <c r="BO43" s="74">
        <v>28083839.620000008</v>
      </c>
      <c r="BP43" s="74">
        <v>32085000</v>
      </c>
      <c r="BQ43" s="74">
        <v>708639.96</v>
      </c>
      <c r="BR43" s="74">
        <v>717000</v>
      </c>
      <c r="BS43" s="406">
        <f t="shared" si="20"/>
        <v>0.59632585391089732</v>
      </c>
      <c r="BT43" s="406">
        <f t="shared" si="21"/>
        <v>0.33333333333333337</v>
      </c>
      <c r="BU43" s="74">
        <f t="shared" si="22"/>
        <v>9301320.8448619843</v>
      </c>
      <c r="BV43" s="316"/>
      <c r="BW43" s="74">
        <v>54471985.770000003</v>
      </c>
      <c r="BX43" s="74">
        <v>23069626.950111344</v>
      </c>
      <c r="BY43" s="74">
        <v>41925643.418205559</v>
      </c>
      <c r="BZ43" s="74">
        <v>18967073.827237956</v>
      </c>
      <c r="CA43" s="74">
        <f t="shared" si="23"/>
        <v>348473.04083570524</v>
      </c>
      <c r="CB43" s="74">
        <f t="shared" si="24"/>
        <v>156.57563094738558</v>
      </c>
      <c r="CC43" s="74">
        <f t="shared" si="25"/>
        <v>150.32190046817294</v>
      </c>
      <c r="CD43" s="74">
        <f t="shared" si="26"/>
        <v>-6.2537304792126349</v>
      </c>
      <c r="CE43" s="74">
        <f t="shared" si="27"/>
        <v>2.8699599523050048</v>
      </c>
      <c r="CF43" s="74">
        <f t="shared" si="28"/>
        <v>1.7812933233098263</v>
      </c>
      <c r="CG43" s="74">
        <f t="shared" si="29"/>
        <v>0.59105433130431184</v>
      </c>
      <c r="CH43" s="74">
        <f t="shared" si="30"/>
        <v>-0.38514482548203544</v>
      </c>
      <c r="CI43" s="74">
        <f t="shared" si="31"/>
        <v>26991.973351428569</v>
      </c>
      <c r="CJ43" s="74">
        <f t="shared" si="32"/>
        <v>16753.063705728917</v>
      </c>
      <c r="CK43" s="74">
        <f t="shared" si="33"/>
        <v>5558.865985917053</v>
      </c>
      <c r="CL43" s="74">
        <f t="shared" si="34"/>
        <v>-3622.2870836585435</v>
      </c>
      <c r="CM43" s="316"/>
      <c r="CN43" s="74">
        <v>38467.296163918771</v>
      </c>
      <c r="CO43" s="74">
        <v>1891.7566219999999</v>
      </c>
    </row>
    <row r="44" spans="1:93" x14ac:dyDescent="0.2">
      <c r="A44" s="74">
        <v>86</v>
      </c>
      <c r="B44" s="74" t="s">
        <v>166</v>
      </c>
      <c r="C44" s="74">
        <v>5</v>
      </c>
      <c r="D44" s="74">
        <v>8143</v>
      </c>
      <c r="E44" s="89">
        <v>20511269.901115619</v>
      </c>
      <c r="F44" s="74">
        <v>13712536.123967169</v>
      </c>
      <c r="G44" s="74">
        <v>1747340.831</v>
      </c>
      <c r="H44" s="74">
        <v>947051.36719999998</v>
      </c>
      <c r="I44" s="74">
        <v>5442011.2306246255</v>
      </c>
      <c r="J44" s="74">
        <v>1426950.1314243437</v>
      </c>
      <c r="K44" s="74">
        <v>246262.38394632383</v>
      </c>
      <c r="L44" s="74">
        <v>-1024987</v>
      </c>
      <c r="M44" s="75">
        <v>-107000</v>
      </c>
      <c r="N44" s="75">
        <v>83666.12958391018</v>
      </c>
      <c r="O44" s="178">
        <f t="shared" si="4"/>
        <v>1962561.2966307551</v>
      </c>
      <c r="P44" s="179">
        <f t="shared" si="5"/>
        <v>241.01207130428037</v>
      </c>
      <c r="Q44" s="74"/>
      <c r="R44" s="89">
        <v>49882000</v>
      </c>
      <c r="S44" s="74">
        <v>32113627.468013629</v>
      </c>
      <c r="T44" s="74">
        <v>1420577.0508000001</v>
      </c>
      <c r="U44" s="74">
        <v>12856582.54332627</v>
      </c>
      <c r="V44" s="74">
        <v>4759071.5193990218</v>
      </c>
      <c r="W44" s="74">
        <v>615353.83100000001</v>
      </c>
      <c r="X44" s="178">
        <f t="shared" si="6"/>
        <v>1883212.4125389159</v>
      </c>
      <c r="Y44" s="179">
        <f t="shared" si="7"/>
        <v>231.26764245842023</v>
      </c>
      <c r="Z44" s="74"/>
      <c r="AA44" s="84">
        <f t="shared" si="8"/>
        <v>79348.884091839194</v>
      </c>
      <c r="AB44" s="132">
        <f t="shared" si="9"/>
        <v>9.7444288458601491</v>
      </c>
      <c r="AD44" s="180">
        <v>-45427.468053555211</v>
      </c>
      <c r="AE44" s="187">
        <v>23370.083891619655</v>
      </c>
      <c r="AF44" s="187">
        <v>14505.071531711916</v>
      </c>
      <c r="AG44" s="187">
        <v>4812.9554198110118</v>
      </c>
      <c r="AH44" s="188">
        <v>-3136.2343139002146</v>
      </c>
      <c r="AJ44" s="74">
        <f t="shared" si="10"/>
        <v>18401091.344046459</v>
      </c>
      <c r="AK44" s="74">
        <f t="shared" si="11"/>
        <v>473525.68360000011</v>
      </c>
      <c r="AL44" s="74">
        <f t="shared" si="12"/>
        <v>7414571.3127016444</v>
      </c>
      <c r="AM44" s="74">
        <f t="shared" si="19"/>
        <v>29370730.098884381</v>
      </c>
      <c r="AN44" s="74">
        <f t="shared" si="13"/>
        <v>-45427.468053555211</v>
      </c>
      <c r="AO44" s="74">
        <f t="shared" si="14"/>
        <v>23370.083891619655</v>
      </c>
      <c r="AP44" s="74">
        <f t="shared" si="15"/>
        <v>14505.071531711916</v>
      </c>
      <c r="AQ44" s="74">
        <f t="shared" si="16"/>
        <v>4812.9554198110118</v>
      </c>
      <c r="AR44" s="74">
        <f t="shared" si="17"/>
        <v>-3136.2343139002146</v>
      </c>
      <c r="AS44" s="75">
        <v>2277</v>
      </c>
      <c r="AT44" s="75"/>
      <c r="AU44" s="75"/>
      <c r="AV44" s="75">
        <v>32</v>
      </c>
      <c r="AW44" s="75">
        <v>6841.3301998449924</v>
      </c>
      <c r="AX44" s="75">
        <v>-820.29776541901947</v>
      </c>
      <c r="AY44" s="75">
        <v>3332.1213879746783</v>
      </c>
      <c r="AZ44" s="316"/>
      <c r="BA44" s="74"/>
      <c r="BB44" s="74"/>
      <c r="BC44" s="74"/>
      <c r="BD44" s="74"/>
      <c r="BE44" s="74"/>
      <c r="BF44" s="74"/>
      <c r="BG44" s="74"/>
      <c r="BM44" s="316"/>
      <c r="BN44" s="74">
        <v>20511269.901115619</v>
      </c>
      <c r="BO44" s="74">
        <v>27611935.219999999</v>
      </c>
      <c r="BP44" s="74">
        <v>29442000</v>
      </c>
      <c r="BQ44" s="74">
        <v>681815.22</v>
      </c>
      <c r="BR44" s="74">
        <v>641000</v>
      </c>
      <c r="BS44" s="406">
        <f t="shared" si="20"/>
        <v>0.57299946455362716</v>
      </c>
      <c r="BT44" s="406">
        <f t="shared" si="21"/>
        <v>0.33333333333333337</v>
      </c>
      <c r="BU44" s="74">
        <f t="shared" si="22"/>
        <v>10992955.084622646</v>
      </c>
      <c r="BV44" s="316"/>
      <c r="BW44" s="74">
        <v>49882000</v>
      </c>
      <c r="BX44" s="74">
        <v>20511269.901115619</v>
      </c>
      <c r="BY44" s="74">
        <v>35281545.349813625</v>
      </c>
      <c r="BZ44" s="74">
        <v>16406928.322167169</v>
      </c>
      <c r="CA44" s="74">
        <f t="shared" si="23"/>
        <v>246262.38394631722</v>
      </c>
      <c r="CB44" s="74">
        <f t="shared" si="24"/>
        <v>231.26764245842077</v>
      </c>
      <c r="CC44" s="74">
        <f t="shared" si="25"/>
        <v>241.0120713042794</v>
      </c>
      <c r="CD44" s="74">
        <f t="shared" si="26"/>
        <v>9.7444288458586357</v>
      </c>
      <c r="CE44" s="74">
        <f t="shared" si="27"/>
        <v>2.8699599523050048</v>
      </c>
      <c r="CF44" s="74">
        <f t="shared" si="28"/>
        <v>1.7812933233098263</v>
      </c>
      <c r="CG44" s="74">
        <f t="shared" si="29"/>
        <v>0.59105433130431184</v>
      </c>
      <c r="CH44" s="74">
        <f t="shared" si="30"/>
        <v>-0.38514482548203544</v>
      </c>
      <c r="CI44" s="74">
        <f t="shared" si="31"/>
        <v>23370.083891619655</v>
      </c>
      <c r="CJ44" s="74">
        <f t="shared" si="32"/>
        <v>14505.071531711916</v>
      </c>
      <c r="CK44" s="74">
        <f t="shared" si="33"/>
        <v>4812.9554198110118</v>
      </c>
      <c r="CL44" s="74">
        <f t="shared" si="34"/>
        <v>-3136.2343139002146</v>
      </c>
      <c r="CM44" s="316"/>
      <c r="CN44" s="74">
        <v>32112.760226991973</v>
      </c>
      <c r="CO44" s="74">
        <v>1541.711528</v>
      </c>
    </row>
    <row r="45" spans="1:93" x14ac:dyDescent="0.2">
      <c r="A45" s="74">
        <v>90</v>
      </c>
      <c r="B45" s="74" t="s">
        <v>168</v>
      </c>
      <c r="C45" s="74">
        <v>12</v>
      </c>
      <c r="D45" s="74">
        <v>3136</v>
      </c>
      <c r="E45" s="89">
        <v>9105403.8339007385</v>
      </c>
      <c r="F45" s="74">
        <v>4017746.5035679843</v>
      </c>
      <c r="G45" s="74">
        <v>1412738.6435</v>
      </c>
      <c r="H45" s="74">
        <v>1631273.8344000001</v>
      </c>
      <c r="I45" s="74">
        <v>1198819.3265985141</v>
      </c>
      <c r="J45" s="74">
        <v>717108.65552849812</v>
      </c>
      <c r="K45" s="74">
        <v>94114.218245721509</v>
      </c>
      <c r="L45" s="74">
        <v>-239617</v>
      </c>
      <c r="M45" s="75">
        <v>380000</v>
      </c>
      <c r="N45" s="75">
        <v>26849.025870910591</v>
      </c>
      <c r="O45" s="178">
        <f t="shared" si="4"/>
        <v>133629.37381089106</v>
      </c>
      <c r="P45" s="179">
        <f t="shared" si="5"/>
        <v>42.611407465207606</v>
      </c>
      <c r="Q45" s="74"/>
      <c r="R45" s="89">
        <v>27629512</v>
      </c>
      <c r="S45" s="74">
        <v>9259101.6260268297</v>
      </c>
      <c r="T45" s="74">
        <v>2446910.7516000001</v>
      </c>
      <c r="U45" s="74">
        <v>11424033.298132936</v>
      </c>
      <c r="V45" s="74">
        <v>2391654.2727626096</v>
      </c>
      <c r="W45" s="74">
        <v>1553121.6435</v>
      </c>
      <c r="X45" s="178">
        <f t="shared" si="6"/>
        <v>-554690.40797762573</v>
      </c>
      <c r="Y45" s="179">
        <f t="shared" si="7"/>
        <v>-176.87831887041636</v>
      </c>
      <c r="Z45" s="74"/>
      <c r="AA45" s="84">
        <f t="shared" si="8"/>
        <v>688319.78178851679</v>
      </c>
      <c r="AB45" s="132">
        <f t="shared" si="9"/>
        <v>219.48972633562397</v>
      </c>
      <c r="AD45" s="180">
        <v>-675256.10001324385</v>
      </c>
      <c r="AE45" s="187">
        <v>-632279.58737808827</v>
      </c>
      <c r="AF45" s="187">
        <v>-588653.6459266172</v>
      </c>
      <c r="AG45" s="187">
        <v>-545346.23540554638</v>
      </c>
      <c r="AH45" s="188">
        <v>-501367.59596122842</v>
      </c>
      <c r="AJ45" s="74">
        <f t="shared" si="10"/>
        <v>5241355.1224588454</v>
      </c>
      <c r="AK45" s="74">
        <f t="shared" si="11"/>
        <v>815636.91720000003</v>
      </c>
      <c r="AL45" s="74">
        <f t="shared" si="12"/>
        <v>10225213.971534422</v>
      </c>
      <c r="AM45" s="74">
        <f t="shared" si="19"/>
        <v>18524108.166099261</v>
      </c>
      <c r="AN45" s="74">
        <f t="shared" si="13"/>
        <v>-675256.10001324385</v>
      </c>
      <c r="AO45" s="74">
        <f t="shared" si="14"/>
        <v>-632279.58737808827</v>
      </c>
      <c r="AP45" s="74">
        <f t="shared" si="15"/>
        <v>-588653.6459266172</v>
      </c>
      <c r="AQ45" s="74">
        <f t="shared" si="16"/>
        <v>-545346.23540554638</v>
      </c>
      <c r="AR45" s="74">
        <f t="shared" si="17"/>
        <v>-501367.59596122842</v>
      </c>
      <c r="AS45" s="75">
        <v>1351</v>
      </c>
      <c r="AT45" s="75"/>
      <c r="AU45" s="75"/>
      <c r="AV45" s="75">
        <v>0</v>
      </c>
      <c r="AW45" s="75">
        <v>9821.0520013339428</v>
      </c>
      <c r="AX45" s="75">
        <v>-1156.5851197899392</v>
      </c>
      <c r="AY45" s="75">
        <v>1674.5456172341117</v>
      </c>
      <c r="AZ45" s="316"/>
      <c r="BA45" s="74"/>
      <c r="BB45" s="74"/>
      <c r="BC45" s="74"/>
      <c r="BD45" s="74"/>
      <c r="BE45" s="74"/>
      <c r="BF45" s="74"/>
      <c r="BG45" s="74"/>
      <c r="BM45" s="316"/>
      <c r="BN45" s="74">
        <v>9105403.8339007385</v>
      </c>
      <c r="BO45" s="74">
        <v>17596153.150000002</v>
      </c>
      <c r="BP45" s="74">
        <v>19965000</v>
      </c>
      <c r="BQ45" s="74">
        <v>317780.81</v>
      </c>
      <c r="BR45" s="74">
        <v>329000</v>
      </c>
      <c r="BS45" s="406">
        <f t="shared" si="20"/>
        <v>0.56607599032347611</v>
      </c>
      <c r="BT45" s="406">
        <f t="shared" si="21"/>
        <v>0.33333333333333337</v>
      </c>
      <c r="BU45" s="74">
        <f t="shared" si="22"/>
        <v>11993873.807014255</v>
      </c>
      <c r="BV45" s="316"/>
      <c r="BW45" s="74">
        <v>27629512</v>
      </c>
      <c r="BX45" s="74">
        <v>9105403.8339007385</v>
      </c>
      <c r="BY45" s="74">
        <v>13118751.021126829</v>
      </c>
      <c r="BZ45" s="74">
        <v>7061758.9814679846</v>
      </c>
      <c r="CA45" s="74">
        <f t="shared" si="23"/>
        <v>94114.218245719108</v>
      </c>
      <c r="CB45" s="74">
        <f t="shared" si="24"/>
        <v>-176.87831887041526</v>
      </c>
      <c r="CC45" s="74">
        <f t="shared" si="25"/>
        <v>42.611407465206632</v>
      </c>
      <c r="CD45" s="74">
        <f t="shared" si="26"/>
        <v>219.4897263356219</v>
      </c>
      <c r="CE45" s="74">
        <f t="shared" si="27"/>
        <v>-201.61976638331689</v>
      </c>
      <c r="CF45" s="74">
        <f t="shared" si="28"/>
        <v>-187.70843301231207</v>
      </c>
      <c r="CG45" s="74">
        <f t="shared" si="29"/>
        <v>-173.89867200431758</v>
      </c>
      <c r="CH45" s="74">
        <f t="shared" si="30"/>
        <v>-159.87487116110393</v>
      </c>
      <c r="CI45" s="74">
        <f t="shared" si="31"/>
        <v>-632279.58737808175</v>
      </c>
      <c r="CJ45" s="74">
        <f t="shared" si="32"/>
        <v>-588653.64592661068</v>
      </c>
      <c r="CK45" s="74">
        <f t="shared" si="33"/>
        <v>-545346.23540553986</v>
      </c>
      <c r="CL45" s="74">
        <f t="shared" si="34"/>
        <v>-501367.5959612219</v>
      </c>
      <c r="CM45" s="316"/>
      <c r="CN45" s="74">
        <v>9272.1398678343357</v>
      </c>
      <c r="CO45" s="74">
        <v>2655.5620560000002</v>
      </c>
    </row>
    <row r="46" spans="1:93" x14ac:dyDescent="0.2">
      <c r="A46" s="74">
        <v>91</v>
      </c>
      <c r="B46" s="74" t="s">
        <v>169</v>
      </c>
      <c r="C46" s="74">
        <v>31</v>
      </c>
      <c r="D46" s="74">
        <v>658457</v>
      </c>
      <c r="E46" s="89">
        <v>1747484958.5419693</v>
      </c>
      <c r="F46" s="74">
        <v>897543603.15511775</v>
      </c>
      <c r="G46" s="74">
        <v>295560003.50989997</v>
      </c>
      <c r="H46" s="74">
        <v>418097601.9436</v>
      </c>
      <c r="I46" s="74">
        <v>146867432.30265784</v>
      </c>
      <c r="J46" s="74">
        <v>85289689.145850301</v>
      </c>
      <c r="K46" s="74">
        <v>-6980980.3654889707</v>
      </c>
      <c r="L46" s="74">
        <v>27629939</v>
      </c>
      <c r="M46" s="75">
        <v>94642000</v>
      </c>
      <c r="N46" s="75">
        <v>10042987.611013314</v>
      </c>
      <c r="O46" s="178">
        <f t="shared" si="4"/>
        <v>221207317.76068091</v>
      </c>
      <c r="P46" s="179">
        <f t="shared" si="5"/>
        <v>335.94800839034428</v>
      </c>
      <c r="Q46" s="74"/>
      <c r="R46" s="89">
        <v>4201520700.3299999</v>
      </c>
      <c r="S46" s="74">
        <v>2954137373.6036181</v>
      </c>
      <c r="T46" s="74">
        <v>627146402.91540003</v>
      </c>
      <c r="U46" s="74">
        <v>59729103.283444226</v>
      </c>
      <c r="V46" s="74">
        <v>284452638.93507874</v>
      </c>
      <c r="W46" s="74">
        <v>417831942.50989997</v>
      </c>
      <c r="X46" s="178">
        <f t="shared" si="6"/>
        <v>141776760.91744137</v>
      </c>
      <c r="Y46" s="179">
        <f t="shared" si="7"/>
        <v>215.31665836560529</v>
      </c>
      <c r="Z46" s="74"/>
      <c r="AA46" s="84">
        <f t="shared" si="8"/>
        <v>79430556.843239546</v>
      </c>
      <c r="AB46" s="132">
        <f t="shared" si="9"/>
        <v>120.63135002473896</v>
      </c>
      <c r="AD46" s="180">
        <v>-76687612.739061743</v>
      </c>
      <c r="AE46" s="187">
        <v>-67663956.622924402</v>
      </c>
      <c r="AF46" s="187">
        <v>-58503941.785452686</v>
      </c>
      <c r="AG46" s="187">
        <v>-49410807.981411658</v>
      </c>
      <c r="AH46" s="188">
        <v>-40176738.149591729</v>
      </c>
      <c r="AJ46" s="74">
        <f t="shared" si="10"/>
        <v>2056593770.4485004</v>
      </c>
      <c r="AK46" s="74">
        <f t="shared" si="11"/>
        <v>209048800.97180003</v>
      </c>
      <c r="AL46" s="74">
        <f t="shared" si="12"/>
        <v>-87138329.019213617</v>
      </c>
      <c r="AM46" s="74">
        <f t="shared" si="19"/>
        <v>2454035741.7880306</v>
      </c>
      <c r="AN46" s="74">
        <f t="shared" si="13"/>
        <v>-76687612.739061743</v>
      </c>
      <c r="AO46" s="74">
        <f t="shared" si="14"/>
        <v>-67663956.622924402</v>
      </c>
      <c r="AP46" s="74">
        <f t="shared" si="15"/>
        <v>-58503941.785452686</v>
      </c>
      <c r="AQ46" s="74">
        <f t="shared" si="16"/>
        <v>-49410807.981411658</v>
      </c>
      <c r="AR46" s="74">
        <f t="shared" si="17"/>
        <v>-40176738.149591729</v>
      </c>
      <c r="AS46" s="75">
        <v>408496</v>
      </c>
      <c r="AT46" s="75"/>
      <c r="AU46" s="75"/>
      <c r="AV46" s="75">
        <v>13507</v>
      </c>
      <c r="AW46" s="75">
        <v>243841.01249987268</v>
      </c>
      <c r="AX46" s="75">
        <v>255917.09958899219</v>
      </c>
      <c r="AY46" s="75">
        <v>199162.94978922844</v>
      </c>
      <c r="AZ46" s="316"/>
      <c r="BA46" s="74"/>
      <c r="BB46" s="74"/>
      <c r="BC46" s="74"/>
      <c r="BD46" s="74"/>
      <c r="BE46" s="74"/>
      <c r="BF46" s="74"/>
      <c r="BG46" s="74"/>
      <c r="BM46" s="316"/>
      <c r="BN46" s="74">
        <v>1747484958.5419693</v>
      </c>
      <c r="BO46" s="74">
        <v>2256402056.1299996</v>
      </c>
      <c r="BP46" s="74">
        <v>2410030000</v>
      </c>
      <c r="BQ46" s="74">
        <v>44093601.219999999</v>
      </c>
      <c r="BR46" s="74">
        <v>50495000</v>
      </c>
      <c r="BS46" s="406">
        <f t="shared" si="20"/>
        <v>0.69617404688928031</v>
      </c>
      <c r="BT46" s="406">
        <f t="shared" si="21"/>
        <v>0.33333333333333337</v>
      </c>
      <c r="BU46" s="74">
        <f t="shared" si="22"/>
        <v>105043640.40452585</v>
      </c>
      <c r="BV46" s="316"/>
      <c r="BW46" s="74">
        <v>4201520700.3299999</v>
      </c>
      <c r="BX46" s="74">
        <v>1747484958.5419693</v>
      </c>
      <c r="BY46" s="74">
        <v>3876843780.0289183</v>
      </c>
      <c r="BZ46" s="74">
        <v>1611201208.6086175</v>
      </c>
      <c r="CA46" s="74">
        <f t="shared" si="23"/>
        <v>-6980980.3654893637</v>
      </c>
      <c r="CB46" s="74">
        <f t="shared" si="24"/>
        <v>215.31665836560492</v>
      </c>
      <c r="CC46" s="74">
        <f t="shared" si="25"/>
        <v>335.94800839034366</v>
      </c>
      <c r="CD46" s="74">
        <f t="shared" si="26"/>
        <v>120.63135002473874</v>
      </c>
      <c r="CE46" s="74">
        <f t="shared" si="27"/>
        <v>-102.76139007243373</v>
      </c>
      <c r="CF46" s="74">
        <f t="shared" si="28"/>
        <v>-88.850056701428912</v>
      </c>
      <c r="CG46" s="74">
        <f t="shared" si="29"/>
        <v>-75.04029569343443</v>
      </c>
      <c r="CH46" s="74">
        <f t="shared" si="30"/>
        <v>-61.016494850220774</v>
      </c>
      <c r="CI46" s="74">
        <f t="shared" si="31"/>
        <v>-67663956.622924492</v>
      </c>
      <c r="CJ46" s="74">
        <f t="shared" si="32"/>
        <v>-58503941.785452776</v>
      </c>
      <c r="CK46" s="74">
        <f t="shared" si="33"/>
        <v>-49410807.981411755</v>
      </c>
      <c r="CL46" s="74">
        <f t="shared" si="34"/>
        <v>-40176738.149591818</v>
      </c>
      <c r="CM46" s="316"/>
      <c r="CN46" s="74">
        <v>3029037.9569264008</v>
      </c>
      <c r="CO46" s="74">
        <v>680624.00316399999</v>
      </c>
    </row>
    <row r="47" spans="1:93" x14ac:dyDescent="0.2">
      <c r="A47" s="74">
        <v>92</v>
      </c>
      <c r="B47" s="74" t="s">
        <v>411</v>
      </c>
      <c r="C47" s="74">
        <v>32</v>
      </c>
      <c r="D47" s="74">
        <v>239206</v>
      </c>
      <c r="E47" s="89">
        <v>716465139.13395536</v>
      </c>
      <c r="F47" s="74">
        <v>328116016.65886641</v>
      </c>
      <c r="G47" s="74">
        <v>108440069.34140001</v>
      </c>
      <c r="H47" s="74">
        <v>75498302.674400002</v>
      </c>
      <c r="I47" s="74">
        <v>149939597.98822013</v>
      </c>
      <c r="J47" s="74">
        <v>28790481.659818873</v>
      </c>
      <c r="K47" s="74">
        <v>-27694606.953011636</v>
      </c>
      <c r="L47" s="74">
        <v>21742057</v>
      </c>
      <c r="M47" s="75">
        <v>23219326</v>
      </c>
      <c r="N47" s="75">
        <v>2918775.0446567046</v>
      </c>
      <c r="O47" s="178">
        <f t="shared" si="4"/>
        <v>-5495119.7196048498</v>
      </c>
      <c r="P47" s="179">
        <f t="shared" si="5"/>
        <v>-22.972332297705115</v>
      </c>
      <c r="Q47" s="74"/>
      <c r="R47" s="89">
        <v>1488417077</v>
      </c>
      <c r="S47" s="74">
        <v>948826404.82379591</v>
      </c>
      <c r="T47" s="74">
        <v>113247454.01159999</v>
      </c>
      <c r="U47" s="74">
        <v>167336174.54003114</v>
      </c>
      <c r="V47" s="74">
        <v>96020146.941125512</v>
      </c>
      <c r="W47" s="74">
        <v>153401452.34140003</v>
      </c>
      <c r="X47" s="178">
        <f t="shared" si="6"/>
        <v>-9585444.3420474529</v>
      </c>
      <c r="Y47" s="179">
        <f t="shared" si="7"/>
        <v>-40.07192270280617</v>
      </c>
      <c r="Z47" s="74"/>
      <c r="AA47" s="84">
        <f t="shared" si="8"/>
        <v>4090324.6224426031</v>
      </c>
      <c r="AB47" s="132">
        <f t="shared" si="9"/>
        <v>17.099590405101054</v>
      </c>
      <c r="AD47" s="180">
        <v>-3093860.6356005548</v>
      </c>
      <c r="AE47" s="187">
        <v>184277.01790870618</v>
      </c>
      <c r="AF47" s="187">
        <v>426096.05069565028</v>
      </c>
      <c r="AG47" s="187">
        <v>141383.74237397921</v>
      </c>
      <c r="AH47" s="188">
        <v>-92128.953124255771</v>
      </c>
      <c r="AJ47" s="74">
        <f t="shared" si="10"/>
        <v>620710388.16492951</v>
      </c>
      <c r="AK47" s="74">
        <f t="shared" si="11"/>
        <v>37749151.337199986</v>
      </c>
      <c r="AL47" s="74">
        <f t="shared" si="12"/>
        <v>17396576.55181101</v>
      </c>
      <c r="AM47" s="74">
        <f t="shared" si="19"/>
        <v>771951937.86604464</v>
      </c>
      <c r="AN47" s="74">
        <f t="shared" si="13"/>
        <v>-3093860.6356005548</v>
      </c>
      <c r="AO47" s="74">
        <f t="shared" si="14"/>
        <v>184277.01790870618</v>
      </c>
      <c r="AP47" s="74">
        <f t="shared" si="15"/>
        <v>426096.05069565028</v>
      </c>
      <c r="AQ47" s="74">
        <f t="shared" si="16"/>
        <v>141383.74237397921</v>
      </c>
      <c r="AR47" s="74">
        <f t="shared" si="17"/>
        <v>-92128.953124255771</v>
      </c>
      <c r="AS47" s="75">
        <v>105248</v>
      </c>
      <c r="AT47" s="75"/>
      <c r="AU47" s="75"/>
      <c r="AV47" s="75">
        <v>1594</v>
      </c>
      <c r="AW47" s="75">
        <v>42238.713507523833</v>
      </c>
      <c r="AX47" s="75">
        <v>39111.103956790961</v>
      </c>
      <c r="AY47" s="75">
        <v>67229.665281306647</v>
      </c>
      <c r="AZ47" s="316"/>
      <c r="BA47" s="74"/>
      <c r="BB47" s="74"/>
      <c r="BC47" s="74"/>
      <c r="BD47" s="74"/>
      <c r="BE47" s="74"/>
      <c r="BF47" s="74"/>
      <c r="BG47" s="74"/>
      <c r="BM47" s="316"/>
      <c r="BN47" s="74">
        <v>716465139.13395536</v>
      </c>
      <c r="BO47" s="74">
        <v>722466642.8599999</v>
      </c>
      <c r="BP47" s="74">
        <v>804146000</v>
      </c>
      <c r="BQ47" s="74">
        <v>9918714.5800000019</v>
      </c>
      <c r="BR47" s="74">
        <v>12354000</v>
      </c>
      <c r="BS47" s="406">
        <f t="shared" si="20"/>
        <v>0.65418751523910212</v>
      </c>
      <c r="BT47" s="406">
        <f t="shared" si="21"/>
        <v>0.33333333333333326</v>
      </c>
      <c r="BU47" s="74">
        <f t="shared" si="22"/>
        <v>56931634.880106032</v>
      </c>
      <c r="BV47" s="316"/>
      <c r="BW47" s="74">
        <v>1488417077</v>
      </c>
      <c r="BX47" s="74">
        <v>716465139.13395536</v>
      </c>
      <c r="BY47" s="74">
        <v>1170513928.176796</v>
      </c>
      <c r="BZ47" s="74">
        <v>512054388.6746664</v>
      </c>
      <c r="CA47" s="74">
        <f t="shared" si="23"/>
        <v>-27694606.953011744</v>
      </c>
      <c r="CB47" s="74">
        <f t="shared" si="24"/>
        <v>-40.071922702805921</v>
      </c>
      <c r="CC47" s="74">
        <f t="shared" si="25"/>
        <v>-22.972332297705599</v>
      </c>
      <c r="CD47" s="74">
        <f t="shared" si="26"/>
        <v>17.099590405100322</v>
      </c>
      <c r="CE47" s="74">
        <f t="shared" si="27"/>
        <v>0.77036954720468254</v>
      </c>
      <c r="CF47" s="74">
        <f t="shared" si="28"/>
        <v>1.7812933233098263</v>
      </c>
      <c r="CG47" s="74">
        <f t="shared" si="29"/>
        <v>0.59105433130431184</v>
      </c>
      <c r="CH47" s="74">
        <f t="shared" si="30"/>
        <v>-0.38514482548203544</v>
      </c>
      <c r="CI47" s="74">
        <f t="shared" si="31"/>
        <v>184277.01790864329</v>
      </c>
      <c r="CJ47" s="74">
        <f t="shared" si="32"/>
        <v>426096.05069565028</v>
      </c>
      <c r="CK47" s="74">
        <f t="shared" si="33"/>
        <v>141383.74237397921</v>
      </c>
      <c r="CL47" s="74">
        <f t="shared" si="34"/>
        <v>-92128.953124255771</v>
      </c>
      <c r="CM47" s="316"/>
      <c r="CN47" s="74">
        <v>982675.33238869021</v>
      </c>
      <c r="CO47" s="74">
        <v>122904.21365599999</v>
      </c>
    </row>
    <row r="48" spans="1:93" x14ac:dyDescent="0.2">
      <c r="A48" s="74">
        <v>97</v>
      </c>
      <c r="B48" s="74" t="s">
        <v>170</v>
      </c>
      <c r="C48" s="74">
        <v>10</v>
      </c>
      <c r="D48" s="74">
        <v>2131</v>
      </c>
      <c r="E48" s="89">
        <v>5205577.873510411</v>
      </c>
      <c r="F48" s="74">
        <v>2308578.1816909849</v>
      </c>
      <c r="G48" s="74">
        <v>1360101.7959999999</v>
      </c>
      <c r="H48" s="74">
        <v>671107.81979999994</v>
      </c>
      <c r="I48" s="74">
        <v>583123.46464017266</v>
      </c>
      <c r="J48" s="74">
        <v>457017.4936875694</v>
      </c>
      <c r="K48" s="74">
        <v>-317202.09788532177</v>
      </c>
      <c r="L48" s="74">
        <v>-546383</v>
      </c>
      <c r="M48" s="75">
        <v>289400</v>
      </c>
      <c r="N48" s="75">
        <v>17575.741170369558</v>
      </c>
      <c r="O48" s="178">
        <f t="shared" si="4"/>
        <v>-382258.47440663725</v>
      </c>
      <c r="P48" s="179">
        <f t="shared" si="5"/>
        <v>-179.37985659626338</v>
      </c>
      <c r="Q48" s="74"/>
      <c r="R48" s="89">
        <v>16143400</v>
      </c>
      <c r="S48" s="74">
        <v>5938014.4681530762</v>
      </c>
      <c r="T48" s="74">
        <v>1006661.7296999999</v>
      </c>
      <c r="U48" s="74">
        <v>6451569.5171278305</v>
      </c>
      <c r="V48" s="74">
        <v>1524215.1005688107</v>
      </c>
      <c r="W48" s="74">
        <v>1103118.7959999999</v>
      </c>
      <c r="X48" s="178">
        <f t="shared" si="6"/>
        <v>-119820.38845028356</v>
      </c>
      <c r="Y48" s="179">
        <f t="shared" si="7"/>
        <v>-56.22730570168163</v>
      </c>
      <c r="Z48" s="74"/>
      <c r="AA48" s="84">
        <f t="shared" si="8"/>
        <v>-262438.08595635369</v>
      </c>
      <c r="AB48" s="132">
        <f t="shared" si="9"/>
        <v>-123.15255089458174</v>
      </c>
      <c r="AD48" s="180">
        <v>271315.2243055604</v>
      </c>
      <c r="AE48" s="187">
        <v>236588.97061471755</v>
      </c>
      <c r="AF48" s="187">
        <v>202304.02202832879</v>
      </c>
      <c r="AG48" s="187">
        <v>167802.62273636504</v>
      </c>
      <c r="AH48" s="188">
        <v>133757.34233325333</v>
      </c>
      <c r="AJ48" s="74">
        <f t="shared" si="10"/>
        <v>3629436.2864620914</v>
      </c>
      <c r="AK48" s="74">
        <f t="shared" si="11"/>
        <v>335553.90989999997</v>
      </c>
      <c r="AL48" s="74">
        <f t="shared" si="12"/>
        <v>5868446.0524876583</v>
      </c>
      <c r="AM48" s="74">
        <f t="shared" si="19"/>
        <v>10937822.126489589</v>
      </c>
      <c r="AN48" s="74">
        <f t="shared" si="13"/>
        <v>271315.2243055604</v>
      </c>
      <c r="AO48" s="74">
        <f t="shared" si="14"/>
        <v>236588.97061471755</v>
      </c>
      <c r="AP48" s="74">
        <f t="shared" si="15"/>
        <v>202304.02202832879</v>
      </c>
      <c r="AQ48" s="74">
        <f t="shared" si="16"/>
        <v>167802.62273636504</v>
      </c>
      <c r="AR48" s="74">
        <f t="shared" si="17"/>
        <v>133757.34233325333</v>
      </c>
      <c r="AS48" s="75">
        <v>613</v>
      </c>
      <c r="AT48" s="75"/>
      <c r="AU48" s="75"/>
      <c r="AV48" s="75">
        <v>1</v>
      </c>
      <c r="AW48" s="75">
        <v>4594.5903826596787</v>
      </c>
      <c r="AX48" s="75">
        <v>-800.87405434903133</v>
      </c>
      <c r="AY48" s="75">
        <v>1067.1976068812414</v>
      </c>
      <c r="AZ48" s="316"/>
      <c r="BA48" s="74"/>
      <c r="BB48" s="74"/>
      <c r="BC48" s="74"/>
      <c r="BD48" s="74"/>
      <c r="BE48" s="74"/>
      <c r="BF48" s="74"/>
      <c r="BG48" s="74"/>
      <c r="BM48" s="316"/>
      <c r="BN48" s="74">
        <v>5205577.873510411</v>
      </c>
      <c r="BO48" s="74">
        <v>10963401.5</v>
      </c>
      <c r="BP48" s="74">
        <v>10650000</v>
      </c>
      <c r="BQ48" s="74">
        <v>208935.67</v>
      </c>
      <c r="BR48" s="74">
        <v>230000</v>
      </c>
      <c r="BS48" s="406">
        <f t="shared" si="20"/>
        <v>0.61122051923712628</v>
      </c>
      <c r="BT48" s="406">
        <f t="shared" si="21"/>
        <v>0.33333333333333337</v>
      </c>
      <c r="BU48" s="74">
        <f t="shared" si="22"/>
        <v>6618441.5614835769</v>
      </c>
      <c r="BV48" s="316"/>
      <c r="BW48" s="74">
        <v>16143400</v>
      </c>
      <c r="BX48" s="74">
        <v>5205577.873510411</v>
      </c>
      <c r="BY48" s="74">
        <v>8304777.9938530764</v>
      </c>
      <c r="BZ48" s="74">
        <v>4339787.7974909842</v>
      </c>
      <c r="CA48" s="74">
        <f t="shared" si="23"/>
        <v>-317202.09788532235</v>
      </c>
      <c r="CB48" s="74">
        <f t="shared" si="24"/>
        <v>-56.22730570168163</v>
      </c>
      <c r="CC48" s="74">
        <f t="shared" si="25"/>
        <v>-179.37985659626327</v>
      </c>
      <c r="CD48" s="74">
        <f t="shared" si="26"/>
        <v>-123.15255089458164</v>
      </c>
      <c r="CE48" s="74">
        <f t="shared" si="27"/>
        <v>111.02251084688665</v>
      </c>
      <c r="CF48" s="74">
        <f t="shared" si="28"/>
        <v>94.933844217891462</v>
      </c>
      <c r="CG48" s="74">
        <f t="shared" si="29"/>
        <v>78.743605225885943</v>
      </c>
      <c r="CH48" s="74">
        <f t="shared" si="30"/>
        <v>62.7674060690996</v>
      </c>
      <c r="CI48" s="74">
        <f t="shared" si="31"/>
        <v>236588.97061471545</v>
      </c>
      <c r="CJ48" s="74">
        <f t="shared" si="32"/>
        <v>202304.0220283267</v>
      </c>
      <c r="CK48" s="74">
        <f t="shared" si="33"/>
        <v>167802.62273636294</v>
      </c>
      <c r="CL48" s="74">
        <f t="shared" si="34"/>
        <v>133757.34233325126</v>
      </c>
      <c r="CM48" s="316"/>
      <c r="CN48" s="74">
        <v>6268.6788776998637</v>
      </c>
      <c r="CO48" s="74">
        <v>1092.5011019999999</v>
      </c>
    </row>
    <row r="49" spans="1:93" x14ac:dyDescent="0.2">
      <c r="A49" s="74">
        <v>98</v>
      </c>
      <c r="B49" s="74" t="s">
        <v>171</v>
      </c>
      <c r="C49" s="74">
        <v>7</v>
      </c>
      <c r="D49" s="74">
        <v>23090</v>
      </c>
      <c r="E49" s="89">
        <v>63278152.259635463</v>
      </c>
      <c r="F49" s="74">
        <v>37835030.265099585</v>
      </c>
      <c r="G49" s="74">
        <v>5950673.7029999997</v>
      </c>
      <c r="H49" s="74">
        <v>2988116.7152</v>
      </c>
      <c r="I49" s="74">
        <v>14508158.379779331</v>
      </c>
      <c r="J49" s="74">
        <v>3504947.7263541585</v>
      </c>
      <c r="K49" s="74">
        <v>4335426.4234630624</v>
      </c>
      <c r="L49" s="74">
        <v>-4608213</v>
      </c>
      <c r="M49" s="75">
        <v>121900</v>
      </c>
      <c r="N49" s="75">
        <v>248459.07776666185</v>
      </c>
      <c r="O49" s="178">
        <f t="shared" si="4"/>
        <v>1606347.0310273319</v>
      </c>
      <c r="P49" s="179">
        <f t="shared" si="5"/>
        <v>69.568948940118318</v>
      </c>
      <c r="Q49" s="74"/>
      <c r="R49" s="89">
        <v>146249900</v>
      </c>
      <c r="S49" s="74">
        <v>92391968.448276848</v>
      </c>
      <c r="T49" s="74">
        <v>4482175.0728000002</v>
      </c>
      <c r="U49" s="74">
        <v>40761119.191631727</v>
      </c>
      <c r="V49" s="74">
        <v>11689474.308975747</v>
      </c>
      <c r="W49" s="74">
        <v>1464360.7029999997</v>
      </c>
      <c r="X49" s="178">
        <f t="shared" si="6"/>
        <v>4539197.7246843278</v>
      </c>
      <c r="Y49" s="179">
        <f t="shared" si="7"/>
        <v>196.58716867407225</v>
      </c>
      <c r="Z49" s="74"/>
      <c r="AA49" s="84">
        <f t="shared" si="8"/>
        <v>-2932850.6936569959</v>
      </c>
      <c r="AB49" s="132">
        <f t="shared" si="9"/>
        <v>-127.01821973395391</v>
      </c>
      <c r="AD49" s="180">
        <v>3029037.0495852567</v>
      </c>
      <c r="AE49" s="187">
        <v>2652768.0689557111</v>
      </c>
      <c r="AF49" s="187">
        <v>2281280.7564922124</v>
      </c>
      <c r="AG49" s="187">
        <v>1907448.138166805</v>
      </c>
      <c r="AH49" s="188">
        <v>1538557.6996366086</v>
      </c>
      <c r="AJ49" s="74">
        <f t="shared" si="10"/>
        <v>54556938.183177263</v>
      </c>
      <c r="AK49" s="74">
        <f t="shared" si="11"/>
        <v>1494058.3576000002</v>
      </c>
      <c r="AL49" s="74">
        <f t="shared" si="12"/>
        <v>26252960.811852396</v>
      </c>
      <c r="AM49" s="74">
        <f t="shared" si="19"/>
        <v>82971747.740364537</v>
      </c>
      <c r="AN49" s="74">
        <f t="shared" si="13"/>
        <v>3029037.0495852567</v>
      </c>
      <c r="AO49" s="74">
        <f t="shared" si="14"/>
        <v>2652768.0689557111</v>
      </c>
      <c r="AP49" s="74">
        <f t="shared" si="15"/>
        <v>2281280.7564922124</v>
      </c>
      <c r="AQ49" s="74">
        <f t="shared" si="16"/>
        <v>1907448.138166805</v>
      </c>
      <c r="AR49" s="74">
        <f t="shared" si="17"/>
        <v>1538557.6996366086</v>
      </c>
      <c r="AS49" s="75">
        <v>8963</v>
      </c>
      <c r="AT49" s="75"/>
      <c r="AU49" s="75"/>
      <c r="AV49" s="75">
        <v>0</v>
      </c>
      <c r="AW49" s="75">
        <v>25491.272691155664</v>
      </c>
      <c r="AX49" s="75">
        <v>-729.13932084760154</v>
      </c>
      <c r="AY49" s="75">
        <v>8184.5265826215882</v>
      </c>
      <c r="AZ49" s="316"/>
      <c r="BA49" s="74"/>
      <c r="BB49" s="74"/>
      <c r="BC49" s="74"/>
      <c r="BD49" s="74"/>
      <c r="BE49" s="74"/>
      <c r="BF49" s="74"/>
      <c r="BG49" s="74"/>
      <c r="BM49" s="316"/>
      <c r="BN49" s="74">
        <v>63278152.259635463</v>
      </c>
      <c r="BO49" s="74">
        <v>74742182.010000005</v>
      </c>
      <c r="BP49" s="74">
        <v>80877000</v>
      </c>
      <c r="BQ49" s="74">
        <v>2365657.4</v>
      </c>
      <c r="BR49" s="74">
        <v>2443000</v>
      </c>
      <c r="BS49" s="406">
        <f t="shared" si="20"/>
        <v>0.59049438062053516</v>
      </c>
      <c r="BT49" s="406">
        <f t="shared" si="21"/>
        <v>0.33333333333333337</v>
      </c>
      <c r="BU49" s="74">
        <f t="shared" si="22"/>
        <v>38772913.817937046</v>
      </c>
      <c r="BV49" s="316"/>
      <c r="BW49" s="74">
        <v>146249900</v>
      </c>
      <c r="BX49" s="74">
        <v>63278152.259635463</v>
      </c>
      <c r="BY49" s="74">
        <v>102824817.22407684</v>
      </c>
      <c r="BZ49" s="74">
        <v>46773820.683299586</v>
      </c>
      <c r="CA49" s="74">
        <f t="shared" si="23"/>
        <v>4335426.4234630447</v>
      </c>
      <c r="CB49" s="74">
        <f t="shared" si="24"/>
        <v>196.58716867407207</v>
      </c>
      <c r="CC49" s="74">
        <f t="shared" si="25"/>
        <v>69.568948940117764</v>
      </c>
      <c r="CD49" s="74">
        <f t="shared" si="26"/>
        <v>-127.01821973395431</v>
      </c>
      <c r="CE49" s="74">
        <f t="shared" si="27"/>
        <v>114.88817968625932</v>
      </c>
      <c r="CF49" s="74">
        <f t="shared" si="28"/>
        <v>98.799513057264136</v>
      </c>
      <c r="CG49" s="74">
        <f t="shared" si="29"/>
        <v>82.609274065258617</v>
      </c>
      <c r="CH49" s="74">
        <f t="shared" si="30"/>
        <v>66.633074908472281</v>
      </c>
      <c r="CI49" s="74">
        <f t="shared" si="31"/>
        <v>2652768.0689557279</v>
      </c>
      <c r="CJ49" s="74">
        <f t="shared" si="32"/>
        <v>2281280.7564922287</v>
      </c>
      <c r="CK49" s="74">
        <f t="shared" si="33"/>
        <v>1907448.1381668216</v>
      </c>
      <c r="CL49" s="74">
        <f t="shared" si="34"/>
        <v>1538557.6996366249</v>
      </c>
      <c r="CM49" s="316"/>
      <c r="CN49" s="74">
        <v>93434.298974622245</v>
      </c>
      <c r="CO49" s="74">
        <v>4864.3760479999992</v>
      </c>
    </row>
    <row r="50" spans="1:93" x14ac:dyDescent="0.2">
      <c r="A50" s="74">
        <v>102</v>
      </c>
      <c r="B50" s="74" t="s">
        <v>173</v>
      </c>
      <c r="C50" s="74">
        <v>4</v>
      </c>
      <c r="D50" s="74">
        <v>9870</v>
      </c>
      <c r="E50" s="89">
        <v>26188893.210917786</v>
      </c>
      <c r="F50" s="74">
        <v>13594184.715925606</v>
      </c>
      <c r="G50" s="74">
        <v>2843872.8306999998</v>
      </c>
      <c r="H50" s="74">
        <v>2038196.044</v>
      </c>
      <c r="I50" s="74">
        <v>5183689.3584620189</v>
      </c>
      <c r="J50" s="74">
        <v>1979104.1968577383</v>
      </c>
      <c r="K50" s="74">
        <v>1048170.5654000834</v>
      </c>
      <c r="L50" s="74">
        <v>811647</v>
      </c>
      <c r="M50" s="75">
        <v>-162742</v>
      </c>
      <c r="N50" s="75">
        <v>87925.568155253917</v>
      </c>
      <c r="O50" s="178">
        <f t="shared" si="4"/>
        <v>1235155.0685829148</v>
      </c>
      <c r="P50" s="179">
        <f t="shared" si="5"/>
        <v>125.14235750586776</v>
      </c>
      <c r="Q50" s="74"/>
      <c r="R50" s="89">
        <v>66079426</v>
      </c>
      <c r="S50" s="74">
        <v>32410609.552721683</v>
      </c>
      <c r="T50" s="74">
        <v>3057294.0660000001</v>
      </c>
      <c r="U50" s="74">
        <v>22372678.126839135</v>
      </c>
      <c r="V50" s="74">
        <v>6600579.9430336384</v>
      </c>
      <c r="W50" s="74">
        <v>3492777.8306999998</v>
      </c>
      <c r="X50" s="178">
        <f t="shared" si="6"/>
        <v>1854513.5192944556</v>
      </c>
      <c r="Y50" s="179">
        <f t="shared" si="7"/>
        <v>187.89397358606439</v>
      </c>
      <c r="Z50" s="74"/>
      <c r="AA50" s="84">
        <f t="shared" si="8"/>
        <v>-619358.45071154088</v>
      </c>
      <c r="AB50" s="132">
        <f t="shared" si="9"/>
        <v>-62.751616080196641</v>
      </c>
      <c r="AD50" s="180">
        <v>660474.05629889132</v>
      </c>
      <c r="AE50" s="187">
        <v>499634.95544078742</v>
      </c>
      <c r="AF50" s="187">
        <v>340839.81581260503</v>
      </c>
      <c r="AG50" s="187">
        <v>181042.15696151063</v>
      </c>
      <c r="AH50" s="188">
        <v>23357.071284029367</v>
      </c>
      <c r="AJ50" s="74">
        <f t="shared" si="10"/>
        <v>18816424.836796075</v>
      </c>
      <c r="AK50" s="74">
        <f t="shared" si="11"/>
        <v>1019098.0220000001</v>
      </c>
      <c r="AL50" s="74">
        <f t="shared" si="12"/>
        <v>17188988.768377118</v>
      </c>
      <c r="AM50" s="74">
        <f t="shared" si="19"/>
        <v>39890532.789082214</v>
      </c>
      <c r="AN50" s="74">
        <f t="shared" si="13"/>
        <v>660474.05629889132</v>
      </c>
      <c r="AO50" s="74">
        <f t="shared" si="14"/>
        <v>499634.95544078742</v>
      </c>
      <c r="AP50" s="74">
        <f t="shared" si="15"/>
        <v>340839.81581260503</v>
      </c>
      <c r="AQ50" s="74">
        <f t="shared" si="16"/>
        <v>181042.15696151063</v>
      </c>
      <c r="AR50" s="74">
        <f t="shared" si="17"/>
        <v>23357.071284029367</v>
      </c>
      <c r="AS50" s="75">
        <v>3831</v>
      </c>
      <c r="AT50" s="75"/>
      <c r="AU50" s="75"/>
      <c r="AV50" s="75">
        <v>14</v>
      </c>
      <c r="AW50" s="75">
        <v>13950.818273737661</v>
      </c>
      <c r="AX50" s="75">
        <v>-3321.8745267728073</v>
      </c>
      <c r="AY50" s="75">
        <v>4621.4757461759</v>
      </c>
      <c r="AZ50" s="316"/>
      <c r="BA50" s="74"/>
      <c r="BB50" s="74"/>
      <c r="BC50" s="74"/>
      <c r="BD50" s="74"/>
      <c r="BE50" s="74"/>
      <c r="BF50" s="74"/>
      <c r="BG50" s="74"/>
      <c r="BM50" s="316"/>
      <c r="BN50" s="74">
        <v>26188893.210917786</v>
      </c>
      <c r="BO50" s="74">
        <v>36966321.560000002</v>
      </c>
      <c r="BP50" s="74">
        <v>40419000</v>
      </c>
      <c r="BQ50" s="74">
        <v>1147856.8700000001</v>
      </c>
      <c r="BR50" s="74">
        <v>1179000</v>
      </c>
      <c r="BS50" s="406">
        <f t="shared" si="20"/>
        <v>0.58056374429452728</v>
      </c>
      <c r="BT50" s="406">
        <f t="shared" si="21"/>
        <v>0.33333333333333337</v>
      </c>
      <c r="BU50" s="74">
        <f t="shared" si="22"/>
        <v>22858635.079953101</v>
      </c>
      <c r="BV50" s="316"/>
      <c r="BW50" s="74">
        <v>66079426</v>
      </c>
      <c r="BX50" s="74">
        <v>26188893.210917786</v>
      </c>
      <c r="BY50" s="74">
        <v>38311776.449421689</v>
      </c>
      <c r="BZ50" s="74">
        <v>18476253.590625606</v>
      </c>
      <c r="CA50" s="74">
        <f t="shared" si="23"/>
        <v>1048170.5654000841</v>
      </c>
      <c r="CB50" s="74">
        <f t="shared" si="24"/>
        <v>187.89397358606402</v>
      </c>
      <c r="CC50" s="74">
        <f t="shared" si="25"/>
        <v>125.14235750586788</v>
      </c>
      <c r="CD50" s="74">
        <f t="shared" si="26"/>
        <v>-62.751616080196143</v>
      </c>
      <c r="CE50" s="74">
        <f t="shared" si="27"/>
        <v>50.621576032501146</v>
      </c>
      <c r="CF50" s="74">
        <f t="shared" si="28"/>
        <v>34.532909403505968</v>
      </c>
      <c r="CG50" s="74">
        <f t="shared" si="29"/>
        <v>18.342670411500457</v>
      </c>
      <c r="CH50" s="74">
        <f t="shared" si="30"/>
        <v>2.3664712547141078</v>
      </c>
      <c r="CI50" s="74">
        <f t="shared" si="31"/>
        <v>499634.95544078632</v>
      </c>
      <c r="CJ50" s="74">
        <f t="shared" si="32"/>
        <v>340839.81581260392</v>
      </c>
      <c r="CK50" s="74">
        <f t="shared" si="33"/>
        <v>181042.15696150952</v>
      </c>
      <c r="CL50" s="74">
        <f t="shared" si="34"/>
        <v>23357.071284028243</v>
      </c>
      <c r="CM50" s="316"/>
      <c r="CN50" s="74">
        <v>32142.20684978299</v>
      </c>
      <c r="CO50" s="74">
        <v>3317.9935600000003</v>
      </c>
    </row>
    <row r="51" spans="1:93" x14ac:dyDescent="0.2">
      <c r="A51" s="74">
        <v>103</v>
      </c>
      <c r="B51" s="74" t="s">
        <v>174</v>
      </c>
      <c r="C51" s="74">
        <v>5</v>
      </c>
      <c r="D51" s="74">
        <v>2166</v>
      </c>
      <c r="E51" s="89">
        <v>5228430.2649219092</v>
      </c>
      <c r="F51" s="74">
        <v>3168320.7373111416</v>
      </c>
      <c r="G51" s="74">
        <v>589254.2485000001</v>
      </c>
      <c r="H51" s="74">
        <v>348941.19020000001</v>
      </c>
      <c r="I51" s="74">
        <v>1255462.6170162491</v>
      </c>
      <c r="J51" s="74">
        <v>480654.69301247154</v>
      </c>
      <c r="K51" s="74">
        <v>205163.71927565767</v>
      </c>
      <c r="L51" s="74">
        <v>-578616</v>
      </c>
      <c r="M51" s="75">
        <v>-15650</v>
      </c>
      <c r="N51" s="75">
        <v>17985.416222878008</v>
      </c>
      <c r="O51" s="178">
        <f t="shared" si="4"/>
        <v>243086.35661648959</v>
      </c>
      <c r="P51" s="179">
        <f t="shared" si="5"/>
        <v>112.22823481832391</v>
      </c>
      <c r="Q51" s="74"/>
      <c r="R51" s="89">
        <v>13828420</v>
      </c>
      <c r="S51" s="74">
        <v>7051260.7691624463</v>
      </c>
      <c r="T51" s="74">
        <v>523411.78530000005</v>
      </c>
      <c r="U51" s="74">
        <v>5013412.75833607</v>
      </c>
      <c r="V51" s="74">
        <v>1603048.354533484</v>
      </c>
      <c r="W51" s="74">
        <v>-5011.7514999998966</v>
      </c>
      <c r="X51" s="178">
        <f t="shared" si="6"/>
        <v>357701.91583199985</v>
      </c>
      <c r="Y51" s="179">
        <f t="shared" si="7"/>
        <v>165.14400546260381</v>
      </c>
      <c r="Z51" s="74"/>
      <c r="AA51" s="84">
        <f t="shared" si="8"/>
        <v>-114615.55921551026</v>
      </c>
      <c r="AB51" s="132">
        <f t="shared" si="9"/>
        <v>-52.915770644279903</v>
      </c>
      <c r="AD51" s="180">
        <v>123638.49758452937</v>
      </c>
      <c r="AE51" s="187">
        <v>88341.892472203821</v>
      </c>
      <c r="AF51" s="187">
        <v>53493.84055380027</v>
      </c>
      <c r="AG51" s="187">
        <v>18425.782897116333</v>
      </c>
      <c r="AH51" s="188">
        <v>-834.22369199408877</v>
      </c>
      <c r="AJ51" s="74">
        <f t="shared" si="10"/>
        <v>3882940.0318513047</v>
      </c>
      <c r="AK51" s="74">
        <f t="shared" si="11"/>
        <v>174470.59510000004</v>
      </c>
      <c r="AL51" s="74">
        <f t="shared" si="12"/>
        <v>3757950.1413198207</v>
      </c>
      <c r="AM51" s="74">
        <f t="shared" si="19"/>
        <v>8599989.7350780908</v>
      </c>
      <c r="AN51" s="74">
        <f t="shared" si="13"/>
        <v>123638.49758452937</v>
      </c>
      <c r="AO51" s="74">
        <f t="shared" si="14"/>
        <v>88341.892472203821</v>
      </c>
      <c r="AP51" s="74">
        <f t="shared" si="15"/>
        <v>53493.84055380027</v>
      </c>
      <c r="AQ51" s="74">
        <f t="shared" si="16"/>
        <v>18425.782897116333</v>
      </c>
      <c r="AR51" s="74">
        <f t="shared" si="17"/>
        <v>-834.22369199408877</v>
      </c>
      <c r="AS51" s="75">
        <v>338</v>
      </c>
      <c r="AT51" s="75"/>
      <c r="AU51" s="75"/>
      <c r="AV51" s="75">
        <v>0</v>
      </c>
      <c r="AW51" s="75">
        <v>2929.1434956113976</v>
      </c>
      <c r="AX51" s="75">
        <v>-851.90661985037366</v>
      </c>
      <c r="AY51" s="75">
        <v>1122.3936615210125</v>
      </c>
      <c r="AZ51" s="316"/>
      <c r="BA51" s="74"/>
      <c r="BB51" s="74"/>
      <c r="BC51" s="74"/>
      <c r="BD51" s="74"/>
      <c r="BE51" s="74"/>
      <c r="BF51" s="74"/>
      <c r="BG51" s="74"/>
      <c r="BM51" s="316"/>
      <c r="BN51" s="74">
        <v>5228430.2649219092</v>
      </c>
      <c r="BO51" s="74">
        <v>8106752</v>
      </c>
      <c r="BP51" s="74">
        <v>8425000</v>
      </c>
      <c r="BQ51" s="74">
        <v>197647.31</v>
      </c>
      <c r="BR51" s="74">
        <v>148000</v>
      </c>
      <c r="BS51" s="406">
        <f t="shared" si="20"/>
        <v>0.55067315746323242</v>
      </c>
      <c r="BT51" s="406">
        <f t="shared" si="21"/>
        <v>0.33333333333333337</v>
      </c>
      <c r="BU51" s="74">
        <f t="shared" si="22"/>
        <v>5085507.5221164916</v>
      </c>
      <c r="BV51" s="316"/>
      <c r="BW51" s="74">
        <v>13828420</v>
      </c>
      <c r="BX51" s="74">
        <v>5228430.2649219092</v>
      </c>
      <c r="BY51" s="74">
        <v>8163926.8029624457</v>
      </c>
      <c r="BZ51" s="74">
        <v>4106516.1760111419</v>
      </c>
      <c r="CA51" s="74">
        <f t="shared" si="23"/>
        <v>205163.71927565616</v>
      </c>
      <c r="CB51" s="74">
        <f t="shared" si="24"/>
        <v>165.14400546260387</v>
      </c>
      <c r="CC51" s="74">
        <f t="shared" si="25"/>
        <v>112.22823481832293</v>
      </c>
      <c r="CD51" s="74">
        <f t="shared" si="26"/>
        <v>-52.91577064428094</v>
      </c>
      <c r="CE51" s="74">
        <f t="shared" si="27"/>
        <v>40.785730596585942</v>
      </c>
      <c r="CF51" s="74">
        <f t="shared" si="28"/>
        <v>24.697063967590765</v>
      </c>
      <c r="CG51" s="74">
        <f t="shared" si="29"/>
        <v>8.5068249755852516</v>
      </c>
      <c r="CH51" s="74">
        <f t="shared" si="30"/>
        <v>-0.38514482548203544</v>
      </c>
      <c r="CI51" s="74">
        <f t="shared" si="31"/>
        <v>88341.892472205145</v>
      </c>
      <c r="CJ51" s="74">
        <f t="shared" si="32"/>
        <v>53493.840553801594</v>
      </c>
      <c r="CK51" s="74">
        <f t="shared" si="33"/>
        <v>18425.782897117657</v>
      </c>
      <c r="CL51" s="74">
        <f t="shared" si="34"/>
        <v>-834.22369199408877</v>
      </c>
      <c r="CM51" s="316"/>
      <c r="CN51" s="74">
        <v>7094.5116013218549</v>
      </c>
      <c r="CO51" s="74">
        <v>568.04379800000004</v>
      </c>
    </row>
    <row r="52" spans="1:93" x14ac:dyDescent="0.2">
      <c r="A52" s="74">
        <v>105</v>
      </c>
      <c r="B52" s="74" t="s">
        <v>175</v>
      </c>
      <c r="C52" s="74">
        <v>18</v>
      </c>
      <c r="D52" s="74">
        <v>2139</v>
      </c>
      <c r="E52" s="89">
        <v>6282076.4005325958</v>
      </c>
      <c r="F52" s="74">
        <v>2864539.2633354431</v>
      </c>
      <c r="G52" s="74">
        <v>1175342.7810000002</v>
      </c>
      <c r="H52" s="74">
        <v>648177.24420000007</v>
      </c>
      <c r="I52" s="74">
        <v>1800644.1719118452</v>
      </c>
      <c r="J52" s="74">
        <v>496373.09575166903</v>
      </c>
      <c r="K52" s="74">
        <v>338605.69872906734</v>
      </c>
      <c r="L52" s="74">
        <v>-466465</v>
      </c>
      <c r="M52" s="75">
        <v>-10000</v>
      </c>
      <c r="N52" s="75">
        <v>17594.349088318344</v>
      </c>
      <c r="O52" s="178">
        <f t="shared" si="4"/>
        <v>582735.20348374732</v>
      </c>
      <c r="P52" s="179">
        <f t="shared" si="5"/>
        <v>272.4334752144681</v>
      </c>
      <c r="Q52" s="74"/>
      <c r="R52" s="89">
        <v>19940266</v>
      </c>
      <c r="S52" s="74">
        <v>6509638.6811778685</v>
      </c>
      <c r="T52" s="74">
        <v>972265.86629999999</v>
      </c>
      <c r="U52" s="74">
        <v>11031272.571433531</v>
      </c>
      <c r="V52" s="74">
        <v>1655471.3517771859</v>
      </c>
      <c r="W52" s="74">
        <v>698877.78100000019</v>
      </c>
      <c r="X52" s="178">
        <f t="shared" si="6"/>
        <v>927260.25168858469</v>
      </c>
      <c r="Y52" s="179">
        <f t="shared" si="7"/>
        <v>433.5017539451074</v>
      </c>
      <c r="Z52" s="74"/>
      <c r="AA52" s="84">
        <f t="shared" si="8"/>
        <v>-344525.04820483737</v>
      </c>
      <c r="AB52" s="132">
        <f t="shared" si="9"/>
        <v>-161.06827873063926</v>
      </c>
      <c r="AD52" s="180">
        <v>353435.51227285585</v>
      </c>
      <c r="AE52" s="187">
        <v>318578.89254281687</v>
      </c>
      <c r="AF52" s="187">
        <v>284165.23462339619</v>
      </c>
      <c r="AG52" s="187">
        <v>249534.31341949638</v>
      </c>
      <c r="AH52" s="188">
        <v>215361.2234231304</v>
      </c>
      <c r="AJ52" s="74">
        <f t="shared" si="10"/>
        <v>3645099.4178424254</v>
      </c>
      <c r="AK52" s="74">
        <f t="shared" si="11"/>
        <v>324088.62209999992</v>
      </c>
      <c r="AL52" s="74">
        <f t="shared" si="12"/>
        <v>9230628.3995216861</v>
      </c>
      <c r="AM52" s="74">
        <f t="shared" si="19"/>
        <v>13658189.599467404</v>
      </c>
      <c r="AN52" s="74">
        <f t="shared" si="13"/>
        <v>353435.51227285585</v>
      </c>
      <c r="AO52" s="74">
        <f t="shared" si="14"/>
        <v>318578.89254281687</v>
      </c>
      <c r="AP52" s="74">
        <f t="shared" si="15"/>
        <v>284165.23462339619</v>
      </c>
      <c r="AQ52" s="74">
        <f t="shared" si="16"/>
        <v>249534.31341949638</v>
      </c>
      <c r="AR52" s="74">
        <f t="shared" si="17"/>
        <v>215361.2234231304</v>
      </c>
      <c r="AS52" s="75">
        <v>482</v>
      </c>
      <c r="AT52" s="75"/>
      <c r="AU52" s="75"/>
      <c r="AV52" s="75">
        <v>0</v>
      </c>
      <c r="AW52" s="75">
        <v>8000.6601223397738</v>
      </c>
      <c r="AX52" s="75">
        <v>-1112.1083680026038</v>
      </c>
      <c r="AY52" s="75">
        <v>1159.098256025517</v>
      </c>
      <c r="AZ52" s="316"/>
      <c r="BA52" s="74"/>
      <c r="BB52" s="74"/>
      <c r="BC52" s="74"/>
      <c r="BD52" s="74"/>
      <c r="BE52" s="74"/>
      <c r="BF52" s="74"/>
      <c r="BG52" s="74"/>
      <c r="BM52" s="316"/>
      <c r="BN52" s="74">
        <v>6282076.4005325958</v>
      </c>
      <c r="BO52" s="74">
        <v>12728564.75</v>
      </c>
      <c r="BP52" s="74">
        <v>12532000</v>
      </c>
      <c r="BQ52" s="74">
        <v>307997.19</v>
      </c>
      <c r="BR52" s="74">
        <v>288000</v>
      </c>
      <c r="BS52" s="406">
        <f t="shared" si="20"/>
        <v>0.55995418430549093</v>
      </c>
      <c r="BT52" s="406">
        <f t="shared" si="21"/>
        <v>0.33333333333333326</v>
      </c>
      <c r="BU52" s="74">
        <f t="shared" si="22"/>
        <v>10728332.354276272</v>
      </c>
      <c r="BV52" s="316"/>
      <c r="BW52" s="74">
        <v>19940266</v>
      </c>
      <c r="BX52" s="74">
        <v>6282076.4005325958</v>
      </c>
      <c r="BY52" s="74">
        <v>8657247.3284778688</v>
      </c>
      <c r="BZ52" s="74">
        <v>4688059.2885354441</v>
      </c>
      <c r="CA52" s="74">
        <f t="shared" si="23"/>
        <v>338605.69872906641</v>
      </c>
      <c r="CB52" s="74">
        <f t="shared" si="24"/>
        <v>433.50175394510825</v>
      </c>
      <c r="CC52" s="74">
        <f t="shared" si="25"/>
        <v>272.43347521446788</v>
      </c>
      <c r="CD52" s="74">
        <f t="shared" si="26"/>
        <v>-161.06827873064037</v>
      </c>
      <c r="CE52" s="74">
        <f t="shared" si="27"/>
        <v>148.93823868294538</v>
      </c>
      <c r="CF52" s="74">
        <f t="shared" si="28"/>
        <v>132.8495720539502</v>
      </c>
      <c r="CG52" s="74">
        <f t="shared" si="29"/>
        <v>116.65933306194468</v>
      </c>
      <c r="CH52" s="74">
        <f t="shared" si="30"/>
        <v>100.68313390515834</v>
      </c>
      <c r="CI52" s="74">
        <f t="shared" si="31"/>
        <v>318578.89254282019</v>
      </c>
      <c r="CJ52" s="74">
        <f t="shared" si="32"/>
        <v>284165.23462339945</v>
      </c>
      <c r="CK52" s="74">
        <f t="shared" si="33"/>
        <v>249534.31341949967</v>
      </c>
      <c r="CL52" s="74">
        <f t="shared" si="34"/>
        <v>215361.22342313369</v>
      </c>
      <c r="CM52" s="316"/>
      <c r="CN52" s="74">
        <v>6219.6296583468429</v>
      </c>
      <c r="CO52" s="74">
        <v>1055.1722580000001</v>
      </c>
    </row>
    <row r="53" spans="1:93" x14ac:dyDescent="0.2">
      <c r="A53" s="74">
        <v>106</v>
      </c>
      <c r="B53" s="74" t="s">
        <v>176</v>
      </c>
      <c r="C53" s="74">
        <v>35</v>
      </c>
      <c r="D53" s="74">
        <v>46880</v>
      </c>
      <c r="E53" s="89">
        <v>112337075.10673136</v>
      </c>
      <c r="F53" s="74">
        <v>76664960.919357508</v>
      </c>
      <c r="G53" s="74">
        <v>14682231.827</v>
      </c>
      <c r="H53" s="74">
        <v>13009188.222999999</v>
      </c>
      <c r="I53" s="74">
        <v>10082029.642922226</v>
      </c>
      <c r="J53" s="74">
        <v>6376835.0187758319</v>
      </c>
      <c r="K53" s="74">
        <v>1749488.2548557413</v>
      </c>
      <c r="L53" s="74">
        <v>-2114194</v>
      </c>
      <c r="M53" s="75">
        <v>-1062000</v>
      </c>
      <c r="N53" s="75">
        <v>570747.15868601063</v>
      </c>
      <c r="O53" s="178">
        <f t="shared" si="4"/>
        <v>7622211.9378659725</v>
      </c>
      <c r="P53" s="179">
        <f t="shared" si="5"/>
        <v>162.5898450909977</v>
      </c>
      <c r="Q53" s="74"/>
      <c r="R53" s="89">
        <v>290882173.48000002</v>
      </c>
      <c r="S53" s="74">
        <v>198917775.49152029</v>
      </c>
      <c r="T53" s="74">
        <v>19513782.3345</v>
      </c>
      <c r="U53" s="74">
        <v>50784902.950328007</v>
      </c>
      <c r="V53" s="74">
        <v>21267606.522079367</v>
      </c>
      <c r="W53" s="74">
        <v>11506037.827</v>
      </c>
      <c r="X53" s="178">
        <f t="shared" si="6"/>
        <v>11107931.645427644</v>
      </c>
      <c r="Y53" s="179">
        <f t="shared" si="7"/>
        <v>236.94393441611868</v>
      </c>
      <c r="Z53" s="74"/>
      <c r="AA53" s="84">
        <f t="shared" si="8"/>
        <v>-3485719.7075616717</v>
      </c>
      <c r="AB53" s="132">
        <f t="shared" si="9"/>
        <v>-74.354089325120981</v>
      </c>
      <c r="AD53" s="180">
        <v>3681008.4198144893</v>
      </c>
      <c r="AE53" s="187">
        <v>2917063.4301257445</v>
      </c>
      <c r="AF53" s="187">
        <v>2162826.7385584507</v>
      </c>
      <c r="AG53" s="187">
        <v>1403828.3346132324</v>
      </c>
      <c r="AH53" s="188">
        <v>654864.11814308842</v>
      </c>
      <c r="AJ53" s="74">
        <f t="shared" si="10"/>
        <v>122252814.57216278</v>
      </c>
      <c r="AK53" s="74">
        <f t="shared" si="11"/>
        <v>6504594.1115000006</v>
      </c>
      <c r="AL53" s="74">
        <f t="shared" si="12"/>
        <v>40702873.307405785</v>
      </c>
      <c r="AM53" s="74">
        <f t="shared" si="19"/>
        <v>178545098.37326866</v>
      </c>
      <c r="AN53" s="74">
        <f t="shared" si="13"/>
        <v>3681008.4198144893</v>
      </c>
      <c r="AO53" s="74">
        <f t="shared" si="14"/>
        <v>2917063.4301257445</v>
      </c>
      <c r="AP53" s="74">
        <f t="shared" si="15"/>
        <v>2162826.7385584507</v>
      </c>
      <c r="AQ53" s="74">
        <f t="shared" si="16"/>
        <v>1403828.3346132324</v>
      </c>
      <c r="AR53" s="74">
        <f t="shared" si="17"/>
        <v>654864.11814308842</v>
      </c>
      <c r="AS53" s="75">
        <v>21933</v>
      </c>
      <c r="AT53" s="75"/>
      <c r="AU53" s="75"/>
      <c r="AV53" s="75">
        <v>0</v>
      </c>
      <c r="AW53" s="75">
        <v>45470.815223869911</v>
      </c>
      <c r="AX53" s="75">
        <v>7066.997202335614</v>
      </c>
      <c r="AY53" s="75">
        <v>14890.771503303535</v>
      </c>
      <c r="AZ53" s="316"/>
      <c r="BA53" s="74"/>
      <c r="BB53" s="74"/>
      <c r="BC53" s="74"/>
      <c r="BD53" s="74"/>
      <c r="BE53" s="74"/>
      <c r="BF53" s="74"/>
      <c r="BG53" s="74"/>
      <c r="BM53" s="316"/>
      <c r="BN53" s="74">
        <v>112337075.10673136</v>
      </c>
      <c r="BO53" s="74">
        <v>168671903.75999996</v>
      </c>
      <c r="BP53" s="74">
        <v>189545000</v>
      </c>
      <c r="BQ53" s="74">
        <v>3486302.3899999997</v>
      </c>
      <c r="BR53" s="74">
        <v>2697000</v>
      </c>
      <c r="BS53" s="406">
        <f t="shared" si="20"/>
        <v>0.61458969300294797</v>
      </c>
      <c r="BT53" s="406">
        <f t="shared" si="21"/>
        <v>0.33333333333333337</v>
      </c>
      <c r="BU53" s="74">
        <f t="shared" si="22"/>
        <v>57343133.065565057</v>
      </c>
      <c r="BV53" s="316"/>
      <c r="BW53" s="74">
        <v>290882173.48000002</v>
      </c>
      <c r="BX53" s="74">
        <v>112337075.10673136</v>
      </c>
      <c r="BY53" s="74">
        <v>233113789.65302029</v>
      </c>
      <c r="BZ53" s="74">
        <v>104356380.96935751</v>
      </c>
      <c r="CA53" s="74">
        <f t="shared" si="23"/>
        <v>1749488.2548557322</v>
      </c>
      <c r="CB53" s="74">
        <f t="shared" si="24"/>
        <v>236.94393441611862</v>
      </c>
      <c r="CC53" s="74">
        <f t="shared" si="25"/>
        <v>162.5898450909973</v>
      </c>
      <c r="CD53" s="74">
        <f t="shared" si="26"/>
        <v>-74.354089325121322</v>
      </c>
      <c r="CE53" s="74">
        <f t="shared" si="27"/>
        <v>62.224049277426325</v>
      </c>
      <c r="CF53" s="74">
        <f t="shared" si="28"/>
        <v>46.135382648431147</v>
      </c>
      <c r="CG53" s="74">
        <f t="shared" si="29"/>
        <v>29.945143656425635</v>
      </c>
      <c r="CH53" s="74">
        <f t="shared" si="30"/>
        <v>13.968944499639287</v>
      </c>
      <c r="CI53" s="74">
        <f t="shared" si="31"/>
        <v>2917063.4301257459</v>
      </c>
      <c r="CJ53" s="74">
        <f t="shared" si="32"/>
        <v>2162826.7385584521</v>
      </c>
      <c r="CK53" s="74">
        <f t="shared" si="33"/>
        <v>1403828.3346132338</v>
      </c>
      <c r="CL53" s="74">
        <f t="shared" si="34"/>
        <v>654864.11814308981</v>
      </c>
      <c r="CM53" s="316"/>
      <c r="CN53" s="74">
        <v>204450.77034437627</v>
      </c>
      <c r="CO53" s="74">
        <v>21177.74827</v>
      </c>
    </row>
    <row r="54" spans="1:93" x14ac:dyDescent="0.2">
      <c r="A54" s="74">
        <v>108</v>
      </c>
      <c r="B54" s="74" t="s">
        <v>177</v>
      </c>
      <c r="C54" s="74">
        <v>6</v>
      </c>
      <c r="D54" s="74">
        <v>10337</v>
      </c>
      <c r="E54" s="89">
        <v>28318463.422621377</v>
      </c>
      <c r="F54" s="74">
        <v>16491730.396465873</v>
      </c>
      <c r="G54" s="74">
        <v>2242199.2614999996</v>
      </c>
      <c r="H54" s="74">
        <v>1840674.8560000001</v>
      </c>
      <c r="I54" s="74">
        <v>7350084.4754337315</v>
      </c>
      <c r="J54" s="74">
        <v>1778027.1583562582</v>
      </c>
      <c r="K54" s="74">
        <v>632336.26354080834</v>
      </c>
      <c r="L54" s="74">
        <v>-1291259</v>
      </c>
      <c r="M54" s="75">
        <v>-300000</v>
      </c>
      <c r="N54" s="75">
        <v>95570.838464279601</v>
      </c>
      <c r="O54" s="178">
        <f t="shared" si="4"/>
        <v>520900.82713957131</v>
      </c>
      <c r="P54" s="179">
        <f t="shared" si="5"/>
        <v>50.391876476692588</v>
      </c>
      <c r="Q54" s="74"/>
      <c r="R54" s="89">
        <v>66843171</v>
      </c>
      <c r="S54" s="74">
        <v>37131646.609877795</v>
      </c>
      <c r="T54" s="74">
        <v>2761012.284</v>
      </c>
      <c r="U54" s="74">
        <v>20938367.965921495</v>
      </c>
      <c r="V54" s="74">
        <v>5929960.8470584312</v>
      </c>
      <c r="W54" s="74">
        <v>650940.26149999956</v>
      </c>
      <c r="X54" s="178">
        <f t="shared" si="6"/>
        <v>568756.96835771203</v>
      </c>
      <c r="Y54" s="179">
        <f t="shared" si="7"/>
        <v>55.02147318929206</v>
      </c>
      <c r="Z54" s="74"/>
      <c r="AA54" s="84">
        <f t="shared" si="8"/>
        <v>-47856.141218140721</v>
      </c>
      <c r="AB54" s="132">
        <f t="shared" si="9"/>
        <v>-4.6295967125994704</v>
      </c>
      <c r="AD54" s="180">
        <v>90917.135641304689</v>
      </c>
      <c r="AE54" s="187">
        <v>29666.776026976833</v>
      </c>
      <c r="AF54" s="187">
        <v>18413.229083053673</v>
      </c>
      <c r="AG54" s="187">
        <v>6109.7286226926717</v>
      </c>
      <c r="AH54" s="188">
        <v>-3981.2420610078002</v>
      </c>
      <c r="AJ54" s="74">
        <f t="shared" si="10"/>
        <v>20639916.21341192</v>
      </c>
      <c r="AK54" s="74">
        <f t="shared" si="11"/>
        <v>920337.42799999984</v>
      </c>
      <c r="AL54" s="74">
        <f t="shared" si="12"/>
        <v>13588283.490487764</v>
      </c>
      <c r="AM54" s="74">
        <f t="shared" si="19"/>
        <v>38524707.577378623</v>
      </c>
      <c r="AN54" s="74">
        <f t="shared" si="13"/>
        <v>90917.135641304689</v>
      </c>
      <c r="AO54" s="74">
        <f t="shared" si="14"/>
        <v>29666.776026976833</v>
      </c>
      <c r="AP54" s="74">
        <f t="shared" si="15"/>
        <v>18413.229083053673</v>
      </c>
      <c r="AQ54" s="74">
        <f t="shared" si="16"/>
        <v>6109.7286226926717</v>
      </c>
      <c r="AR54" s="74">
        <f t="shared" si="17"/>
        <v>-3981.2420610078002</v>
      </c>
      <c r="AS54" s="75">
        <v>5291</v>
      </c>
      <c r="AT54" s="75"/>
      <c r="AU54" s="75"/>
      <c r="AV54" s="75">
        <v>36</v>
      </c>
      <c r="AW54" s="75">
        <v>11218.96810817275</v>
      </c>
      <c r="AX54" s="75">
        <v>-2747.501464288945</v>
      </c>
      <c r="AY54" s="75">
        <v>4151.9336887021727</v>
      </c>
      <c r="AZ54" s="316"/>
      <c r="BA54" s="74"/>
      <c r="BB54" s="74"/>
      <c r="BC54" s="74"/>
      <c r="BD54" s="74"/>
      <c r="BE54" s="74"/>
      <c r="BF54" s="74"/>
      <c r="BG54" s="74"/>
      <c r="BM54" s="316"/>
      <c r="BN54" s="74">
        <v>28318463.422621377</v>
      </c>
      <c r="BO54" s="74">
        <v>36028907.240000002</v>
      </c>
      <c r="BP54" s="74">
        <v>37128000</v>
      </c>
      <c r="BQ54" s="74">
        <v>783768</v>
      </c>
      <c r="BR54" s="74">
        <v>815000</v>
      </c>
      <c r="BS54" s="406">
        <f t="shared" si="20"/>
        <v>0.55585782204232426</v>
      </c>
      <c r="BT54" s="406">
        <f t="shared" si="21"/>
        <v>0.33333333333333326</v>
      </c>
      <c r="BU54" s="74">
        <f t="shared" si="22"/>
        <v>18372553.442730743</v>
      </c>
      <c r="BV54" s="316"/>
      <c r="BW54" s="74">
        <v>66843171</v>
      </c>
      <c r="BX54" s="74">
        <v>28318463.422621377</v>
      </c>
      <c r="BY54" s="74">
        <v>42134858.155377798</v>
      </c>
      <c r="BZ54" s="74">
        <v>20574604.513965871</v>
      </c>
      <c r="CA54" s="74">
        <f t="shared" si="23"/>
        <v>632336.26354080904</v>
      </c>
      <c r="CB54" s="74">
        <f t="shared" si="24"/>
        <v>55.021473189293097</v>
      </c>
      <c r="CC54" s="74">
        <f t="shared" si="25"/>
        <v>50.3918764766929</v>
      </c>
      <c r="CD54" s="74">
        <f t="shared" si="26"/>
        <v>-4.6295967126001969</v>
      </c>
      <c r="CE54" s="74">
        <f t="shared" si="27"/>
        <v>2.8699599523050048</v>
      </c>
      <c r="CF54" s="74">
        <f t="shared" si="28"/>
        <v>1.7812933233098263</v>
      </c>
      <c r="CG54" s="74">
        <f t="shared" si="29"/>
        <v>0.59105433130431184</v>
      </c>
      <c r="CH54" s="74">
        <f t="shared" si="30"/>
        <v>-0.38514482548203544</v>
      </c>
      <c r="CI54" s="74">
        <f t="shared" si="31"/>
        <v>29666.776026976833</v>
      </c>
      <c r="CJ54" s="74">
        <f t="shared" si="32"/>
        <v>18413.229083053673</v>
      </c>
      <c r="CK54" s="74">
        <f t="shared" si="33"/>
        <v>6109.7286226926717</v>
      </c>
      <c r="CL54" s="74">
        <f t="shared" si="34"/>
        <v>-3981.2420610078002</v>
      </c>
      <c r="CM54" s="316"/>
      <c r="CN54" s="74">
        <v>38401.940871283834</v>
      </c>
      <c r="CO54" s="74">
        <v>2996.4474400000004</v>
      </c>
    </row>
    <row r="55" spans="1:93" x14ac:dyDescent="0.2">
      <c r="A55" s="74">
        <v>109</v>
      </c>
      <c r="B55" s="74" t="s">
        <v>178</v>
      </c>
      <c r="C55" s="74">
        <v>5</v>
      </c>
      <c r="D55" s="74">
        <v>67971</v>
      </c>
      <c r="E55" s="89">
        <v>164281960.02496707</v>
      </c>
      <c r="F55" s="74">
        <v>110293734.23910759</v>
      </c>
      <c r="G55" s="74">
        <v>28890084.557500001</v>
      </c>
      <c r="H55" s="74">
        <v>14043034.5656</v>
      </c>
      <c r="I55" s="74">
        <v>15864625.433829265</v>
      </c>
      <c r="J55" s="74">
        <v>10214278.659057599</v>
      </c>
      <c r="K55" s="74">
        <v>-1056323.821490908</v>
      </c>
      <c r="L55" s="74">
        <v>-13699393</v>
      </c>
      <c r="M55" s="75">
        <v>500000</v>
      </c>
      <c r="N55" s="75">
        <v>734239.25049299921</v>
      </c>
      <c r="O55" s="178">
        <f t="shared" si="4"/>
        <v>1502319.8591294885</v>
      </c>
      <c r="P55" s="179">
        <f t="shared" si="5"/>
        <v>22.102365113496763</v>
      </c>
      <c r="Q55" s="74"/>
      <c r="R55" s="89">
        <v>435381000</v>
      </c>
      <c r="S55" s="74">
        <v>268912539.13498122</v>
      </c>
      <c r="T55" s="74">
        <v>21064551.8484</v>
      </c>
      <c r="U55" s="74">
        <v>99117673.007556453</v>
      </c>
      <c r="V55" s="74">
        <v>34065999.635883942</v>
      </c>
      <c r="W55" s="74">
        <v>15690691.557500001</v>
      </c>
      <c r="X55" s="178">
        <f t="shared" si="6"/>
        <v>3470455.1843216419</v>
      </c>
      <c r="Y55" s="179">
        <f t="shared" si="7"/>
        <v>51.057880336049813</v>
      </c>
      <c r="Z55" s="74"/>
      <c r="AA55" s="84">
        <f t="shared" si="8"/>
        <v>-1968135.3251921535</v>
      </c>
      <c r="AB55" s="132">
        <f t="shared" si="9"/>
        <v>-28.95551522255305</v>
      </c>
      <c r="AD55" s="180">
        <v>2251283.1293844292</v>
      </c>
      <c r="AE55" s="187">
        <v>1143644.3731102473</v>
      </c>
      <c r="AF55" s="187">
        <v>121076.28847869221</v>
      </c>
      <c r="AG55" s="187">
        <v>40174.553953085378</v>
      </c>
      <c r="AH55" s="188">
        <v>-26178.67893283943</v>
      </c>
      <c r="AJ55" s="74">
        <f t="shared" si="10"/>
        <v>158618804.89587361</v>
      </c>
      <c r="AK55" s="74">
        <f t="shared" si="11"/>
        <v>7021517.2828000002</v>
      </c>
      <c r="AL55" s="74">
        <f t="shared" si="12"/>
        <v>83253047.57372719</v>
      </c>
      <c r="AM55" s="74">
        <f t="shared" si="19"/>
        <v>271099039.97503293</v>
      </c>
      <c r="AN55" s="74">
        <f t="shared" si="13"/>
        <v>2251283.1293844292</v>
      </c>
      <c r="AO55" s="74">
        <f t="shared" si="14"/>
        <v>1143644.3731102473</v>
      </c>
      <c r="AP55" s="74">
        <f t="shared" si="15"/>
        <v>121076.28847869221</v>
      </c>
      <c r="AQ55" s="74">
        <f t="shared" si="16"/>
        <v>40174.553953085378</v>
      </c>
      <c r="AR55" s="74">
        <f t="shared" si="17"/>
        <v>-26178.67893283943</v>
      </c>
      <c r="AS55" s="75">
        <v>22021</v>
      </c>
      <c r="AT55" s="75"/>
      <c r="AU55" s="75"/>
      <c r="AV55" s="75">
        <v>755</v>
      </c>
      <c r="AW55" s="75">
        <v>82068.005977287292</v>
      </c>
      <c r="AX55" s="75">
        <v>1457.8203472425546</v>
      </c>
      <c r="AY55" s="75">
        <v>23851.720976826346</v>
      </c>
      <c r="AZ55" s="316"/>
      <c r="BA55" s="74"/>
      <c r="BB55" s="74"/>
      <c r="BC55" s="74"/>
      <c r="BD55" s="74"/>
      <c r="BE55" s="74"/>
      <c r="BF55" s="74"/>
      <c r="BG55" s="74"/>
      <c r="BM55" s="316"/>
      <c r="BN55" s="74">
        <v>164281960.02496707</v>
      </c>
      <c r="BO55" s="74">
        <v>254386419.87000006</v>
      </c>
      <c r="BP55" s="74">
        <v>290398000</v>
      </c>
      <c r="BQ55" s="74">
        <v>4939575.7500000009</v>
      </c>
      <c r="BR55" s="74">
        <v>5983000</v>
      </c>
      <c r="BS55" s="406">
        <f t="shared" si="20"/>
        <v>0.58985276553524557</v>
      </c>
      <c r="BT55" s="406">
        <f t="shared" si="21"/>
        <v>0.33333333333333337</v>
      </c>
      <c r="BU55" s="74">
        <f t="shared" si="22"/>
        <v>106048444.72906262</v>
      </c>
      <c r="BV55" s="316"/>
      <c r="BW55" s="74">
        <v>435381000</v>
      </c>
      <c r="BX55" s="74">
        <v>164281960.02496707</v>
      </c>
      <c r="BY55" s="74">
        <v>318867175.54088122</v>
      </c>
      <c r="BZ55" s="74">
        <v>153226853.36220759</v>
      </c>
      <c r="CA55" s="74">
        <f t="shared" si="23"/>
        <v>-1056323.8214909348</v>
      </c>
      <c r="CB55" s="74">
        <f t="shared" si="24"/>
        <v>51.057880336049323</v>
      </c>
      <c r="CC55" s="74">
        <f t="shared" si="25"/>
        <v>22.102365113496173</v>
      </c>
      <c r="CD55" s="74">
        <f t="shared" si="26"/>
        <v>-28.955515222553149</v>
      </c>
      <c r="CE55" s="74">
        <f t="shared" si="27"/>
        <v>16.825475174858155</v>
      </c>
      <c r="CF55" s="74">
        <f t="shared" si="28"/>
        <v>1.7812933233098263</v>
      </c>
      <c r="CG55" s="74">
        <f t="shared" si="29"/>
        <v>0.59105433130431184</v>
      </c>
      <c r="CH55" s="74">
        <f t="shared" si="30"/>
        <v>-0.38514482548203544</v>
      </c>
      <c r="CI55" s="74">
        <f t="shared" si="31"/>
        <v>1143644.3731102836</v>
      </c>
      <c r="CJ55" s="74">
        <f t="shared" si="32"/>
        <v>121076.28847869221</v>
      </c>
      <c r="CK55" s="74">
        <f t="shared" si="33"/>
        <v>40174.553953085378</v>
      </c>
      <c r="CL55" s="74">
        <f t="shared" si="34"/>
        <v>-26178.67893283943</v>
      </c>
      <c r="CM55" s="316"/>
      <c r="CN55" s="74">
        <v>276784.12457877776</v>
      </c>
      <c r="CO55" s="74">
        <v>22860.753944000004</v>
      </c>
    </row>
    <row r="56" spans="1:93" x14ac:dyDescent="0.2">
      <c r="A56" s="74">
        <v>111</v>
      </c>
      <c r="B56" s="74" t="s">
        <v>167</v>
      </c>
      <c r="C56" s="74">
        <v>7</v>
      </c>
      <c r="D56" s="74">
        <v>18344</v>
      </c>
      <c r="E56" s="89">
        <v>47978655.4968393</v>
      </c>
      <c r="F56" s="74">
        <v>25666935.800022986</v>
      </c>
      <c r="G56" s="74">
        <v>6382407.1899999985</v>
      </c>
      <c r="H56" s="74">
        <v>2599423.8997999998</v>
      </c>
      <c r="I56" s="74">
        <v>2772508.527378513</v>
      </c>
      <c r="J56" s="74">
        <v>3136255.3892333405</v>
      </c>
      <c r="K56" s="74">
        <v>4154602.9293716196</v>
      </c>
      <c r="L56" s="74">
        <v>-2686382</v>
      </c>
      <c r="M56" s="75">
        <v>3388000</v>
      </c>
      <c r="N56" s="75">
        <v>178408.46573623488</v>
      </c>
      <c r="O56" s="178">
        <f t="shared" si="4"/>
        <v>-2386495.2952966094</v>
      </c>
      <c r="P56" s="179">
        <f t="shared" si="5"/>
        <v>-130.0967779817166</v>
      </c>
      <c r="Q56" s="74"/>
      <c r="R56" s="89">
        <v>130175300</v>
      </c>
      <c r="S56" s="74">
        <v>64615188.970634565</v>
      </c>
      <c r="T56" s="74">
        <v>3899135.8497000001</v>
      </c>
      <c r="U56" s="74">
        <v>46125805.169014916</v>
      </c>
      <c r="V56" s="74">
        <v>10459835.54138902</v>
      </c>
      <c r="W56" s="74">
        <v>7084025.1899999985</v>
      </c>
      <c r="X56" s="178">
        <f t="shared" si="6"/>
        <v>2008690.7207385004</v>
      </c>
      <c r="Y56" s="179">
        <f t="shared" si="7"/>
        <v>109.50123859237355</v>
      </c>
      <c r="Z56" s="74"/>
      <c r="AA56" s="84">
        <f t="shared" si="8"/>
        <v>-4395186.0160351098</v>
      </c>
      <c r="AB56" s="132">
        <f t="shared" si="9"/>
        <v>-239.59801657409014</v>
      </c>
      <c r="AD56" s="180">
        <v>4471601.8892766926</v>
      </c>
      <c r="AE56" s="187">
        <v>4172672.5614001928</v>
      </c>
      <c r="AF56" s="187">
        <v>3877542.0607579048</v>
      </c>
      <c r="AG56" s="187">
        <v>3580548.3166885558</v>
      </c>
      <c r="AH56" s="188">
        <v>3287480.9193564672</v>
      </c>
      <c r="AJ56" s="74">
        <f t="shared" si="10"/>
        <v>38948253.170611575</v>
      </c>
      <c r="AK56" s="74">
        <f t="shared" si="11"/>
        <v>1299711.9499000004</v>
      </c>
      <c r="AL56" s="74">
        <f t="shared" si="12"/>
        <v>43353296.641636401</v>
      </c>
      <c r="AM56" s="74">
        <f t="shared" si="19"/>
        <v>82196644.5031607</v>
      </c>
      <c r="AN56" s="74">
        <f t="shared" si="13"/>
        <v>4471601.8892766926</v>
      </c>
      <c r="AO56" s="74">
        <f t="shared" si="14"/>
        <v>4172672.5614001928</v>
      </c>
      <c r="AP56" s="74">
        <f t="shared" si="15"/>
        <v>3877542.0607579048</v>
      </c>
      <c r="AQ56" s="74">
        <f t="shared" si="16"/>
        <v>3580548.3166885558</v>
      </c>
      <c r="AR56" s="74">
        <f t="shared" si="17"/>
        <v>3287480.9193564672</v>
      </c>
      <c r="AS56" s="75">
        <v>10560</v>
      </c>
      <c r="AT56" s="75"/>
      <c r="AU56" s="75"/>
      <c r="AV56" s="75">
        <v>258</v>
      </c>
      <c r="AW56" s="75">
        <v>38246.886933500587</v>
      </c>
      <c r="AX56" s="75">
        <v>-3488.9175346646298</v>
      </c>
      <c r="AY56" s="75">
        <v>7323.5801521556796</v>
      </c>
      <c r="AZ56" s="316"/>
      <c r="BA56" s="74"/>
      <c r="BB56" s="74"/>
      <c r="BC56" s="74"/>
      <c r="BD56" s="74"/>
      <c r="BE56" s="74"/>
      <c r="BF56" s="74"/>
      <c r="BG56" s="74"/>
      <c r="BM56" s="316"/>
      <c r="BN56" s="74">
        <v>47978655.4968393</v>
      </c>
      <c r="BO56" s="74">
        <v>76544263.310000017</v>
      </c>
      <c r="BP56" s="74">
        <v>80857000</v>
      </c>
      <c r="BQ56" s="74">
        <v>2253614.91</v>
      </c>
      <c r="BR56" s="74">
        <v>2108000</v>
      </c>
      <c r="BS56" s="406">
        <f t="shared" si="20"/>
        <v>0.60277240987892577</v>
      </c>
      <c r="BT56" s="406">
        <f t="shared" si="21"/>
        <v>0.33333333333333337</v>
      </c>
      <c r="BU56" s="74">
        <f t="shared" si="22"/>
        <v>54831479.723163702</v>
      </c>
      <c r="BV56" s="316"/>
      <c r="BW56" s="74">
        <v>130175300</v>
      </c>
      <c r="BX56" s="74">
        <v>47978655.4968393</v>
      </c>
      <c r="BY56" s="74">
        <v>74896732.010334566</v>
      </c>
      <c r="BZ56" s="74">
        <v>34648766.889822982</v>
      </c>
      <c r="CA56" s="74">
        <f t="shared" si="23"/>
        <v>4154602.9293716117</v>
      </c>
      <c r="CB56" s="74">
        <f t="shared" si="24"/>
        <v>109.5012385923737</v>
      </c>
      <c r="CC56" s="74">
        <f t="shared" si="25"/>
        <v>-130.096777981717</v>
      </c>
      <c r="CD56" s="74">
        <f t="shared" si="26"/>
        <v>-239.59801657409071</v>
      </c>
      <c r="CE56" s="74">
        <f t="shared" si="27"/>
        <v>227.46797652639572</v>
      </c>
      <c r="CF56" s="74">
        <f t="shared" si="28"/>
        <v>211.37930989740053</v>
      </c>
      <c r="CG56" s="74">
        <f t="shared" si="29"/>
        <v>195.18907090539503</v>
      </c>
      <c r="CH56" s="74">
        <f t="shared" si="30"/>
        <v>179.21287174860868</v>
      </c>
      <c r="CI56" s="74">
        <f t="shared" si="31"/>
        <v>4172672.561400203</v>
      </c>
      <c r="CJ56" s="74">
        <f t="shared" si="32"/>
        <v>3877542.0607579155</v>
      </c>
      <c r="CK56" s="74">
        <f t="shared" si="33"/>
        <v>3580548.3166885665</v>
      </c>
      <c r="CL56" s="74">
        <f t="shared" si="34"/>
        <v>3287480.9193564774</v>
      </c>
      <c r="CM56" s="316"/>
      <c r="CN56" s="74">
        <v>65604.545970825566</v>
      </c>
      <c r="CO56" s="74">
        <v>4231.6203019999994</v>
      </c>
    </row>
    <row r="57" spans="1:93" x14ac:dyDescent="0.2">
      <c r="A57" s="74">
        <v>139</v>
      </c>
      <c r="B57" s="74" t="s">
        <v>179</v>
      </c>
      <c r="C57" s="74">
        <v>17</v>
      </c>
      <c r="D57" s="74">
        <v>9912</v>
      </c>
      <c r="E57" s="89">
        <v>34280608.35945227</v>
      </c>
      <c r="F57" s="74">
        <v>13515436.047843231</v>
      </c>
      <c r="G57" s="74">
        <v>4754991.2810000004</v>
      </c>
      <c r="H57" s="74">
        <v>1214543.213</v>
      </c>
      <c r="I57" s="74">
        <v>13776421.35487641</v>
      </c>
      <c r="J57" s="74">
        <v>1516166.8850723635</v>
      </c>
      <c r="K57" s="74">
        <v>-534634.40564460063</v>
      </c>
      <c r="L57" s="74">
        <v>-64500</v>
      </c>
      <c r="M57" s="75">
        <v>-198204</v>
      </c>
      <c r="N57" s="75">
        <v>81487.518618654736</v>
      </c>
      <c r="O57" s="178">
        <f t="shared" si="4"/>
        <v>-218900.46468621492</v>
      </c>
      <c r="P57" s="179">
        <f t="shared" si="5"/>
        <v>-22.084389092636695</v>
      </c>
      <c r="Q57" s="74"/>
      <c r="R57" s="89">
        <v>72039203</v>
      </c>
      <c r="S57" s="74">
        <v>31291298.860365048</v>
      </c>
      <c r="T57" s="74">
        <v>1821814.8195</v>
      </c>
      <c r="U57" s="74">
        <v>28161419.121674426</v>
      </c>
      <c r="V57" s="74">
        <v>5056621.4491332266</v>
      </c>
      <c r="W57" s="74">
        <v>4492287.2810000004</v>
      </c>
      <c r="X57" s="178">
        <f t="shared" si="6"/>
        <v>-1215761.4683272988</v>
      </c>
      <c r="Y57" s="179">
        <f t="shared" si="7"/>
        <v>-122.65551536796799</v>
      </c>
      <c r="Z57" s="74"/>
      <c r="AA57" s="84">
        <f t="shared" si="8"/>
        <v>996861.00364108384</v>
      </c>
      <c r="AB57" s="132">
        <f t="shared" si="9"/>
        <v>100.5711262753313</v>
      </c>
      <c r="AD57" s="180">
        <v>-955570.43802996108</v>
      </c>
      <c r="AE57" s="187">
        <v>-819733.96059384395</v>
      </c>
      <c r="AF57" s="187">
        <v>-681844.82422044431</v>
      </c>
      <c r="AG57" s="187">
        <v>-544962.47310920293</v>
      </c>
      <c r="AH57" s="188">
        <v>-405958.5591512692</v>
      </c>
      <c r="AJ57" s="74">
        <f t="shared" si="10"/>
        <v>17775862.812521815</v>
      </c>
      <c r="AK57" s="74">
        <f t="shared" si="11"/>
        <v>607271.60649999999</v>
      </c>
      <c r="AL57" s="74">
        <f t="shared" si="12"/>
        <v>14384997.766798016</v>
      </c>
      <c r="AM57" s="74">
        <f t="shared" si="19"/>
        <v>37758594.64054773</v>
      </c>
      <c r="AN57" s="74">
        <f t="shared" si="13"/>
        <v>-955570.43802996108</v>
      </c>
      <c r="AO57" s="74">
        <f t="shared" si="14"/>
        <v>-819733.96059384395</v>
      </c>
      <c r="AP57" s="74">
        <f t="shared" si="15"/>
        <v>-681844.82422044431</v>
      </c>
      <c r="AQ57" s="74">
        <f t="shared" si="16"/>
        <v>-544962.47310920293</v>
      </c>
      <c r="AR57" s="74">
        <f t="shared" si="17"/>
        <v>-405958.5591512692</v>
      </c>
      <c r="AS57" s="75">
        <v>3895</v>
      </c>
      <c r="AT57" s="75"/>
      <c r="AU57" s="75"/>
      <c r="AV57" s="75">
        <v>0</v>
      </c>
      <c r="AW57" s="75">
        <v>11024.27686013014</v>
      </c>
      <c r="AX57" s="75">
        <v>-4005.459300851353</v>
      </c>
      <c r="AY57" s="75">
        <v>3540.454564060863</v>
      </c>
      <c r="AZ57" s="316"/>
      <c r="BA57" s="74"/>
      <c r="BB57" s="74"/>
      <c r="BC57" s="74"/>
      <c r="BD57" s="74"/>
      <c r="BE57" s="74"/>
      <c r="BF57" s="74"/>
      <c r="BG57" s="74"/>
      <c r="BM57" s="316"/>
      <c r="BN57" s="74">
        <v>34280608.35945227</v>
      </c>
      <c r="BO57" s="74">
        <v>36358037.780000009</v>
      </c>
      <c r="BP57" s="74">
        <v>37474000</v>
      </c>
      <c r="BQ57" s="74">
        <v>830678.24</v>
      </c>
      <c r="BR57" s="74">
        <v>709000</v>
      </c>
      <c r="BS57" s="406">
        <f t="shared" si="20"/>
        <v>0.56807686033888216</v>
      </c>
      <c r="BT57" s="406">
        <f t="shared" si="21"/>
        <v>0.33333333333333337</v>
      </c>
      <c r="BU57" s="74">
        <f t="shared" si="22"/>
        <v>17390817.925214279</v>
      </c>
      <c r="BV57" s="316"/>
      <c r="BW57" s="74">
        <v>72039203</v>
      </c>
      <c r="BX57" s="74">
        <v>34280608.35945227</v>
      </c>
      <c r="BY57" s="74">
        <v>37868104.960865051</v>
      </c>
      <c r="BZ57" s="74">
        <v>19484970.541843232</v>
      </c>
      <c r="CA57" s="74">
        <f t="shared" si="23"/>
        <v>-534634.40564460575</v>
      </c>
      <c r="CB57" s="74">
        <f t="shared" si="24"/>
        <v>-122.65551536796809</v>
      </c>
      <c r="CC57" s="74">
        <f t="shared" si="25"/>
        <v>-22.084389092636748</v>
      </c>
      <c r="CD57" s="74">
        <f t="shared" si="26"/>
        <v>100.57112627533135</v>
      </c>
      <c r="CE57" s="74">
        <f t="shared" si="27"/>
        <v>-82.701166323026342</v>
      </c>
      <c r="CF57" s="74">
        <f t="shared" si="28"/>
        <v>-68.789832952021527</v>
      </c>
      <c r="CG57" s="74">
        <f t="shared" si="29"/>
        <v>-54.980071944027038</v>
      </c>
      <c r="CH57" s="74">
        <f t="shared" si="30"/>
        <v>-40.956271100813389</v>
      </c>
      <c r="CI57" s="74">
        <f t="shared" si="31"/>
        <v>-819733.96059383708</v>
      </c>
      <c r="CJ57" s="74">
        <f t="shared" si="32"/>
        <v>-681844.82422043732</v>
      </c>
      <c r="CK57" s="74">
        <f t="shared" si="33"/>
        <v>-544962.47310919606</v>
      </c>
      <c r="CL57" s="74">
        <f t="shared" si="34"/>
        <v>-405958.55915126234</v>
      </c>
      <c r="CM57" s="316"/>
      <c r="CN57" s="74">
        <v>32833.872824869832</v>
      </c>
      <c r="CO57" s="74">
        <v>1977.16337</v>
      </c>
    </row>
    <row r="58" spans="1:93" x14ac:dyDescent="0.2">
      <c r="A58" s="74">
        <v>140</v>
      </c>
      <c r="B58" s="74" t="s">
        <v>180</v>
      </c>
      <c r="C58" s="74">
        <v>11</v>
      </c>
      <c r="D58" s="74">
        <v>20958</v>
      </c>
      <c r="E58" s="89">
        <v>61523748.655211478</v>
      </c>
      <c r="F58" s="74">
        <v>28104455.547896437</v>
      </c>
      <c r="G58" s="74">
        <v>6028185.9847999997</v>
      </c>
      <c r="H58" s="74">
        <v>4296204.7942000004</v>
      </c>
      <c r="I58" s="74">
        <v>10981343.444849679</v>
      </c>
      <c r="J58" s="74">
        <v>3649272.5385136139</v>
      </c>
      <c r="K58" s="74">
        <v>6270362.2196530169</v>
      </c>
      <c r="L58" s="74">
        <v>-1329951</v>
      </c>
      <c r="M58" s="75">
        <v>1099000</v>
      </c>
      <c r="N58" s="75">
        <v>195215.85741273957</v>
      </c>
      <c r="O58" s="178">
        <f t="shared" si="4"/>
        <v>-2229659.2678859904</v>
      </c>
      <c r="P58" s="179">
        <f t="shared" si="5"/>
        <v>-106.38702490151687</v>
      </c>
      <c r="Q58" s="74"/>
      <c r="R58" s="89">
        <v>147991620</v>
      </c>
      <c r="S58" s="74">
        <v>69995973.062862828</v>
      </c>
      <c r="T58" s="74">
        <v>6444307.1913000001</v>
      </c>
      <c r="U58" s="74">
        <v>55014290.90807578</v>
      </c>
      <c r="V58" s="74">
        <v>12170817.060880521</v>
      </c>
      <c r="W58" s="74">
        <v>5797234.9847999997</v>
      </c>
      <c r="X58" s="178">
        <f t="shared" si="6"/>
        <v>1431003.2079191208</v>
      </c>
      <c r="Y58" s="179">
        <f t="shared" si="7"/>
        <v>68.279569038988484</v>
      </c>
      <c r="Z58" s="74"/>
      <c r="AA58" s="84">
        <f t="shared" si="8"/>
        <v>-3660662.4758051112</v>
      </c>
      <c r="AB58" s="132">
        <f t="shared" si="9"/>
        <v>-174.66659394050535</v>
      </c>
      <c r="AD58" s="180">
        <v>3747967.5276693455</v>
      </c>
      <c r="AE58" s="187">
        <v>3406441.0964855421</v>
      </c>
      <c r="AF58" s="187">
        <v>3069254.821275061</v>
      </c>
      <c r="AG58" s="187">
        <v>2729939.7924806098</v>
      </c>
      <c r="AH58" s="188">
        <v>2395110.6105526816</v>
      </c>
      <c r="AJ58" s="74">
        <f t="shared" si="10"/>
        <v>41891517.514966391</v>
      </c>
      <c r="AK58" s="74">
        <f t="shared" si="11"/>
        <v>2148102.3970999997</v>
      </c>
      <c r="AL58" s="74">
        <f t="shared" si="12"/>
        <v>44032947.463226102</v>
      </c>
      <c r="AM58" s="74">
        <f t="shared" si="19"/>
        <v>86467871.344788522</v>
      </c>
      <c r="AN58" s="74">
        <f t="shared" si="13"/>
        <v>3747967.5276693455</v>
      </c>
      <c r="AO58" s="74">
        <f t="shared" si="14"/>
        <v>3406441.0964855421</v>
      </c>
      <c r="AP58" s="74">
        <f t="shared" si="15"/>
        <v>3069254.821275061</v>
      </c>
      <c r="AQ58" s="74">
        <f t="shared" si="16"/>
        <v>2729939.7924806098</v>
      </c>
      <c r="AR58" s="74">
        <f t="shared" si="17"/>
        <v>2395110.6105526816</v>
      </c>
      <c r="AS58" s="75">
        <v>8638</v>
      </c>
      <c r="AT58" s="75"/>
      <c r="AU58" s="75"/>
      <c r="AV58" s="75">
        <v>9</v>
      </c>
      <c r="AW58" s="75">
        <v>38927.591037381921</v>
      </c>
      <c r="AX58" s="75">
        <v>-5634.0280717219357</v>
      </c>
      <c r="AY58" s="75">
        <v>8521.5445223669085</v>
      </c>
      <c r="AZ58" s="316"/>
      <c r="BA58" s="74"/>
      <c r="BB58" s="74"/>
      <c r="BC58" s="74"/>
      <c r="BD58" s="74"/>
      <c r="BE58" s="74"/>
      <c r="BF58" s="74"/>
      <c r="BG58" s="74"/>
      <c r="BM58" s="316"/>
      <c r="BN58" s="74">
        <v>61523748.655211478</v>
      </c>
      <c r="BO58" s="74">
        <v>80155126.450000003</v>
      </c>
      <c r="BP58" s="74">
        <v>86804000</v>
      </c>
      <c r="BQ58" s="74">
        <v>1975545</v>
      </c>
      <c r="BR58" s="74">
        <v>2564000</v>
      </c>
      <c r="BS58" s="406">
        <f t="shared" si="20"/>
        <v>0.59848467964498409</v>
      </c>
      <c r="BT58" s="406">
        <f t="shared" si="21"/>
        <v>0.33333333333333326</v>
      </c>
      <c r="BU58" s="74">
        <f t="shared" si="22"/>
        <v>58824854.205246031</v>
      </c>
      <c r="BV58" s="316"/>
      <c r="BW58" s="74">
        <v>147991620</v>
      </c>
      <c r="BX58" s="74">
        <v>61523748.655211478</v>
      </c>
      <c r="BY58" s="74">
        <v>82468466.238962829</v>
      </c>
      <c r="BZ58" s="74">
        <v>38428846.326896444</v>
      </c>
      <c r="CA58" s="74">
        <f t="shared" si="23"/>
        <v>6270362.2196529917</v>
      </c>
      <c r="CB58" s="74">
        <f t="shared" si="24"/>
        <v>68.279569038989109</v>
      </c>
      <c r="CC58" s="74">
        <f t="shared" si="25"/>
        <v>-106.38702490151816</v>
      </c>
      <c r="CD58" s="74">
        <f t="shared" si="26"/>
        <v>-174.66659394050725</v>
      </c>
      <c r="CE58" s="74">
        <f t="shared" si="27"/>
        <v>162.53655389281226</v>
      </c>
      <c r="CF58" s="74">
        <f t="shared" si="28"/>
        <v>146.44788726381708</v>
      </c>
      <c r="CG58" s="74">
        <f t="shared" si="29"/>
        <v>130.25764827181158</v>
      </c>
      <c r="CH58" s="74">
        <f t="shared" si="30"/>
        <v>114.28144911502523</v>
      </c>
      <c r="CI58" s="74">
        <f t="shared" si="31"/>
        <v>3406441.0964855594</v>
      </c>
      <c r="CJ58" s="74">
        <f t="shared" si="32"/>
        <v>3069254.8212750782</v>
      </c>
      <c r="CK58" s="74">
        <f t="shared" si="33"/>
        <v>2729939.7924806271</v>
      </c>
      <c r="CL58" s="74">
        <f t="shared" si="34"/>
        <v>2395110.6105526988</v>
      </c>
      <c r="CM58" s="316"/>
      <c r="CN58" s="74">
        <v>70523.554035644396</v>
      </c>
      <c r="CO58" s="74">
        <v>6993.821758</v>
      </c>
    </row>
    <row r="59" spans="1:93" x14ac:dyDescent="0.2">
      <c r="A59" s="74">
        <v>142</v>
      </c>
      <c r="B59" s="74" t="s">
        <v>181</v>
      </c>
      <c r="C59" s="74">
        <v>7</v>
      </c>
      <c r="D59" s="74">
        <v>6559</v>
      </c>
      <c r="E59" s="89">
        <v>16183366.973097425</v>
      </c>
      <c r="F59" s="74">
        <v>9332315.1245380156</v>
      </c>
      <c r="G59" s="74">
        <v>3172362.318</v>
      </c>
      <c r="H59" s="74">
        <v>1041465.3578</v>
      </c>
      <c r="I59" s="74">
        <v>3246241.5461297757</v>
      </c>
      <c r="J59" s="74">
        <v>1199542.6477803397</v>
      </c>
      <c r="K59" s="74">
        <v>-71566.627596771534</v>
      </c>
      <c r="L59" s="74">
        <v>-694731</v>
      </c>
      <c r="M59" s="75">
        <v>-37000</v>
      </c>
      <c r="N59" s="75">
        <v>58726.549254854574</v>
      </c>
      <c r="O59" s="178">
        <f t="shared" si="4"/>
        <v>1063988.9428087883</v>
      </c>
      <c r="P59" s="179">
        <f t="shared" si="5"/>
        <v>162.21816478255653</v>
      </c>
      <c r="Q59" s="74"/>
      <c r="R59" s="89">
        <v>44808705</v>
      </c>
      <c r="S59" s="74">
        <v>22059967.808425978</v>
      </c>
      <c r="T59" s="74">
        <v>1562198.0367000001</v>
      </c>
      <c r="U59" s="74">
        <v>15922827.743620619</v>
      </c>
      <c r="V59" s="74">
        <v>4000636.8307052357</v>
      </c>
      <c r="W59" s="74">
        <v>2440631.318</v>
      </c>
      <c r="X59" s="178">
        <f t="shared" si="6"/>
        <v>1177556.7374518365</v>
      </c>
      <c r="Y59" s="179">
        <f t="shared" si="7"/>
        <v>179.53296805181225</v>
      </c>
      <c r="Z59" s="74"/>
      <c r="AA59" s="84">
        <f t="shared" si="8"/>
        <v>-113567.7946430482</v>
      </c>
      <c r="AB59" s="132">
        <f t="shared" si="9"/>
        <v>-17.314803269255709</v>
      </c>
      <c r="AD59" s="180">
        <v>140890.71835605195</v>
      </c>
      <c r="AE59" s="187">
        <v>34006.861970205602</v>
      </c>
      <c r="AF59" s="187">
        <v>11683.502907589151</v>
      </c>
      <c r="AG59" s="187">
        <v>3876.7253590249816</v>
      </c>
      <c r="AH59" s="188">
        <v>-2526.1649103366703</v>
      </c>
      <c r="AJ59" s="74">
        <f t="shared" si="10"/>
        <v>12727652.683887962</v>
      </c>
      <c r="AK59" s="74">
        <f t="shared" si="11"/>
        <v>520732.67890000006</v>
      </c>
      <c r="AL59" s="74">
        <f t="shared" si="12"/>
        <v>12676586.197490843</v>
      </c>
      <c r="AM59" s="74">
        <f t="shared" si="19"/>
        <v>28625338.026902575</v>
      </c>
      <c r="AN59" s="74">
        <f t="shared" si="13"/>
        <v>140890.71835605195</v>
      </c>
      <c r="AO59" s="74">
        <f t="shared" si="14"/>
        <v>34006.861970205602</v>
      </c>
      <c r="AP59" s="74">
        <f t="shared" si="15"/>
        <v>11683.502907589151</v>
      </c>
      <c r="AQ59" s="74">
        <f t="shared" si="16"/>
        <v>3876.7253590249816</v>
      </c>
      <c r="AR59" s="74">
        <f t="shared" si="17"/>
        <v>-2526.1649103366703</v>
      </c>
      <c r="AS59" s="75">
        <v>1662</v>
      </c>
      <c r="AT59" s="75"/>
      <c r="AU59" s="75"/>
      <c r="AV59" s="75">
        <v>0</v>
      </c>
      <c r="AW59" s="75">
        <v>10384.562999460839</v>
      </c>
      <c r="AX59" s="75">
        <v>-2133.5899447331376</v>
      </c>
      <c r="AY59" s="75">
        <v>2801.0941829248959</v>
      </c>
      <c r="AZ59" s="316"/>
      <c r="BA59" s="74"/>
      <c r="BB59" s="74"/>
      <c r="BC59" s="74"/>
      <c r="BD59" s="74"/>
      <c r="BE59" s="74"/>
      <c r="BF59" s="74"/>
      <c r="BG59" s="74"/>
      <c r="BM59" s="316"/>
      <c r="BN59" s="74">
        <v>16183366.973097425</v>
      </c>
      <c r="BO59" s="74">
        <v>26033994.470000003</v>
      </c>
      <c r="BP59" s="74">
        <v>27640000</v>
      </c>
      <c r="BQ59" s="74">
        <v>666428.07999999996</v>
      </c>
      <c r="BR59" s="74">
        <v>684000</v>
      </c>
      <c r="BS59" s="406">
        <f t="shared" si="20"/>
        <v>0.57695699261295097</v>
      </c>
      <c r="BT59" s="406">
        <f t="shared" si="21"/>
        <v>0.33333333333333337</v>
      </c>
      <c r="BU59" s="74">
        <f t="shared" si="22"/>
        <v>15406113.75281897</v>
      </c>
      <c r="BV59" s="316"/>
      <c r="BW59" s="74">
        <v>44808705</v>
      </c>
      <c r="BX59" s="74">
        <v>16183366.973097425</v>
      </c>
      <c r="BY59" s="74">
        <v>26794528.163125977</v>
      </c>
      <c r="BZ59" s="74">
        <v>13546142.800338015</v>
      </c>
      <c r="CA59" s="74">
        <f t="shared" si="23"/>
        <v>-71566.627596776219</v>
      </c>
      <c r="CB59" s="74">
        <f t="shared" si="24"/>
        <v>179.53296805181154</v>
      </c>
      <c r="CC59" s="74">
        <f t="shared" si="25"/>
        <v>162.21816478255593</v>
      </c>
      <c r="CD59" s="74">
        <f t="shared" si="26"/>
        <v>-17.314803269255606</v>
      </c>
      <c r="CE59" s="74">
        <f t="shared" si="27"/>
        <v>5.1847632215606101</v>
      </c>
      <c r="CF59" s="74">
        <f t="shared" si="28"/>
        <v>1.7812933233098263</v>
      </c>
      <c r="CG59" s="74">
        <f t="shared" si="29"/>
        <v>0.59105433130431184</v>
      </c>
      <c r="CH59" s="74">
        <f t="shared" si="30"/>
        <v>-0.38514482548203544</v>
      </c>
      <c r="CI59" s="74">
        <f t="shared" si="31"/>
        <v>34006.861970216043</v>
      </c>
      <c r="CJ59" s="74">
        <f t="shared" si="32"/>
        <v>11683.502907589151</v>
      </c>
      <c r="CK59" s="74">
        <f t="shared" si="33"/>
        <v>3876.7253590249816</v>
      </c>
      <c r="CL59" s="74">
        <f t="shared" si="34"/>
        <v>-2526.1649103366703</v>
      </c>
      <c r="CM59" s="316"/>
      <c r="CN59" s="74">
        <v>22250.298456291035</v>
      </c>
      <c r="CO59" s="74">
        <v>1695.4087220000001</v>
      </c>
    </row>
    <row r="60" spans="1:93" x14ac:dyDescent="0.2">
      <c r="A60" s="74">
        <v>143</v>
      </c>
      <c r="B60" s="74" t="s">
        <v>182</v>
      </c>
      <c r="C60" s="74">
        <v>6</v>
      </c>
      <c r="D60" s="74">
        <v>6877</v>
      </c>
      <c r="E60" s="89">
        <v>16522736.449886274</v>
      </c>
      <c r="F60" s="74">
        <v>9920320.5707467403</v>
      </c>
      <c r="G60" s="74">
        <v>3007450.2500999998</v>
      </c>
      <c r="H60" s="74">
        <v>1411976.0015999998</v>
      </c>
      <c r="I60" s="74">
        <v>3178055.2340931664</v>
      </c>
      <c r="J60" s="74">
        <v>1342703.9157045712</v>
      </c>
      <c r="K60" s="74">
        <v>-176703.40341126439</v>
      </c>
      <c r="L60" s="74">
        <v>-806133</v>
      </c>
      <c r="M60" s="75">
        <v>-10000</v>
      </c>
      <c r="N60" s="75">
        <v>57877.473805655587</v>
      </c>
      <c r="O60" s="178">
        <f t="shared" si="4"/>
        <v>1402810.5927525945</v>
      </c>
      <c r="P60" s="179">
        <f t="shared" si="5"/>
        <v>203.98583579360107</v>
      </c>
      <c r="Q60" s="74"/>
      <c r="R60" s="89">
        <v>46561000</v>
      </c>
      <c r="S60" s="74">
        <v>22271171.197981842</v>
      </c>
      <c r="T60" s="74">
        <v>2117964.0024000001</v>
      </c>
      <c r="U60" s="74">
        <v>17128351.173279904</v>
      </c>
      <c r="V60" s="74">
        <v>4478099.0053498335</v>
      </c>
      <c r="W60" s="74">
        <v>2191317.2500999998</v>
      </c>
      <c r="X60" s="178">
        <f t="shared" si="6"/>
        <v>1625902.6291115731</v>
      </c>
      <c r="Y60" s="179">
        <f t="shared" si="7"/>
        <v>236.42614935459838</v>
      </c>
      <c r="Z60" s="74"/>
      <c r="AA60" s="84">
        <f t="shared" si="8"/>
        <v>-223092.0363589786</v>
      </c>
      <c r="AB60" s="132">
        <f t="shared" si="9"/>
        <v>-32.440313560997325</v>
      </c>
      <c r="AD60" s="180">
        <v>251739.65739487231</v>
      </c>
      <c r="AE60" s="187">
        <v>139673.75095098375</v>
      </c>
      <c r="AF60" s="187">
        <v>29031.990543383898</v>
      </c>
      <c r="AG60" s="187">
        <v>4064.6806363797527</v>
      </c>
      <c r="AH60" s="188">
        <v>-2648.6409648399576</v>
      </c>
      <c r="AJ60" s="74">
        <f t="shared" si="10"/>
        <v>12350850.627235102</v>
      </c>
      <c r="AK60" s="74">
        <f t="shared" si="11"/>
        <v>705988.00080000027</v>
      </c>
      <c r="AL60" s="74">
        <f t="shared" si="12"/>
        <v>13950295.939186737</v>
      </c>
      <c r="AM60" s="74">
        <f t="shared" si="19"/>
        <v>30038263.550113726</v>
      </c>
      <c r="AN60" s="74">
        <f t="shared" si="13"/>
        <v>251739.65739487231</v>
      </c>
      <c r="AO60" s="74">
        <f t="shared" si="14"/>
        <v>139673.75095098375</v>
      </c>
      <c r="AP60" s="74">
        <f t="shared" si="15"/>
        <v>29031.990543383898</v>
      </c>
      <c r="AQ60" s="74">
        <f t="shared" si="16"/>
        <v>4064.6806363797527</v>
      </c>
      <c r="AR60" s="74">
        <f t="shared" si="17"/>
        <v>-2648.6409648399576</v>
      </c>
      <c r="AS60" s="75">
        <v>2058</v>
      </c>
      <c r="AT60" s="75"/>
      <c r="AU60" s="75"/>
      <c r="AV60" s="75">
        <v>79</v>
      </c>
      <c r="AW60" s="75">
        <v>10980.102035624141</v>
      </c>
      <c r="AX60" s="75">
        <v>-2632.2831891800347</v>
      </c>
      <c r="AY60" s="75">
        <v>3135.3950896452625</v>
      </c>
      <c r="AZ60" s="316"/>
      <c r="BA60" s="74"/>
      <c r="BB60" s="74"/>
      <c r="BC60" s="74"/>
      <c r="BD60" s="74"/>
      <c r="BE60" s="74"/>
      <c r="BF60" s="74"/>
      <c r="BG60" s="74"/>
      <c r="BM60" s="316"/>
      <c r="BN60" s="74">
        <v>16522736.449886274</v>
      </c>
      <c r="BO60" s="74">
        <v>28996624.760000005</v>
      </c>
      <c r="BP60" s="74">
        <v>29829000</v>
      </c>
      <c r="BQ60" s="74">
        <v>545821.68000000005</v>
      </c>
      <c r="BR60" s="74">
        <v>563000</v>
      </c>
      <c r="BS60" s="406">
        <f t="shared" si="20"/>
        <v>0.55456673191728267</v>
      </c>
      <c r="BT60" s="406">
        <f t="shared" si="21"/>
        <v>0.33333333333333348</v>
      </c>
      <c r="BU60" s="74">
        <f t="shared" si="22"/>
        <v>16908987.625420734</v>
      </c>
      <c r="BV60" s="316"/>
      <c r="BW60" s="74">
        <v>46561000</v>
      </c>
      <c r="BX60" s="74">
        <v>16522736.449886274</v>
      </c>
      <c r="BY60" s="74">
        <v>27396585.450481839</v>
      </c>
      <c r="BZ60" s="74">
        <v>14339746.822446739</v>
      </c>
      <c r="CA60" s="74">
        <f t="shared" si="23"/>
        <v>-176703.40341126977</v>
      </c>
      <c r="CB60" s="74">
        <f t="shared" si="24"/>
        <v>236.4261493545992</v>
      </c>
      <c r="CC60" s="74">
        <f t="shared" si="25"/>
        <v>203.98583579360042</v>
      </c>
      <c r="CD60" s="74">
        <f t="shared" si="26"/>
        <v>-32.440313560998788</v>
      </c>
      <c r="CE60" s="74">
        <f t="shared" si="27"/>
        <v>20.310273513303795</v>
      </c>
      <c r="CF60" s="74">
        <f t="shared" si="28"/>
        <v>4.2216068843086152</v>
      </c>
      <c r="CG60" s="74">
        <f t="shared" si="29"/>
        <v>0.59105433130431184</v>
      </c>
      <c r="CH60" s="74">
        <f t="shared" si="30"/>
        <v>-0.38514482548203544</v>
      </c>
      <c r="CI60" s="74">
        <f t="shared" si="31"/>
        <v>139673.75095099019</v>
      </c>
      <c r="CJ60" s="74">
        <f t="shared" si="32"/>
        <v>29031.990543390348</v>
      </c>
      <c r="CK60" s="74">
        <f t="shared" si="33"/>
        <v>4064.6806363797527</v>
      </c>
      <c r="CL60" s="74">
        <f t="shared" si="34"/>
        <v>-2648.6409648399576</v>
      </c>
      <c r="CM60" s="316"/>
      <c r="CN60" s="74">
        <v>22686.691699681462</v>
      </c>
      <c r="CO60" s="74">
        <v>2298.5655839999999</v>
      </c>
    </row>
    <row r="61" spans="1:93" x14ac:dyDescent="0.2">
      <c r="A61" s="74">
        <v>145</v>
      </c>
      <c r="B61" s="74" t="s">
        <v>183</v>
      </c>
      <c r="C61" s="74">
        <v>14</v>
      </c>
      <c r="D61" s="74">
        <v>12366</v>
      </c>
      <c r="E61" s="89">
        <v>34407605.397734061</v>
      </c>
      <c r="F61" s="74">
        <v>17349960.000629619</v>
      </c>
      <c r="G61" s="74">
        <v>2992236.4756999998</v>
      </c>
      <c r="H61" s="74">
        <v>1763484.5326</v>
      </c>
      <c r="I61" s="74">
        <v>11490592.113609971</v>
      </c>
      <c r="J61" s="74">
        <v>2144514.2026572246</v>
      </c>
      <c r="K61" s="74">
        <v>1593397.3832346916</v>
      </c>
      <c r="L61" s="74">
        <v>-229583</v>
      </c>
      <c r="M61" s="75">
        <v>-362500</v>
      </c>
      <c r="N61" s="75">
        <v>109982.86024484066</v>
      </c>
      <c r="O61" s="178">
        <f t="shared" si="4"/>
        <v>2444479.1709422842</v>
      </c>
      <c r="P61" s="179">
        <f t="shared" si="5"/>
        <v>197.67743578701959</v>
      </c>
      <c r="Q61" s="74"/>
      <c r="R61" s="89">
        <v>79547945</v>
      </c>
      <c r="S61" s="74">
        <v>41279743.940338597</v>
      </c>
      <c r="T61" s="74">
        <v>2645226.7988999998</v>
      </c>
      <c r="U61" s="74">
        <v>28491542.018499181</v>
      </c>
      <c r="V61" s="74">
        <v>7152244.6650784109</v>
      </c>
      <c r="W61" s="74">
        <v>2400153.4756999998</v>
      </c>
      <c r="X61" s="178">
        <f t="shared" si="6"/>
        <v>2420965.8985161781</v>
      </c>
      <c r="Y61" s="179">
        <f t="shared" si="7"/>
        <v>195.77599049944834</v>
      </c>
      <c r="Z61" s="74"/>
      <c r="AA61" s="84">
        <f t="shared" si="8"/>
        <v>23513.272426106036</v>
      </c>
      <c r="AB61" s="132">
        <f t="shared" si="9"/>
        <v>1.9014452875712466</v>
      </c>
      <c r="AD61" s="180">
        <v>27999.957431393192</v>
      </c>
      <c r="AE61" s="187">
        <v>35489.924770203688</v>
      </c>
      <c r="AF61" s="187">
        <v>22027.473236049311</v>
      </c>
      <c r="AG61" s="187">
        <v>7308.97786090912</v>
      </c>
      <c r="AH61" s="188">
        <v>-4762.7009119108498</v>
      </c>
      <c r="AJ61" s="74">
        <f t="shared" si="10"/>
        <v>23929783.939708978</v>
      </c>
      <c r="AK61" s="74">
        <f t="shared" si="11"/>
        <v>881742.26629999978</v>
      </c>
      <c r="AL61" s="74">
        <f t="shared" si="12"/>
        <v>17000949.904889211</v>
      </c>
      <c r="AM61" s="74">
        <f t="shared" si="19"/>
        <v>45140339.602265939</v>
      </c>
      <c r="AN61" s="74">
        <f t="shared" si="13"/>
        <v>27999.957431393192</v>
      </c>
      <c r="AO61" s="74">
        <f t="shared" si="14"/>
        <v>35489.924770203688</v>
      </c>
      <c r="AP61" s="74">
        <f t="shared" si="15"/>
        <v>22027.473236049311</v>
      </c>
      <c r="AQ61" s="74">
        <f t="shared" si="16"/>
        <v>7308.97786090912</v>
      </c>
      <c r="AR61" s="74">
        <f t="shared" si="17"/>
        <v>-4762.7009119108498</v>
      </c>
      <c r="AS61" s="75">
        <v>3262</v>
      </c>
      <c r="AT61" s="75"/>
      <c r="AU61" s="75"/>
      <c r="AV61" s="75">
        <v>58</v>
      </c>
      <c r="AW61" s="75">
        <v>14449.755120890295</v>
      </c>
      <c r="AX61" s="75">
        <v>-3642.3379757143612</v>
      </c>
      <c r="AY61" s="75">
        <v>5007.7304624211865</v>
      </c>
      <c r="AZ61" s="316"/>
      <c r="BA61" s="74"/>
      <c r="BB61" s="74"/>
      <c r="BC61" s="74"/>
      <c r="BD61" s="74"/>
      <c r="BE61" s="74"/>
      <c r="BF61" s="74"/>
      <c r="BG61" s="74"/>
      <c r="BM61" s="316"/>
      <c r="BN61" s="74">
        <v>34407605.397734061</v>
      </c>
      <c r="BO61" s="74">
        <v>42890037.710000001</v>
      </c>
      <c r="BP61" s="74">
        <v>45192000</v>
      </c>
      <c r="BQ61" s="74">
        <v>1204840.1599999999</v>
      </c>
      <c r="BR61" s="74">
        <v>1269000</v>
      </c>
      <c r="BS61" s="406">
        <f t="shared" si="20"/>
        <v>0.57969797424844915</v>
      </c>
      <c r="BT61" s="406">
        <f t="shared" si="21"/>
        <v>0.33333333333333326</v>
      </c>
      <c r="BU61" s="74">
        <f t="shared" si="22"/>
        <v>23602077.750545084</v>
      </c>
      <c r="BV61" s="316"/>
      <c r="BW61" s="74">
        <v>79547945</v>
      </c>
      <c r="BX61" s="74">
        <v>34407605.397734061</v>
      </c>
      <c r="BY61" s="74">
        <v>46917207.214938596</v>
      </c>
      <c r="BZ61" s="74">
        <v>22105681.008929618</v>
      </c>
      <c r="CA61" s="74">
        <f t="shared" si="23"/>
        <v>1593397.3832346825</v>
      </c>
      <c r="CB61" s="74">
        <f t="shared" si="24"/>
        <v>195.77599049944919</v>
      </c>
      <c r="CC61" s="74">
        <f t="shared" si="25"/>
        <v>197.67743578701911</v>
      </c>
      <c r="CD61" s="74">
        <f t="shared" si="26"/>
        <v>1.9014452875699135</v>
      </c>
      <c r="CE61" s="74">
        <f t="shared" si="27"/>
        <v>2.8699599523050048</v>
      </c>
      <c r="CF61" s="74">
        <f t="shared" si="28"/>
        <v>1.7812933233098263</v>
      </c>
      <c r="CG61" s="74">
        <f t="shared" si="29"/>
        <v>0.59105433130431184</v>
      </c>
      <c r="CH61" s="74">
        <f t="shared" si="30"/>
        <v>-0.38514482548203544</v>
      </c>
      <c r="CI61" s="74">
        <f t="shared" si="31"/>
        <v>35489.924770203688</v>
      </c>
      <c r="CJ61" s="74">
        <f t="shared" si="32"/>
        <v>22027.473236049311</v>
      </c>
      <c r="CK61" s="74">
        <f t="shared" si="33"/>
        <v>7308.97786090912</v>
      </c>
      <c r="CL61" s="74">
        <f t="shared" si="34"/>
        <v>-4762.7009119108498</v>
      </c>
      <c r="CM61" s="316"/>
      <c r="CN61" s="74">
        <v>42453.399256436263</v>
      </c>
      <c r="CO61" s="74">
        <v>2870.7887740000001</v>
      </c>
    </row>
    <row r="62" spans="1:93" x14ac:dyDescent="0.2">
      <c r="A62" s="74">
        <v>146</v>
      </c>
      <c r="B62" s="74" t="s">
        <v>184</v>
      </c>
      <c r="C62" s="74">
        <v>12</v>
      </c>
      <c r="D62" s="74">
        <v>4643</v>
      </c>
      <c r="E62" s="89">
        <v>14087340.912234455</v>
      </c>
      <c r="F62" s="74">
        <v>5682266.088297165</v>
      </c>
      <c r="G62" s="74">
        <v>1533281.355</v>
      </c>
      <c r="H62" s="74">
        <v>2187352.466</v>
      </c>
      <c r="I62" s="74">
        <v>2771510.6897143479</v>
      </c>
      <c r="J62" s="74">
        <v>1026211.1262806533</v>
      </c>
      <c r="K62" s="74">
        <v>1279545.0623940355</v>
      </c>
      <c r="L62" s="74">
        <v>-48166</v>
      </c>
      <c r="M62" s="75">
        <v>262650</v>
      </c>
      <c r="N62" s="75">
        <v>39920.518221036917</v>
      </c>
      <c r="O62" s="178">
        <f t="shared" si="4"/>
        <v>647230.39367278293</v>
      </c>
      <c r="P62" s="179">
        <f t="shared" si="5"/>
        <v>139.3991802009009</v>
      </c>
      <c r="Q62" s="74"/>
      <c r="R62" s="89">
        <v>40862355</v>
      </c>
      <c r="S62" s="74">
        <v>13594438.419279939</v>
      </c>
      <c r="T62" s="74">
        <v>3281028.699</v>
      </c>
      <c r="U62" s="74">
        <v>20041857.406199757</v>
      </c>
      <c r="V62" s="74">
        <v>3422552.7833252018</v>
      </c>
      <c r="W62" s="74">
        <v>1747765.355</v>
      </c>
      <c r="X62" s="178">
        <f t="shared" si="6"/>
        <v>1225287.6628049016</v>
      </c>
      <c r="Y62" s="179">
        <f t="shared" si="7"/>
        <v>263.89999198899454</v>
      </c>
      <c r="Z62" s="74"/>
      <c r="AA62" s="84">
        <f t="shared" si="8"/>
        <v>-578057.26913211867</v>
      </c>
      <c r="AB62" s="132">
        <f t="shared" si="9"/>
        <v>-124.50081178809361</v>
      </c>
      <c r="AD62" s="180">
        <v>597398.68318906042</v>
      </c>
      <c r="AE62" s="187">
        <v>521737.49319066358</v>
      </c>
      <c r="AF62" s="187">
        <v>447037.81403223891</v>
      </c>
      <c r="AG62" s="187">
        <v>371866.53439235728</v>
      </c>
      <c r="AH62" s="188">
        <v>297689.04170739831</v>
      </c>
      <c r="AJ62" s="74">
        <f t="shared" si="10"/>
        <v>7912172.3309827736</v>
      </c>
      <c r="AK62" s="74">
        <f t="shared" si="11"/>
        <v>1093676.233</v>
      </c>
      <c r="AL62" s="74">
        <f t="shared" si="12"/>
        <v>17270346.716485411</v>
      </c>
      <c r="AM62" s="74">
        <f t="shared" si="19"/>
        <v>26775014.087765545</v>
      </c>
      <c r="AN62" s="74">
        <f t="shared" si="13"/>
        <v>597398.68318906042</v>
      </c>
      <c r="AO62" s="74">
        <f t="shared" si="14"/>
        <v>521737.49319066358</v>
      </c>
      <c r="AP62" s="74">
        <f t="shared" si="15"/>
        <v>447037.81403223891</v>
      </c>
      <c r="AQ62" s="74">
        <f t="shared" si="16"/>
        <v>371866.53439235728</v>
      </c>
      <c r="AR62" s="74">
        <f t="shared" si="17"/>
        <v>297689.04170739831</v>
      </c>
      <c r="AS62" s="75">
        <v>3703</v>
      </c>
      <c r="AT62" s="75"/>
      <c r="AU62" s="75"/>
      <c r="AV62" s="75">
        <v>0</v>
      </c>
      <c r="AW62" s="75">
        <v>15692.623579791893</v>
      </c>
      <c r="AX62" s="75">
        <v>-1854.7102777234938</v>
      </c>
      <c r="AY62" s="75">
        <v>2396.3416570445488</v>
      </c>
      <c r="AZ62" s="316"/>
      <c r="BA62" s="74"/>
      <c r="BB62" s="74"/>
      <c r="BC62" s="74"/>
      <c r="BD62" s="74"/>
      <c r="BE62" s="74"/>
      <c r="BF62" s="74"/>
      <c r="BG62" s="74"/>
      <c r="BM62" s="316"/>
      <c r="BN62" s="74">
        <v>14087340.912234455</v>
      </c>
      <c r="BO62" s="74">
        <v>25888502.290000003</v>
      </c>
      <c r="BP62" s="74">
        <v>28156000</v>
      </c>
      <c r="BQ62" s="74">
        <v>574016.12</v>
      </c>
      <c r="BR62" s="74">
        <v>537000</v>
      </c>
      <c r="BS62" s="406">
        <f t="shared" si="20"/>
        <v>0.58201538650993867</v>
      </c>
      <c r="BT62" s="406">
        <f t="shared" si="21"/>
        <v>0.33333333333333337</v>
      </c>
      <c r="BU62" s="74">
        <f t="shared" si="22"/>
        <v>20946233.435923994</v>
      </c>
      <c r="BV62" s="316"/>
      <c r="BW62" s="74">
        <v>40862355</v>
      </c>
      <c r="BX62" s="74">
        <v>14087340.912234455</v>
      </c>
      <c r="BY62" s="74">
        <v>18408748.473279938</v>
      </c>
      <c r="BZ62" s="74">
        <v>9402899.9092971645</v>
      </c>
      <c r="CA62" s="74">
        <f t="shared" si="23"/>
        <v>1279545.0623940325</v>
      </c>
      <c r="CB62" s="74">
        <f t="shared" si="24"/>
        <v>263.8999919889942</v>
      </c>
      <c r="CC62" s="74">
        <f t="shared" si="25"/>
        <v>139.39918020090064</v>
      </c>
      <c r="CD62" s="74">
        <f t="shared" si="26"/>
        <v>-124.50081178809356</v>
      </c>
      <c r="CE62" s="74">
        <f t="shared" si="27"/>
        <v>112.37077174039857</v>
      </c>
      <c r="CF62" s="74">
        <f t="shared" si="28"/>
        <v>96.282105111403382</v>
      </c>
      <c r="CG62" s="74">
        <f t="shared" si="29"/>
        <v>80.091866119397864</v>
      </c>
      <c r="CH62" s="74">
        <f t="shared" si="30"/>
        <v>64.115666962611527</v>
      </c>
      <c r="CI62" s="74">
        <f t="shared" si="31"/>
        <v>521737.49319067056</v>
      </c>
      <c r="CJ62" s="74">
        <f t="shared" si="32"/>
        <v>447037.81403224589</v>
      </c>
      <c r="CK62" s="74">
        <f t="shared" si="33"/>
        <v>371866.53439236426</v>
      </c>
      <c r="CL62" s="74">
        <f t="shared" si="34"/>
        <v>297689.0417074053</v>
      </c>
      <c r="CM62" s="316"/>
      <c r="CN62" s="74">
        <v>13298.80891551678</v>
      </c>
      <c r="CO62" s="74">
        <v>3560.8063399999996</v>
      </c>
    </row>
    <row r="63" spans="1:93" x14ac:dyDescent="0.2">
      <c r="A63" s="74">
        <v>148</v>
      </c>
      <c r="B63" s="74" t="s">
        <v>186</v>
      </c>
      <c r="C63" s="74">
        <v>19</v>
      </c>
      <c r="D63" s="74">
        <v>7008</v>
      </c>
      <c r="E63" s="89">
        <v>26047025.871376816</v>
      </c>
      <c r="F63" s="74">
        <v>7750450.8981695184</v>
      </c>
      <c r="G63" s="74">
        <v>4981238.6974999998</v>
      </c>
      <c r="H63" s="74">
        <v>2273986.9826000002</v>
      </c>
      <c r="I63" s="74">
        <v>7642526.966575426</v>
      </c>
      <c r="J63" s="74">
        <v>1155038.6942991759</v>
      </c>
      <c r="K63" s="74">
        <v>-56517.299530779419</v>
      </c>
      <c r="L63" s="74">
        <v>-678015</v>
      </c>
      <c r="M63" s="75">
        <v>890760</v>
      </c>
      <c r="N63" s="75">
        <v>67668.86608667238</v>
      </c>
      <c r="O63" s="178">
        <f t="shared" si="4"/>
        <v>-2019887.0656768046</v>
      </c>
      <c r="P63" s="179">
        <f t="shared" si="5"/>
        <v>-288.22589407488653</v>
      </c>
      <c r="Q63" s="74"/>
      <c r="R63" s="89">
        <v>59078046.390000001</v>
      </c>
      <c r="S63" s="74">
        <v>21879180.088592052</v>
      </c>
      <c r="T63" s="74">
        <v>3410980.4739000001</v>
      </c>
      <c r="U63" s="74">
        <v>24658555.217985582</v>
      </c>
      <c r="V63" s="74">
        <v>3852210.1317977863</v>
      </c>
      <c r="W63" s="74">
        <v>5193983.6974999998</v>
      </c>
      <c r="X63" s="178">
        <f t="shared" si="6"/>
        <v>-83136.780224584043</v>
      </c>
      <c r="Y63" s="179">
        <f t="shared" si="7"/>
        <v>-11.86312503204681</v>
      </c>
      <c r="Z63" s="74"/>
      <c r="AA63" s="84">
        <f t="shared" si="8"/>
        <v>-1936750.2854522206</v>
      </c>
      <c r="AB63" s="132">
        <f t="shared" si="9"/>
        <v>-276.36276904283972</v>
      </c>
      <c r="AD63" s="180">
        <v>1965943.6151336939</v>
      </c>
      <c r="AE63" s="187">
        <v>1851742.9647979701</v>
      </c>
      <c r="AF63" s="187">
        <v>1738993.589061972</v>
      </c>
      <c r="AG63" s="187">
        <v>1625532.3942059975</v>
      </c>
      <c r="AH63" s="188">
        <v>1513571.1905152388</v>
      </c>
      <c r="AJ63" s="74">
        <f t="shared" si="10"/>
        <v>14128729.190422535</v>
      </c>
      <c r="AK63" s="74">
        <f t="shared" si="11"/>
        <v>1136993.4912999999</v>
      </c>
      <c r="AL63" s="74">
        <f t="shared" si="12"/>
        <v>17016028.251410156</v>
      </c>
      <c r="AM63" s="74">
        <f t="shared" si="19"/>
        <v>33031020.518623184</v>
      </c>
      <c r="AN63" s="74">
        <f t="shared" si="13"/>
        <v>1965943.6151336939</v>
      </c>
      <c r="AO63" s="74">
        <f t="shared" si="14"/>
        <v>1851742.9647979701</v>
      </c>
      <c r="AP63" s="74">
        <f t="shared" si="15"/>
        <v>1738993.589061972</v>
      </c>
      <c r="AQ63" s="74">
        <f t="shared" si="16"/>
        <v>1625532.3942059975</v>
      </c>
      <c r="AR63" s="74">
        <f t="shared" si="17"/>
        <v>1513571.1905152388</v>
      </c>
      <c r="AS63" s="75">
        <v>3689</v>
      </c>
      <c r="AT63" s="75"/>
      <c r="AU63" s="75"/>
      <c r="AV63" s="75">
        <v>210</v>
      </c>
      <c r="AW63" s="75">
        <v>14162.035073721034</v>
      </c>
      <c r="AX63" s="75">
        <v>-882.60511790207283</v>
      </c>
      <c r="AY63" s="75">
        <v>2697.1714374986104</v>
      </c>
      <c r="AZ63" s="316"/>
      <c r="BA63" s="74"/>
      <c r="BB63" s="74"/>
      <c r="BC63" s="74"/>
      <c r="BD63" s="74"/>
      <c r="BE63" s="74"/>
      <c r="BF63" s="74"/>
      <c r="BG63" s="74"/>
      <c r="BM63" s="316"/>
      <c r="BN63" s="74">
        <v>26047025.871376816</v>
      </c>
      <c r="BO63" s="74">
        <v>30416608.870000001</v>
      </c>
      <c r="BP63" s="74">
        <v>32868000</v>
      </c>
      <c r="BQ63" s="74">
        <v>845096.33000000007</v>
      </c>
      <c r="BR63" s="74">
        <v>870000</v>
      </c>
      <c r="BS63" s="406">
        <f t="shared" si="20"/>
        <v>0.64576136460384759</v>
      </c>
      <c r="BT63" s="406">
        <f t="shared" si="21"/>
        <v>0.33333333333333326</v>
      </c>
      <c r="BU63" s="74">
        <f t="shared" si="22"/>
        <v>19656682.389377989</v>
      </c>
      <c r="BV63" s="316"/>
      <c r="BW63" s="74">
        <v>59078046.390000001</v>
      </c>
      <c r="BX63" s="74">
        <v>26047025.871376816</v>
      </c>
      <c r="BY63" s="74">
        <v>30271399.259992056</v>
      </c>
      <c r="BZ63" s="74">
        <v>15005676.578269519</v>
      </c>
      <c r="CA63" s="74">
        <f t="shared" si="23"/>
        <v>-56517.29953078281</v>
      </c>
      <c r="CB63" s="74">
        <f t="shared" si="24"/>
        <v>-11.863125032046543</v>
      </c>
      <c r="CC63" s="74">
        <f t="shared" si="25"/>
        <v>-288.22589407488692</v>
      </c>
      <c r="CD63" s="74">
        <f t="shared" si="26"/>
        <v>-276.3627690428404</v>
      </c>
      <c r="CE63" s="74">
        <f t="shared" si="27"/>
        <v>264.23272899514541</v>
      </c>
      <c r="CF63" s="74">
        <f t="shared" si="28"/>
        <v>248.14406236615022</v>
      </c>
      <c r="CG63" s="74">
        <f t="shared" si="29"/>
        <v>231.95382337414472</v>
      </c>
      <c r="CH63" s="74">
        <f t="shared" si="30"/>
        <v>215.97762421735837</v>
      </c>
      <c r="CI63" s="74">
        <f t="shared" si="31"/>
        <v>1851742.964797979</v>
      </c>
      <c r="CJ63" s="74">
        <f t="shared" si="32"/>
        <v>1738993.5890619808</v>
      </c>
      <c r="CK63" s="74">
        <f t="shared" si="33"/>
        <v>1625532.3942060061</v>
      </c>
      <c r="CL63" s="74">
        <f t="shared" si="34"/>
        <v>1513571.1905152474</v>
      </c>
      <c r="CM63" s="316"/>
      <c r="CN63" s="74">
        <v>23539.926736128418</v>
      </c>
      <c r="CO63" s="74">
        <v>3701.8392739999999</v>
      </c>
    </row>
    <row r="64" spans="1:93" x14ac:dyDescent="0.2">
      <c r="A64" s="74">
        <v>149</v>
      </c>
      <c r="B64" s="74" t="s">
        <v>187</v>
      </c>
      <c r="C64" s="74">
        <v>33</v>
      </c>
      <c r="D64" s="74">
        <v>5353</v>
      </c>
      <c r="E64" s="89">
        <v>16037159.111408591</v>
      </c>
      <c r="F64" s="74">
        <v>9537675.651263319</v>
      </c>
      <c r="G64" s="74">
        <v>2979810.2770000002</v>
      </c>
      <c r="H64" s="74">
        <v>1074330.8168000001</v>
      </c>
      <c r="I64" s="74">
        <v>2424406.8893583822</v>
      </c>
      <c r="J64" s="74">
        <v>854066.53174956329</v>
      </c>
      <c r="K64" s="74">
        <v>283177.42182702594</v>
      </c>
      <c r="L64" s="74">
        <v>-1115005</v>
      </c>
      <c r="M64" s="75">
        <v>-41760</v>
      </c>
      <c r="N64" s="75">
        <v>65668.96450719166</v>
      </c>
      <c r="O64" s="178">
        <f t="shared" si="4"/>
        <v>25212.441096890718</v>
      </c>
      <c r="P64" s="179">
        <f t="shared" si="5"/>
        <v>4.7099647107959495</v>
      </c>
      <c r="Q64" s="74"/>
      <c r="R64" s="89">
        <v>36539624</v>
      </c>
      <c r="S64" s="74">
        <v>23815066.16698144</v>
      </c>
      <c r="T64" s="74">
        <v>1611496.2252</v>
      </c>
      <c r="U64" s="74">
        <v>6708837.2593502291</v>
      </c>
      <c r="V64" s="74">
        <v>2848427.2977809724</v>
      </c>
      <c r="W64" s="74">
        <v>1823045.2770000002</v>
      </c>
      <c r="X64" s="178">
        <f t="shared" si="6"/>
        <v>267248.22631263733</v>
      </c>
      <c r="Y64" s="179">
        <f t="shared" si="7"/>
        <v>49.924944201875086</v>
      </c>
      <c r="Z64" s="74"/>
      <c r="AA64" s="84">
        <f t="shared" si="8"/>
        <v>-242035.78521574661</v>
      </c>
      <c r="AB64" s="132">
        <f t="shared" si="9"/>
        <v>-45.214979491079134</v>
      </c>
      <c r="AD64" s="180">
        <v>264334.85681748361</v>
      </c>
      <c r="AE64" s="187">
        <v>177103.68084043902</v>
      </c>
      <c r="AF64" s="187">
        <v>90981.048375427825</v>
      </c>
      <c r="AG64" s="187">
        <v>4314.6990512223147</v>
      </c>
      <c r="AH64" s="188">
        <v>-2061.6802508053356</v>
      </c>
      <c r="AJ64" s="74">
        <f t="shared" si="10"/>
        <v>14277390.515718121</v>
      </c>
      <c r="AK64" s="74">
        <f t="shared" si="11"/>
        <v>537165.40839999984</v>
      </c>
      <c r="AL64" s="74">
        <f t="shared" si="12"/>
        <v>4284430.3699918464</v>
      </c>
      <c r="AM64" s="74">
        <f t="shared" si="19"/>
        <v>20502464.888591409</v>
      </c>
      <c r="AN64" s="74">
        <f t="shared" si="13"/>
        <v>264334.85681748361</v>
      </c>
      <c r="AO64" s="74">
        <f t="shared" si="14"/>
        <v>177103.68084043902</v>
      </c>
      <c r="AP64" s="74">
        <f t="shared" si="15"/>
        <v>90981.048375427825</v>
      </c>
      <c r="AQ64" s="74">
        <f t="shared" si="16"/>
        <v>4314.6990512223147</v>
      </c>
      <c r="AR64" s="74">
        <f t="shared" si="17"/>
        <v>-2061.6802508053356</v>
      </c>
      <c r="AS64" s="75">
        <v>1912</v>
      </c>
      <c r="AT64" s="75"/>
      <c r="AU64" s="75"/>
      <c r="AV64" s="75">
        <v>14</v>
      </c>
      <c r="AW64" s="75">
        <v>5051.0258685873287</v>
      </c>
      <c r="AX64" s="75">
        <v>817.52393339926834</v>
      </c>
      <c r="AY64" s="75">
        <v>1994.3607660314092</v>
      </c>
      <c r="AZ64" s="316"/>
      <c r="BA64" s="74"/>
      <c r="BB64" s="74"/>
      <c r="BC64" s="74"/>
      <c r="BD64" s="74"/>
      <c r="BE64" s="74"/>
      <c r="BF64" s="74"/>
      <c r="BG64" s="74"/>
      <c r="BM64" s="316"/>
      <c r="BN64" s="74">
        <v>16037159.111408591</v>
      </c>
      <c r="BO64" s="74">
        <v>18349401.940000005</v>
      </c>
      <c r="BP64" s="74">
        <v>20758000</v>
      </c>
      <c r="BQ64" s="74">
        <v>372452.32</v>
      </c>
      <c r="BR64" s="74">
        <v>392000</v>
      </c>
      <c r="BS64" s="406">
        <f t="shared" si="20"/>
        <v>0.59951084811652156</v>
      </c>
      <c r="BT64" s="406">
        <f t="shared" si="21"/>
        <v>0.33333333333333326</v>
      </c>
      <c r="BU64" s="74">
        <f t="shared" si="22"/>
        <v>6561968.5578502808</v>
      </c>
      <c r="BV64" s="316"/>
      <c r="BW64" s="74">
        <v>36539624</v>
      </c>
      <c r="BX64" s="74">
        <v>16037159.111408591</v>
      </c>
      <c r="BY64" s="74">
        <v>28406372.66918144</v>
      </c>
      <c r="BZ64" s="74">
        <v>13591816.74506332</v>
      </c>
      <c r="CA64" s="74">
        <f t="shared" si="23"/>
        <v>283177.42182702111</v>
      </c>
      <c r="CB64" s="74">
        <f t="shared" si="24"/>
        <v>49.924944201875782</v>
      </c>
      <c r="CC64" s="74">
        <f t="shared" si="25"/>
        <v>4.7099647107951315</v>
      </c>
      <c r="CD64" s="74">
        <f t="shared" si="26"/>
        <v>-45.214979491080648</v>
      </c>
      <c r="CE64" s="74">
        <f t="shared" si="27"/>
        <v>33.08493944338565</v>
      </c>
      <c r="CF64" s="74">
        <f t="shared" si="28"/>
        <v>16.996272814390473</v>
      </c>
      <c r="CG64" s="74">
        <f t="shared" si="29"/>
        <v>0.80603382238495958</v>
      </c>
      <c r="CH64" s="74">
        <f t="shared" si="30"/>
        <v>-0.38514482548203544</v>
      </c>
      <c r="CI64" s="74">
        <f t="shared" si="31"/>
        <v>177103.68084044338</v>
      </c>
      <c r="CJ64" s="74">
        <f t="shared" si="32"/>
        <v>90981.048375432205</v>
      </c>
      <c r="CK64" s="74">
        <f t="shared" si="33"/>
        <v>4314.6990512266884</v>
      </c>
      <c r="CL64" s="74">
        <f t="shared" si="34"/>
        <v>-2061.6802508053356</v>
      </c>
      <c r="CM64" s="316"/>
      <c r="CN64" s="74">
        <v>24626.47937768494</v>
      </c>
      <c r="CO64" s="74">
        <v>1748.9106320000001</v>
      </c>
    </row>
    <row r="65" spans="1:93" x14ac:dyDescent="0.2">
      <c r="A65" s="74">
        <v>151</v>
      </c>
      <c r="B65" s="74" t="s">
        <v>188</v>
      </c>
      <c r="C65" s="74">
        <v>14</v>
      </c>
      <c r="D65" s="74">
        <v>1891</v>
      </c>
      <c r="E65" s="89">
        <v>4696039.9409419186</v>
      </c>
      <c r="F65" s="74">
        <v>2633358.5177982398</v>
      </c>
      <c r="G65" s="74">
        <v>666364.69140000001</v>
      </c>
      <c r="H65" s="74">
        <v>598050.69940000004</v>
      </c>
      <c r="I65" s="74">
        <v>1195535.956585269</v>
      </c>
      <c r="J65" s="74">
        <v>491341.21722368337</v>
      </c>
      <c r="K65" s="74">
        <v>35097.668524151108</v>
      </c>
      <c r="L65" s="74">
        <v>-508908</v>
      </c>
      <c r="M65" s="75">
        <v>-11543</v>
      </c>
      <c r="N65" s="75">
        <v>14736.494155885714</v>
      </c>
      <c r="O65" s="178">
        <f t="shared" si="4"/>
        <v>417994.30414531007</v>
      </c>
      <c r="P65" s="179">
        <f t="shared" si="5"/>
        <v>221.04405295891596</v>
      </c>
      <c r="Q65" s="74"/>
      <c r="R65" s="89">
        <v>15223609</v>
      </c>
      <c r="S65" s="74">
        <v>5658804.9095995128</v>
      </c>
      <c r="T65" s="74">
        <v>897076.04909999995</v>
      </c>
      <c r="U65" s="74">
        <v>7169430.9334993949</v>
      </c>
      <c r="V65" s="74">
        <v>1638689.3569027688</v>
      </c>
      <c r="W65" s="74">
        <v>145913.69140000001</v>
      </c>
      <c r="X65" s="178">
        <f t="shared" si="6"/>
        <v>286305.94050167687</v>
      </c>
      <c r="Y65" s="179">
        <f t="shared" si="7"/>
        <v>151.40451639432939</v>
      </c>
      <c r="Z65" s="74"/>
      <c r="AA65" s="84">
        <f t="shared" si="8"/>
        <v>131688.3636436332</v>
      </c>
      <c r="AB65" s="132">
        <f t="shared" si="9"/>
        <v>69.639536564586564</v>
      </c>
      <c r="AD65" s="180">
        <v>-123810.99685885968</v>
      </c>
      <c r="AE65" s="187">
        <v>-97896.269373821633</v>
      </c>
      <c r="AF65" s="187">
        <v>-71589.937969251521</v>
      </c>
      <c r="AG65" s="187">
        <v>-45475.67990313394</v>
      </c>
      <c r="AH65" s="188">
        <v>-18956.672508616924</v>
      </c>
      <c r="AJ65" s="74">
        <f t="shared" si="10"/>
        <v>3025446.391801273</v>
      </c>
      <c r="AK65" s="74">
        <f t="shared" si="11"/>
        <v>299025.3496999999</v>
      </c>
      <c r="AL65" s="74">
        <f t="shared" si="12"/>
        <v>5973894.9769141264</v>
      </c>
      <c r="AM65" s="74">
        <f t="shared" si="19"/>
        <v>10527569.059058081</v>
      </c>
      <c r="AN65" s="74">
        <f t="shared" si="13"/>
        <v>-123810.99685885968</v>
      </c>
      <c r="AO65" s="74">
        <f t="shared" si="14"/>
        <v>-97896.269373821633</v>
      </c>
      <c r="AP65" s="74">
        <f t="shared" si="15"/>
        <v>-71589.937969251521</v>
      </c>
      <c r="AQ65" s="74">
        <f t="shared" si="16"/>
        <v>-45475.67990313394</v>
      </c>
      <c r="AR65" s="74">
        <f t="shared" si="17"/>
        <v>-18956.672508616924</v>
      </c>
      <c r="AS65" s="75">
        <v>487</v>
      </c>
      <c r="AT65" s="75"/>
      <c r="AU65" s="75"/>
      <c r="AV65" s="75">
        <v>0</v>
      </c>
      <c r="AW65" s="75">
        <v>5145.6788376143277</v>
      </c>
      <c r="AX65" s="75">
        <v>-984.12336020458372</v>
      </c>
      <c r="AY65" s="75">
        <v>1147.3481396790855</v>
      </c>
      <c r="AZ65" s="316"/>
      <c r="BA65" s="74"/>
      <c r="BB65" s="74"/>
      <c r="BC65" s="74"/>
      <c r="BD65" s="74"/>
      <c r="BE65" s="74"/>
      <c r="BF65" s="74"/>
      <c r="BG65" s="74"/>
      <c r="BM65" s="316"/>
      <c r="BN65" s="74">
        <v>4696039.9409419186</v>
      </c>
      <c r="BO65" s="74">
        <v>10209238.52</v>
      </c>
      <c r="BP65" s="74">
        <v>11110000</v>
      </c>
      <c r="BQ65" s="74">
        <v>193577.11</v>
      </c>
      <c r="BR65" s="74">
        <v>198000</v>
      </c>
      <c r="BS65" s="406">
        <f t="shared" si="20"/>
        <v>0.53464405296407214</v>
      </c>
      <c r="BT65" s="406">
        <f t="shared" si="21"/>
        <v>0.33333333333333326</v>
      </c>
      <c r="BU65" s="74">
        <f t="shared" si="22"/>
        <v>7156340.7851173608</v>
      </c>
      <c r="BV65" s="316"/>
      <c r="BW65" s="74">
        <v>15223609</v>
      </c>
      <c r="BX65" s="74">
        <v>4696039.9409419186</v>
      </c>
      <c r="BY65" s="74">
        <v>7222245.6500995131</v>
      </c>
      <c r="BZ65" s="74">
        <v>3897773.9085982395</v>
      </c>
      <c r="CA65" s="74">
        <f t="shared" si="23"/>
        <v>35097.668524150504</v>
      </c>
      <c r="CB65" s="74">
        <f t="shared" si="24"/>
        <v>151.40451639432945</v>
      </c>
      <c r="CC65" s="74">
        <f t="shared" si="25"/>
        <v>221.04405295891573</v>
      </c>
      <c r="CD65" s="74">
        <f t="shared" si="26"/>
        <v>69.63953656458628</v>
      </c>
      <c r="CE65" s="74">
        <f t="shared" si="27"/>
        <v>-51.769576612281277</v>
      </c>
      <c r="CF65" s="74">
        <f t="shared" si="28"/>
        <v>-37.858243241276455</v>
      </c>
      <c r="CG65" s="74">
        <f t="shared" si="29"/>
        <v>-24.048482233281966</v>
      </c>
      <c r="CH65" s="74">
        <f t="shared" si="30"/>
        <v>-10.024681390068315</v>
      </c>
      <c r="CI65" s="74">
        <f t="shared" si="31"/>
        <v>-97896.269373823889</v>
      </c>
      <c r="CJ65" s="74">
        <f t="shared" si="32"/>
        <v>-71589.937969253777</v>
      </c>
      <c r="CK65" s="74">
        <f t="shared" si="33"/>
        <v>-45475.679903136195</v>
      </c>
      <c r="CL65" s="74">
        <f t="shared" si="34"/>
        <v>-18956.672508619184</v>
      </c>
      <c r="CM65" s="316"/>
      <c r="CN65" s="74">
        <v>5904.3572605009458</v>
      </c>
      <c r="CO65" s="74">
        <v>973.57090599999992</v>
      </c>
    </row>
    <row r="66" spans="1:93" x14ac:dyDescent="0.2">
      <c r="A66" s="74">
        <v>152</v>
      </c>
      <c r="B66" s="74" t="s">
        <v>189</v>
      </c>
      <c r="C66" s="74">
        <v>14</v>
      </c>
      <c r="D66" s="74">
        <v>4480</v>
      </c>
      <c r="E66" s="89">
        <v>11692863.285265647</v>
      </c>
      <c r="F66" s="74">
        <v>6275819.7601703499</v>
      </c>
      <c r="G66" s="74">
        <v>954577.38989999995</v>
      </c>
      <c r="H66" s="74">
        <v>739382.22219999996</v>
      </c>
      <c r="I66" s="74">
        <v>3565938.4662892935</v>
      </c>
      <c r="J66" s="74">
        <v>927700.01663178764</v>
      </c>
      <c r="K66" s="74">
        <v>291295.78330893617</v>
      </c>
      <c r="L66" s="74">
        <v>83201</v>
      </c>
      <c r="M66" s="75">
        <v>-30000</v>
      </c>
      <c r="N66" s="75">
        <v>38061.085791480618</v>
      </c>
      <c r="O66" s="178">
        <f t="shared" si="4"/>
        <v>1153112.4390261993</v>
      </c>
      <c r="P66" s="179">
        <f t="shared" si="5"/>
        <v>257.39116942549089</v>
      </c>
      <c r="Q66" s="74"/>
      <c r="R66" s="89">
        <v>30574397</v>
      </c>
      <c r="S66" s="74">
        <v>14492499.520333242</v>
      </c>
      <c r="T66" s="74">
        <v>1109073.3333000001</v>
      </c>
      <c r="U66" s="74">
        <v>11826562.554226499</v>
      </c>
      <c r="V66" s="74">
        <v>3094004.9203341207</v>
      </c>
      <c r="W66" s="74">
        <v>1007778.3899</v>
      </c>
      <c r="X66" s="178">
        <f t="shared" si="6"/>
        <v>955521.71809386089</v>
      </c>
      <c r="Y66" s="179">
        <f t="shared" si="7"/>
        <v>213.28609778880823</v>
      </c>
      <c r="Z66" s="74"/>
      <c r="AA66" s="84">
        <f t="shared" si="8"/>
        <v>197590.72093233839</v>
      </c>
      <c r="AB66" s="132">
        <f t="shared" si="9"/>
        <v>44.105071636682673</v>
      </c>
      <c r="AD66" s="180">
        <v>-178928.31839623422</v>
      </c>
      <c r="AE66" s="187">
        <v>-117533.30034601185</v>
      </c>
      <c r="AF66" s="187">
        <v>-55210.526843910258</v>
      </c>
      <c r="AG66" s="187">
        <v>2647.9234042433172</v>
      </c>
      <c r="AH66" s="188">
        <v>-1725.4488181595189</v>
      </c>
      <c r="AJ66" s="74">
        <f t="shared" si="10"/>
        <v>8216679.7601628918</v>
      </c>
      <c r="AK66" s="74">
        <f t="shared" si="11"/>
        <v>369691.1111000001</v>
      </c>
      <c r="AL66" s="74">
        <f t="shared" si="12"/>
        <v>8260624.087937206</v>
      </c>
      <c r="AM66" s="74">
        <f t="shared" si="19"/>
        <v>18881533.714734353</v>
      </c>
      <c r="AN66" s="74">
        <f t="shared" si="13"/>
        <v>-178928.31839623422</v>
      </c>
      <c r="AO66" s="74">
        <f t="shared" si="14"/>
        <v>-117533.30034601185</v>
      </c>
      <c r="AP66" s="74">
        <f t="shared" si="15"/>
        <v>-55210.526843910258</v>
      </c>
      <c r="AQ66" s="74">
        <f t="shared" si="16"/>
        <v>2647.9234042433172</v>
      </c>
      <c r="AR66" s="74">
        <f t="shared" si="17"/>
        <v>-1725.4488181595189</v>
      </c>
      <c r="AS66" s="75">
        <v>1628</v>
      </c>
      <c r="AT66" s="75"/>
      <c r="AU66" s="75"/>
      <c r="AV66" s="75">
        <v>21</v>
      </c>
      <c r="AW66" s="75">
        <v>6901.7927450005918</v>
      </c>
      <c r="AX66" s="75">
        <v>-1752.5629036517626</v>
      </c>
      <c r="AY66" s="75">
        <v>2166.3049037023329</v>
      </c>
      <c r="AZ66" s="316"/>
      <c r="BA66" s="74"/>
      <c r="BB66" s="74"/>
      <c r="BC66" s="74"/>
      <c r="BD66" s="74"/>
      <c r="BE66" s="74"/>
      <c r="BF66" s="74"/>
      <c r="BG66" s="74"/>
      <c r="BM66" s="316"/>
      <c r="BN66" s="74">
        <v>11692863.285265647</v>
      </c>
      <c r="BO66" s="74">
        <v>18572902.149999999</v>
      </c>
      <c r="BP66" s="74">
        <v>17838000</v>
      </c>
      <c r="BQ66" s="74">
        <v>510370.22000000003</v>
      </c>
      <c r="BR66" s="74">
        <v>474000</v>
      </c>
      <c r="BS66" s="406">
        <f t="shared" si="20"/>
        <v>0.56696084403071678</v>
      </c>
      <c r="BT66" s="406">
        <f t="shared" si="21"/>
        <v>0.33333333333333337</v>
      </c>
      <c r="BU66" s="74">
        <f t="shared" si="22"/>
        <v>10718224.774948476</v>
      </c>
      <c r="BV66" s="316"/>
      <c r="BW66" s="74">
        <v>30574397</v>
      </c>
      <c r="BX66" s="74">
        <v>11692863.285265647</v>
      </c>
      <c r="BY66" s="74">
        <v>16556150.243533242</v>
      </c>
      <c r="BZ66" s="74">
        <v>7969779.3722703494</v>
      </c>
      <c r="CA66" s="74">
        <f t="shared" si="23"/>
        <v>291295.78330893448</v>
      </c>
      <c r="CB66" s="74">
        <f t="shared" si="24"/>
        <v>213.28609778880838</v>
      </c>
      <c r="CC66" s="74">
        <f t="shared" si="25"/>
        <v>257.39116942549083</v>
      </c>
      <c r="CD66" s="74">
        <f t="shared" si="26"/>
        <v>44.105071636682453</v>
      </c>
      <c r="CE66" s="74">
        <f t="shared" si="27"/>
        <v>-26.235111684377447</v>
      </c>
      <c r="CF66" s="74">
        <f t="shared" si="28"/>
        <v>-12.323778313372626</v>
      </c>
      <c r="CG66" s="74">
        <f t="shared" si="29"/>
        <v>0.59105433130431184</v>
      </c>
      <c r="CH66" s="74">
        <f t="shared" si="30"/>
        <v>-0.38514482548203544</v>
      </c>
      <c r="CI66" s="74">
        <f t="shared" si="31"/>
        <v>-117533.30034601096</v>
      </c>
      <c r="CJ66" s="74">
        <f t="shared" si="32"/>
        <v>-55210.526843909363</v>
      </c>
      <c r="CK66" s="74">
        <f t="shared" si="33"/>
        <v>2647.9234042433172</v>
      </c>
      <c r="CL66" s="74">
        <f t="shared" si="34"/>
        <v>-1725.4488181595189</v>
      </c>
      <c r="CM66" s="316"/>
      <c r="CN66" s="74">
        <v>15076.873627540932</v>
      </c>
      <c r="CO66" s="74">
        <v>1203.6454780000001</v>
      </c>
    </row>
    <row r="67" spans="1:93" x14ac:dyDescent="0.2">
      <c r="A67" s="74">
        <v>153</v>
      </c>
      <c r="B67" s="74" t="s">
        <v>185</v>
      </c>
      <c r="C67" s="74">
        <v>9</v>
      </c>
      <c r="D67" s="74">
        <v>25655</v>
      </c>
      <c r="E67" s="89">
        <v>71475352.554919332</v>
      </c>
      <c r="F67" s="74">
        <v>36317417.230825707</v>
      </c>
      <c r="G67" s="74">
        <v>12542848.9725</v>
      </c>
      <c r="H67" s="74">
        <v>2903075.8388</v>
      </c>
      <c r="I67" s="74">
        <v>6794148.4251743881</v>
      </c>
      <c r="J67" s="74">
        <v>3874932.7490005866</v>
      </c>
      <c r="K67" s="74">
        <v>7596460.1907860134</v>
      </c>
      <c r="L67" s="74">
        <v>-1173353</v>
      </c>
      <c r="M67" s="75">
        <v>-37601</v>
      </c>
      <c r="N67" s="75">
        <v>270610.84225914837</v>
      </c>
      <c r="O67" s="178">
        <f t="shared" si="4"/>
        <v>-2386812.3055734932</v>
      </c>
      <c r="P67" s="179">
        <f t="shared" si="5"/>
        <v>-93.034975855524976</v>
      </c>
      <c r="Q67" s="74"/>
      <c r="R67" s="89">
        <v>180749309.46000001</v>
      </c>
      <c r="S67" s="74">
        <v>95914191.652056888</v>
      </c>
      <c r="T67" s="74">
        <v>4354613.7582</v>
      </c>
      <c r="U67" s="74">
        <v>59764596.162155665</v>
      </c>
      <c r="V67" s="74">
        <v>12923424.357477617</v>
      </c>
      <c r="W67" s="74">
        <v>11331894.9725</v>
      </c>
      <c r="X67" s="178">
        <f t="shared" si="6"/>
        <v>3539411.4423901737</v>
      </c>
      <c r="Y67" s="179">
        <f t="shared" si="7"/>
        <v>137.96185704112935</v>
      </c>
      <c r="Z67" s="74"/>
      <c r="AA67" s="84">
        <f t="shared" si="8"/>
        <v>-5926223.7479636669</v>
      </c>
      <c r="AB67" s="132">
        <f t="shared" si="9"/>
        <v>-230.99683289665433</v>
      </c>
      <c r="AD67" s="180">
        <v>6033095.1624867953</v>
      </c>
      <c r="AE67" s="187">
        <v>5615027.5705400221</v>
      </c>
      <c r="AF67" s="187">
        <v>5202272.8281731503</v>
      </c>
      <c r="AG67" s="187">
        <v>4786912.246833249</v>
      </c>
      <c r="AH67" s="188">
        <v>4377042.8574658949</v>
      </c>
      <c r="AJ67" s="74">
        <f t="shared" si="10"/>
        <v>59596774.42123118</v>
      </c>
      <c r="AK67" s="74">
        <f t="shared" si="11"/>
        <v>1451537.9194</v>
      </c>
      <c r="AL67" s="74">
        <f t="shared" si="12"/>
        <v>52970447.73698128</v>
      </c>
      <c r="AM67" s="74">
        <f t="shared" si="19"/>
        <v>109273956.90508068</v>
      </c>
      <c r="AN67" s="74">
        <f t="shared" si="13"/>
        <v>6033095.1624867953</v>
      </c>
      <c r="AO67" s="74">
        <f t="shared" si="14"/>
        <v>5615027.5705400221</v>
      </c>
      <c r="AP67" s="74">
        <f t="shared" si="15"/>
        <v>5202272.8281731503</v>
      </c>
      <c r="AQ67" s="74">
        <f t="shared" si="16"/>
        <v>4786912.246833249</v>
      </c>
      <c r="AR67" s="74">
        <f t="shared" si="17"/>
        <v>4377042.8574658949</v>
      </c>
      <c r="AS67" s="75">
        <v>8523</v>
      </c>
      <c r="AT67" s="75"/>
      <c r="AU67" s="75"/>
      <c r="AV67" s="75">
        <v>124</v>
      </c>
      <c r="AW67" s="75">
        <v>49864.324080510087</v>
      </c>
      <c r="AX67" s="75">
        <v>-2255.3371407802529</v>
      </c>
      <c r="AY67" s="75">
        <v>9048.4916084770302</v>
      </c>
      <c r="AZ67" s="316"/>
      <c r="BA67" s="74"/>
      <c r="BB67" s="74"/>
      <c r="BC67" s="74"/>
      <c r="BD67" s="74"/>
      <c r="BE67" s="74"/>
      <c r="BF67" s="74"/>
      <c r="BG67" s="74"/>
      <c r="BM67" s="316"/>
      <c r="BN67" s="74">
        <v>71475352.554919332</v>
      </c>
      <c r="BO67" s="74">
        <v>101521755.85999998</v>
      </c>
      <c r="BP67" s="74">
        <v>111785000</v>
      </c>
      <c r="BQ67" s="74">
        <v>2794349.26</v>
      </c>
      <c r="BR67" s="74">
        <v>2675000</v>
      </c>
      <c r="BS67" s="406">
        <f t="shared" si="20"/>
        <v>0.62135512372796109</v>
      </c>
      <c r="BT67" s="406">
        <f t="shared" si="21"/>
        <v>0.33333333333333337</v>
      </c>
      <c r="BU67" s="74">
        <f t="shared" si="22"/>
        <v>69615399.536244318</v>
      </c>
      <c r="BV67" s="316"/>
      <c r="BW67" s="74">
        <v>180749309.46000001</v>
      </c>
      <c r="BX67" s="74">
        <v>71475352.554919332</v>
      </c>
      <c r="BY67" s="74">
        <v>112811654.38275689</v>
      </c>
      <c r="BZ67" s="74">
        <v>51763342.042125702</v>
      </c>
      <c r="CA67" s="74">
        <f t="shared" si="23"/>
        <v>7596460.1907860059</v>
      </c>
      <c r="CB67" s="74">
        <f t="shared" si="24"/>
        <v>137.96185704112906</v>
      </c>
      <c r="CC67" s="74">
        <f t="shared" si="25"/>
        <v>-93.034975855524976</v>
      </c>
      <c r="CD67" s="74">
        <f t="shared" si="26"/>
        <v>-230.99683289665404</v>
      </c>
      <c r="CE67" s="74">
        <f t="shared" si="27"/>
        <v>218.86679284895905</v>
      </c>
      <c r="CF67" s="74">
        <f t="shared" si="28"/>
        <v>202.77812621996387</v>
      </c>
      <c r="CG67" s="74">
        <f t="shared" si="29"/>
        <v>186.58788722795836</v>
      </c>
      <c r="CH67" s="74">
        <f t="shared" si="30"/>
        <v>170.61168807117201</v>
      </c>
      <c r="CI67" s="74">
        <f t="shared" si="31"/>
        <v>5615027.5705400445</v>
      </c>
      <c r="CJ67" s="74">
        <f t="shared" si="32"/>
        <v>5202272.8281731727</v>
      </c>
      <c r="CK67" s="74">
        <f t="shared" si="33"/>
        <v>4786912.2468332713</v>
      </c>
      <c r="CL67" s="74">
        <f t="shared" si="34"/>
        <v>4377042.8574659182</v>
      </c>
      <c r="CM67" s="316"/>
      <c r="CN67" s="74">
        <v>94962.041063592682</v>
      </c>
      <c r="CO67" s="74">
        <v>4725.9374119999993</v>
      </c>
    </row>
    <row r="68" spans="1:93" x14ac:dyDescent="0.2">
      <c r="A68" s="74">
        <v>165</v>
      </c>
      <c r="B68" s="74" t="s">
        <v>190</v>
      </c>
      <c r="C68" s="74">
        <v>5</v>
      </c>
      <c r="D68" s="74">
        <v>16340</v>
      </c>
      <c r="E68" s="89">
        <v>41717887.719350748</v>
      </c>
      <c r="F68" s="74">
        <v>26123009.934728868</v>
      </c>
      <c r="G68" s="74">
        <v>3978922.2900000005</v>
      </c>
      <c r="H68" s="74">
        <v>2127469.4706000001</v>
      </c>
      <c r="I68" s="74">
        <v>8705195.0113556404</v>
      </c>
      <c r="J68" s="74">
        <v>2506202.154951592</v>
      </c>
      <c r="K68" s="74">
        <v>1551576.2857019408</v>
      </c>
      <c r="L68" s="74">
        <v>-2047241</v>
      </c>
      <c r="M68" s="75">
        <v>-187000</v>
      </c>
      <c r="N68" s="75">
        <v>170064.32748776081</v>
      </c>
      <c r="O68" s="178">
        <f t="shared" si="4"/>
        <v>1210310.7554750517</v>
      </c>
      <c r="P68" s="179">
        <f t="shared" si="5"/>
        <v>74.070425671667792</v>
      </c>
      <c r="Q68" s="74"/>
      <c r="R68" s="89">
        <v>100087131.26000001</v>
      </c>
      <c r="S68" s="74">
        <v>63424848.787680872</v>
      </c>
      <c r="T68" s="74">
        <v>3191204.2059000004</v>
      </c>
      <c r="U68" s="74">
        <v>25115283.902079154</v>
      </c>
      <c r="V68" s="74">
        <v>8358522.8627304342</v>
      </c>
      <c r="W68" s="74">
        <v>1744681.2900000005</v>
      </c>
      <c r="X68" s="178">
        <f t="shared" si="6"/>
        <v>1747409.7883904427</v>
      </c>
      <c r="Y68" s="179">
        <f t="shared" si="7"/>
        <v>106.9406235245069</v>
      </c>
      <c r="Z68" s="74"/>
      <c r="AA68" s="84">
        <f t="shared" si="8"/>
        <v>-537099.03291539103</v>
      </c>
      <c r="AB68" s="132">
        <f t="shared" si="9"/>
        <v>-32.870197852839105</v>
      </c>
      <c r="AD68" s="180">
        <v>605166.81359396409</v>
      </c>
      <c r="AE68" s="187">
        <v>338894.17853606975</v>
      </c>
      <c r="AF68" s="187">
        <v>76005.365818288526</v>
      </c>
      <c r="AG68" s="187">
        <v>9657.8277735124557</v>
      </c>
      <c r="AH68" s="188">
        <v>-6293.2664483764593</v>
      </c>
      <c r="AJ68" s="74">
        <f t="shared" si="10"/>
        <v>37301838.852952003</v>
      </c>
      <c r="AK68" s="74">
        <f t="shared" si="11"/>
        <v>1063734.7353000003</v>
      </c>
      <c r="AL68" s="74">
        <f t="shared" si="12"/>
        <v>16410088.890723513</v>
      </c>
      <c r="AM68" s="74">
        <f t="shared" si="19"/>
        <v>58369243.540649258</v>
      </c>
      <c r="AN68" s="74">
        <f t="shared" si="13"/>
        <v>605166.81359396409</v>
      </c>
      <c r="AO68" s="74">
        <f t="shared" si="14"/>
        <v>338894.17853606975</v>
      </c>
      <c r="AP68" s="74">
        <f t="shared" si="15"/>
        <v>76005.365818288526</v>
      </c>
      <c r="AQ68" s="74">
        <f t="shared" si="16"/>
        <v>9657.8277735124557</v>
      </c>
      <c r="AR68" s="74">
        <f t="shared" si="17"/>
        <v>-6293.2664483764593</v>
      </c>
      <c r="AS68" s="75">
        <v>6160</v>
      </c>
      <c r="AT68" s="75"/>
      <c r="AU68" s="75"/>
      <c r="AV68" s="75">
        <v>40</v>
      </c>
      <c r="AW68" s="75">
        <v>15829.327554016854</v>
      </c>
      <c r="AX68" s="75">
        <v>-1085.1356138736032</v>
      </c>
      <c r="AY68" s="75">
        <v>5852.320707778842</v>
      </c>
      <c r="AZ68" s="316"/>
      <c r="BA68" s="74"/>
      <c r="BB68" s="74"/>
      <c r="BC68" s="74"/>
      <c r="BD68" s="74"/>
      <c r="BE68" s="74"/>
      <c r="BF68" s="74"/>
      <c r="BG68" s="74"/>
      <c r="BM68" s="316"/>
      <c r="BN68" s="74">
        <v>41717887.719350748</v>
      </c>
      <c r="BO68" s="74">
        <v>54502976.390000001</v>
      </c>
      <c r="BP68" s="74">
        <v>58930000</v>
      </c>
      <c r="BQ68" s="74">
        <v>1255633.79</v>
      </c>
      <c r="BR68" s="74">
        <v>1298000</v>
      </c>
      <c r="BS68" s="406">
        <f t="shared" si="20"/>
        <v>0.58812657130366253</v>
      </c>
      <c r="BT68" s="406">
        <f t="shared" si="21"/>
        <v>0.33333333333333337</v>
      </c>
      <c r="BU68" s="74">
        <f t="shared" si="22"/>
        <v>23813985.884204295</v>
      </c>
      <c r="BV68" s="316"/>
      <c r="BW68" s="74">
        <v>100087131.26000001</v>
      </c>
      <c r="BX68" s="74">
        <v>41717887.719350748</v>
      </c>
      <c r="BY68" s="74">
        <v>70594975.283580869</v>
      </c>
      <c r="BZ68" s="74">
        <v>32229401.695328869</v>
      </c>
      <c r="CA68" s="74">
        <f t="shared" si="23"/>
        <v>1551576.2857019317</v>
      </c>
      <c r="CB68" s="74">
        <f t="shared" si="24"/>
        <v>106.94062352450756</v>
      </c>
      <c r="CC68" s="74">
        <f t="shared" si="25"/>
        <v>74.070425671667451</v>
      </c>
      <c r="CD68" s="74">
        <f t="shared" si="26"/>
        <v>-32.870197852840107</v>
      </c>
      <c r="CE68" s="74">
        <f t="shared" si="27"/>
        <v>20.740157805145113</v>
      </c>
      <c r="CF68" s="74">
        <f t="shared" si="28"/>
        <v>4.6514911761499338</v>
      </c>
      <c r="CG68" s="74">
        <f t="shared" si="29"/>
        <v>0.59105433130431184</v>
      </c>
      <c r="CH68" s="74">
        <f t="shared" si="30"/>
        <v>-0.38514482548203544</v>
      </c>
      <c r="CI68" s="74">
        <f t="shared" si="31"/>
        <v>338894.17853607115</v>
      </c>
      <c r="CJ68" s="74">
        <f t="shared" si="32"/>
        <v>76005.365818289923</v>
      </c>
      <c r="CK68" s="74">
        <f t="shared" si="33"/>
        <v>9657.8277735124557</v>
      </c>
      <c r="CL68" s="74">
        <f t="shared" si="34"/>
        <v>-6293.2664483764593</v>
      </c>
      <c r="CM68" s="316"/>
      <c r="CN68" s="74">
        <v>64609.476485647581</v>
      </c>
      <c r="CO68" s="74">
        <v>3463.3223940000003</v>
      </c>
    </row>
    <row r="69" spans="1:93" x14ac:dyDescent="0.2">
      <c r="A69" s="74">
        <v>167</v>
      </c>
      <c r="B69" s="74" t="s">
        <v>191</v>
      </c>
      <c r="C69" s="74">
        <v>12</v>
      </c>
      <c r="D69" s="74">
        <v>77261</v>
      </c>
      <c r="E69" s="89">
        <v>187436254.7361595</v>
      </c>
      <c r="F69" s="74">
        <v>99182619.814282224</v>
      </c>
      <c r="G69" s="74">
        <v>22695501.932000007</v>
      </c>
      <c r="H69" s="74">
        <v>21187301.849999998</v>
      </c>
      <c r="I69" s="74">
        <v>28763766.264301326</v>
      </c>
      <c r="J69" s="74">
        <v>12373568.894308858</v>
      </c>
      <c r="K69" s="74">
        <v>7212540.3294365508</v>
      </c>
      <c r="L69" s="74">
        <v>-85859</v>
      </c>
      <c r="M69" s="75">
        <v>1503000</v>
      </c>
      <c r="N69" s="75">
        <v>700293.13705208467</v>
      </c>
      <c r="O69" s="178">
        <f t="shared" si="4"/>
        <v>6096478.4852215648</v>
      </c>
      <c r="P69" s="179">
        <f t="shared" si="5"/>
        <v>78.907579311962891</v>
      </c>
      <c r="Q69" s="74"/>
      <c r="R69" s="89">
        <v>466265093</v>
      </c>
      <c r="S69" s="74">
        <v>246571235.24583587</v>
      </c>
      <c r="T69" s="74">
        <v>31780952.774999999</v>
      </c>
      <c r="U69" s="74">
        <v>135409591.96323687</v>
      </c>
      <c r="V69" s="74">
        <v>41267524.36642462</v>
      </c>
      <c r="W69" s="74">
        <v>24112642.932000007</v>
      </c>
      <c r="X69" s="178">
        <f t="shared" si="6"/>
        <v>12876854.282497406</v>
      </c>
      <c r="Y69" s="179">
        <f t="shared" si="7"/>
        <v>166.66693781464653</v>
      </c>
      <c r="Z69" s="74"/>
      <c r="AA69" s="84">
        <f t="shared" si="8"/>
        <v>-6780375.7972758412</v>
      </c>
      <c r="AB69" s="132">
        <f t="shared" si="9"/>
        <v>-87.759358502683654</v>
      </c>
      <c r="AD69" s="180">
        <v>7102223.0924413921</v>
      </c>
      <c r="AE69" s="187">
        <v>5843196.7731508184</v>
      </c>
      <c r="AF69" s="187">
        <v>4600170.3007280221</v>
      </c>
      <c r="AG69" s="187">
        <v>3349296.2459666841</v>
      </c>
      <c r="AH69" s="188">
        <v>2114959.1229142137</v>
      </c>
      <c r="AJ69" s="74">
        <f t="shared" si="10"/>
        <v>147388615.43155366</v>
      </c>
      <c r="AK69" s="74">
        <f t="shared" si="11"/>
        <v>10593650.925000001</v>
      </c>
      <c r="AL69" s="74">
        <f t="shared" si="12"/>
        <v>106645825.69893554</v>
      </c>
      <c r="AM69" s="74">
        <f t="shared" si="19"/>
        <v>278828838.2638405</v>
      </c>
      <c r="AN69" s="74">
        <f t="shared" si="13"/>
        <v>7102223.0924413921</v>
      </c>
      <c r="AO69" s="74">
        <f t="shared" si="14"/>
        <v>5843196.7731508184</v>
      </c>
      <c r="AP69" s="74">
        <f t="shared" si="15"/>
        <v>4600170.3007280221</v>
      </c>
      <c r="AQ69" s="74">
        <f t="shared" si="16"/>
        <v>3349296.2459666841</v>
      </c>
      <c r="AR69" s="74">
        <f t="shared" si="17"/>
        <v>2114959.1229142137</v>
      </c>
      <c r="AS69" s="75">
        <v>35356</v>
      </c>
      <c r="AT69" s="75"/>
      <c r="AU69" s="75"/>
      <c r="AV69" s="75">
        <v>2</v>
      </c>
      <c r="AW69" s="75">
        <v>83083.253197427592</v>
      </c>
      <c r="AX69" s="75">
        <v>-21624.076658894825</v>
      </c>
      <c r="AY69" s="75">
        <v>28893.955472115762</v>
      </c>
      <c r="AZ69" s="316"/>
      <c r="BA69" s="74"/>
      <c r="BB69" s="74"/>
      <c r="BC69" s="74"/>
      <c r="BD69" s="74"/>
      <c r="BE69" s="74"/>
      <c r="BF69" s="74"/>
      <c r="BG69" s="74"/>
      <c r="BM69" s="316"/>
      <c r="BN69" s="74">
        <v>187436254.7361595</v>
      </c>
      <c r="BO69" s="74">
        <v>264507078.97000003</v>
      </c>
      <c r="BP69" s="74">
        <v>294150000</v>
      </c>
      <c r="BQ69" s="74">
        <v>6674728.9199999999</v>
      </c>
      <c r="BR69" s="74">
        <v>7377000</v>
      </c>
      <c r="BS69" s="406">
        <f t="shared" si="20"/>
        <v>0.59775267494038631</v>
      </c>
      <c r="BT69" s="406">
        <f t="shared" si="21"/>
        <v>0.33333333333333337</v>
      </c>
      <c r="BU69" s="74">
        <f t="shared" si="22"/>
        <v>142752321.50048786</v>
      </c>
      <c r="BV69" s="316"/>
      <c r="BW69" s="74">
        <v>466265093</v>
      </c>
      <c r="BX69" s="74">
        <v>187436254.7361595</v>
      </c>
      <c r="BY69" s="74">
        <v>301047689.95283586</v>
      </c>
      <c r="BZ69" s="74">
        <v>143065423.59628224</v>
      </c>
      <c r="CA69" s="74">
        <f t="shared" si="23"/>
        <v>7212540.3294364801</v>
      </c>
      <c r="CB69" s="74">
        <f t="shared" si="24"/>
        <v>166.6669378146461</v>
      </c>
      <c r="CC69" s="74">
        <f t="shared" si="25"/>
        <v>78.907579311961712</v>
      </c>
      <c r="CD69" s="74">
        <f t="shared" si="26"/>
        <v>-87.759358502684393</v>
      </c>
      <c r="CE69" s="74">
        <f t="shared" si="27"/>
        <v>75.629318454989402</v>
      </c>
      <c r="CF69" s="74">
        <f t="shared" si="28"/>
        <v>59.540651825994217</v>
      </c>
      <c r="CG69" s="74">
        <f t="shared" si="29"/>
        <v>43.350412833988706</v>
      </c>
      <c r="CH69" s="74">
        <f t="shared" si="30"/>
        <v>27.374213677202356</v>
      </c>
      <c r="CI69" s="74">
        <f t="shared" si="31"/>
        <v>5843196.7731509358</v>
      </c>
      <c r="CJ69" s="74">
        <f t="shared" si="32"/>
        <v>4600170.3007281395</v>
      </c>
      <c r="CK69" s="74">
        <f t="shared" si="33"/>
        <v>3349296.2459668014</v>
      </c>
      <c r="CL69" s="74">
        <f t="shared" si="34"/>
        <v>2114959.122914331</v>
      </c>
      <c r="CM69" s="316"/>
      <c r="CN69" s="74">
        <v>255156.95854887491</v>
      </c>
      <c r="CO69" s="74">
        <v>34490.956499999993</v>
      </c>
    </row>
    <row r="70" spans="1:93" x14ac:dyDescent="0.2">
      <c r="A70" s="74">
        <v>169</v>
      </c>
      <c r="B70" s="74" t="s">
        <v>192</v>
      </c>
      <c r="C70" s="74">
        <v>5</v>
      </c>
      <c r="D70" s="74">
        <v>5046</v>
      </c>
      <c r="E70" s="89">
        <v>12467115.724654842</v>
      </c>
      <c r="F70" s="74">
        <v>7939292.54156572</v>
      </c>
      <c r="G70" s="74">
        <v>1210183.4770000002</v>
      </c>
      <c r="H70" s="74">
        <v>630391.64439999999</v>
      </c>
      <c r="I70" s="74">
        <v>2175773.3907675445</v>
      </c>
      <c r="J70" s="74">
        <v>907876.92063785903</v>
      </c>
      <c r="K70" s="74">
        <v>294662.53420430375</v>
      </c>
      <c r="L70" s="74">
        <v>-1291424</v>
      </c>
      <c r="M70" s="75">
        <v>-48160</v>
      </c>
      <c r="N70" s="75">
        <v>49241.907442776668</v>
      </c>
      <c r="O70" s="178">
        <f t="shared" si="4"/>
        <v>-599277.30863663927</v>
      </c>
      <c r="P70" s="179">
        <f t="shared" si="5"/>
        <v>-118.76284356651591</v>
      </c>
      <c r="Q70" s="74"/>
      <c r="R70" s="89">
        <v>31567210</v>
      </c>
      <c r="S70" s="74">
        <v>18732799.241108287</v>
      </c>
      <c r="T70" s="74">
        <v>945587.46659999993</v>
      </c>
      <c r="U70" s="74">
        <v>8613127.8341193385</v>
      </c>
      <c r="V70" s="74">
        <v>3027892.2163976124</v>
      </c>
      <c r="W70" s="74">
        <v>-129400.52299999981</v>
      </c>
      <c r="X70" s="178">
        <f t="shared" si="6"/>
        <v>-377203.76477476209</v>
      </c>
      <c r="Y70" s="179">
        <f t="shared" si="7"/>
        <v>-74.75302512381333</v>
      </c>
      <c r="Z70" s="74"/>
      <c r="AA70" s="84">
        <f t="shared" si="8"/>
        <v>-222073.54386187717</v>
      </c>
      <c r="AB70" s="132">
        <f t="shared" si="9"/>
        <v>-44.009818442702574</v>
      </c>
      <c r="AD70" s="180">
        <v>243093.74100410703</v>
      </c>
      <c r="AE70" s="187">
        <v>160865.36178121014</v>
      </c>
      <c r="AF70" s="187">
        <v>79681.949971300477</v>
      </c>
      <c r="AG70" s="187">
        <v>2982.4601557615574</v>
      </c>
      <c r="AH70" s="188">
        <v>-1943.4407893823509</v>
      </c>
      <c r="AJ70" s="74">
        <f t="shared" si="10"/>
        <v>10793506.699542567</v>
      </c>
      <c r="AK70" s="74">
        <f t="shared" si="11"/>
        <v>315195.82219999994</v>
      </c>
      <c r="AL70" s="74">
        <f t="shared" si="12"/>
        <v>6437354.443351794</v>
      </c>
      <c r="AM70" s="74">
        <f t="shared" si="19"/>
        <v>19100094.275345158</v>
      </c>
      <c r="AN70" s="74">
        <f t="shared" si="13"/>
        <v>243093.74100410703</v>
      </c>
      <c r="AO70" s="74">
        <f t="shared" si="14"/>
        <v>160865.36178121014</v>
      </c>
      <c r="AP70" s="74">
        <f t="shared" si="15"/>
        <v>79681.949971300477</v>
      </c>
      <c r="AQ70" s="74">
        <f t="shared" si="16"/>
        <v>2982.4601557615574</v>
      </c>
      <c r="AR70" s="74">
        <f t="shared" si="17"/>
        <v>-1943.4407893823509</v>
      </c>
      <c r="AS70" s="75">
        <v>1469</v>
      </c>
      <c r="AT70" s="75"/>
      <c r="AU70" s="75"/>
      <c r="AV70" s="75">
        <v>186</v>
      </c>
      <c r="AW70" s="75">
        <v>5671.599110133885</v>
      </c>
      <c r="AX70" s="75">
        <v>-742.3126892034262</v>
      </c>
      <c r="AY70" s="75">
        <v>2120.0152957597534</v>
      </c>
      <c r="AZ70" s="316"/>
      <c r="BA70" s="74"/>
      <c r="BB70" s="74"/>
      <c r="BC70" s="74"/>
      <c r="BD70" s="74"/>
      <c r="BE70" s="74"/>
      <c r="BF70" s="74"/>
      <c r="BG70" s="74"/>
      <c r="BM70" s="316"/>
      <c r="BN70" s="74">
        <v>12467115.724654842</v>
      </c>
      <c r="BO70" s="74">
        <v>17689982.870000001</v>
      </c>
      <c r="BP70" s="74">
        <v>19278000</v>
      </c>
      <c r="BQ70" s="74">
        <v>413712.64000000001</v>
      </c>
      <c r="BR70" s="74">
        <v>310000</v>
      </c>
      <c r="BS70" s="406">
        <f t="shared" si="20"/>
        <v>0.57618226516070814</v>
      </c>
      <c r="BT70" s="406">
        <f t="shared" si="21"/>
        <v>0.33333333333333326</v>
      </c>
      <c r="BU70" s="74">
        <f t="shared" si="22"/>
        <v>8852032.2733158525</v>
      </c>
      <c r="BV70" s="316"/>
      <c r="BW70" s="74">
        <v>31567210</v>
      </c>
      <c r="BX70" s="74">
        <v>12467115.724654842</v>
      </c>
      <c r="BY70" s="74">
        <v>20888570.18470829</v>
      </c>
      <c r="BZ70" s="74">
        <v>9779867.6629657205</v>
      </c>
      <c r="CA70" s="74">
        <f t="shared" si="23"/>
        <v>294662.53420430212</v>
      </c>
      <c r="CB70" s="74">
        <f t="shared" si="24"/>
        <v>-74.753025123813103</v>
      </c>
      <c r="CC70" s="74">
        <f t="shared" si="25"/>
        <v>-118.762843566516</v>
      </c>
      <c r="CD70" s="74">
        <f t="shared" si="26"/>
        <v>-44.009818442702894</v>
      </c>
      <c r="CE70" s="74">
        <f t="shared" si="27"/>
        <v>31.8797783950079</v>
      </c>
      <c r="CF70" s="74">
        <f t="shared" si="28"/>
        <v>15.791111766012721</v>
      </c>
      <c r="CG70" s="74">
        <f t="shared" si="29"/>
        <v>0.59105433130431184</v>
      </c>
      <c r="CH70" s="74">
        <f t="shared" si="30"/>
        <v>-0.38514482548203544</v>
      </c>
      <c r="CI70" s="74">
        <f t="shared" si="31"/>
        <v>160865.36178120985</v>
      </c>
      <c r="CJ70" s="74">
        <f t="shared" si="32"/>
        <v>79681.949971300186</v>
      </c>
      <c r="CK70" s="74">
        <f t="shared" si="33"/>
        <v>2982.4601557615574</v>
      </c>
      <c r="CL70" s="74">
        <f t="shared" si="34"/>
        <v>-1943.4407893823509</v>
      </c>
      <c r="CM70" s="316"/>
      <c r="CN70" s="74">
        <v>18857.990732198719</v>
      </c>
      <c r="CO70" s="74">
        <v>1026.2189559999999</v>
      </c>
    </row>
    <row r="71" spans="1:93" x14ac:dyDescent="0.2">
      <c r="A71" s="74">
        <v>171</v>
      </c>
      <c r="B71" s="74" t="s">
        <v>193</v>
      </c>
      <c r="C71" s="74">
        <v>11</v>
      </c>
      <c r="D71" s="74">
        <v>4624</v>
      </c>
      <c r="E71" s="89">
        <v>11073594.871049847</v>
      </c>
      <c r="F71" s="74">
        <v>6713563.8106413092</v>
      </c>
      <c r="G71" s="74">
        <v>1187231.4245</v>
      </c>
      <c r="H71" s="74">
        <v>1146756.3961999998</v>
      </c>
      <c r="I71" s="74">
        <v>1990363.6279304065</v>
      </c>
      <c r="J71" s="74">
        <v>937285.52228160761</v>
      </c>
      <c r="K71" s="74">
        <v>236815.91370217776</v>
      </c>
      <c r="L71" s="74">
        <v>-135669</v>
      </c>
      <c r="M71" s="75">
        <v>71000</v>
      </c>
      <c r="N71" s="75">
        <v>42727.706485410796</v>
      </c>
      <c r="O71" s="178">
        <f t="shared" si="4"/>
        <v>1116480.5306910649</v>
      </c>
      <c r="P71" s="179">
        <f t="shared" si="5"/>
        <v>241.45340196606074</v>
      </c>
      <c r="Q71" s="74"/>
      <c r="R71" s="89">
        <v>31480179</v>
      </c>
      <c r="S71" s="74">
        <v>15779320.354312686</v>
      </c>
      <c r="T71" s="74">
        <v>1720134.5943</v>
      </c>
      <c r="U71" s="74">
        <v>10808011.241339359</v>
      </c>
      <c r="V71" s="74">
        <v>3125973.8770148708</v>
      </c>
      <c r="W71" s="74">
        <v>1122562.4245</v>
      </c>
      <c r="X71" s="178">
        <f t="shared" si="6"/>
        <v>1075823.4914669171</v>
      </c>
      <c r="Y71" s="179">
        <f t="shared" si="7"/>
        <v>232.66078967710146</v>
      </c>
      <c r="Z71" s="74"/>
      <c r="AA71" s="84">
        <f t="shared" si="8"/>
        <v>40657.039224147797</v>
      </c>
      <c r="AB71" s="132">
        <f t="shared" si="9"/>
        <v>8.7926122889592992</v>
      </c>
      <c r="AD71" s="180">
        <v>-21394.7737493813</v>
      </c>
      <c r="AE71" s="187">
        <v>13270.694819458342</v>
      </c>
      <c r="AF71" s="187">
        <v>8236.7003269846373</v>
      </c>
      <c r="AG71" s="187">
        <v>2733.035227951138</v>
      </c>
      <c r="AH71" s="188">
        <v>-1780.9096730289318</v>
      </c>
      <c r="AJ71" s="74">
        <f t="shared" si="10"/>
        <v>9065756.543671377</v>
      </c>
      <c r="AK71" s="74">
        <f t="shared" si="11"/>
        <v>573378.19810000015</v>
      </c>
      <c r="AL71" s="74">
        <f t="shared" si="12"/>
        <v>8817647.613408953</v>
      </c>
      <c r="AM71" s="74">
        <f t="shared" si="19"/>
        <v>20406584.128950153</v>
      </c>
      <c r="AN71" s="74">
        <f t="shared" si="13"/>
        <v>-21394.7737493813</v>
      </c>
      <c r="AO71" s="74">
        <f t="shared" si="14"/>
        <v>13270.694819458342</v>
      </c>
      <c r="AP71" s="74">
        <f t="shared" si="15"/>
        <v>8236.7003269846373</v>
      </c>
      <c r="AQ71" s="74">
        <f t="shared" si="16"/>
        <v>2733.035227951138</v>
      </c>
      <c r="AR71" s="74">
        <f t="shared" si="17"/>
        <v>-1780.9096730289318</v>
      </c>
      <c r="AS71" s="75">
        <v>1327</v>
      </c>
      <c r="AT71" s="75"/>
      <c r="AU71" s="75"/>
      <c r="AV71" s="75">
        <v>0</v>
      </c>
      <c r="AW71" s="75">
        <v>7754.9179061697441</v>
      </c>
      <c r="AX71" s="75">
        <v>-1263.2701476685347</v>
      </c>
      <c r="AY71" s="75">
        <v>2188.6883547332632</v>
      </c>
      <c r="AZ71" s="316"/>
      <c r="BA71" s="74"/>
      <c r="BB71" s="74"/>
      <c r="BC71" s="74"/>
      <c r="BD71" s="74"/>
      <c r="BE71" s="74"/>
      <c r="BF71" s="74"/>
      <c r="BG71" s="74"/>
      <c r="BM71" s="316"/>
      <c r="BN71" s="74">
        <v>11073594.871049847</v>
      </c>
      <c r="BO71" s="74">
        <v>19666818.629999999</v>
      </c>
      <c r="BP71" s="74">
        <v>20557000</v>
      </c>
      <c r="BQ71" s="74">
        <v>414887.49</v>
      </c>
      <c r="BR71" s="74">
        <v>469000</v>
      </c>
      <c r="BS71" s="406">
        <f t="shared" si="20"/>
        <v>0.57453403189153152</v>
      </c>
      <c r="BT71" s="406">
        <f t="shared" si="21"/>
        <v>0.33333333333333337</v>
      </c>
      <c r="BU71" s="74">
        <f t="shared" si="22"/>
        <v>11243151.881844394</v>
      </c>
      <c r="BV71" s="316"/>
      <c r="BW71" s="74">
        <v>31480179</v>
      </c>
      <c r="BX71" s="74">
        <v>11073594.871049847</v>
      </c>
      <c r="BY71" s="74">
        <v>18686686.373112686</v>
      </c>
      <c r="BZ71" s="74">
        <v>9047551.6313413084</v>
      </c>
      <c r="CA71" s="74">
        <f t="shared" si="23"/>
        <v>236815.91370217566</v>
      </c>
      <c r="CB71" s="74">
        <f t="shared" si="24"/>
        <v>232.66078967710129</v>
      </c>
      <c r="CC71" s="74">
        <f t="shared" si="25"/>
        <v>241.45340196606008</v>
      </c>
      <c r="CD71" s="74">
        <f t="shared" si="26"/>
        <v>8.792612288958793</v>
      </c>
      <c r="CE71" s="74">
        <f t="shared" si="27"/>
        <v>2.8699599523050048</v>
      </c>
      <c r="CF71" s="74">
        <f t="shared" si="28"/>
        <v>1.7812933233098263</v>
      </c>
      <c r="CG71" s="74">
        <f t="shared" si="29"/>
        <v>0.59105433130431184</v>
      </c>
      <c r="CH71" s="74">
        <f t="shared" si="30"/>
        <v>-0.38514482548203544</v>
      </c>
      <c r="CI71" s="74">
        <f t="shared" si="31"/>
        <v>13270.694819458342</v>
      </c>
      <c r="CJ71" s="74">
        <f t="shared" si="32"/>
        <v>8236.7003269846373</v>
      </c>
      <c r="CK71" s="74">
        <f t="shared" si="33"/>
        <v>2733.035227951138</v>
      </c>
      <c r="CL71" s="74">
        <f t="shared" si="34"/>
        <v>-1780.9096730289318</v>
      </c>
      <c r="CM71" s="316"/>
      <c r="CN71" s="74">
        <v>16034.969356452706</v>
      </c>
      <c r="CO71" s="74">
        <v>1866.8127379999999</v>
      </c>
    </row>
    <row r="72" spans="1:93" x14ac:dyDescent="0.2">
      <c r="A72" s="74">
        <v>172</v>
      </c>
      <c r="B72" s="74" t="s">
        <v>194</v>
      </c>
      <c r="C72" s="74">
        <v>13</v>
      </c>
      <c r="D72" s="74">
        <v>4263</v>
      </c>
      <c r="E72" s="89">
        <v>10604218.893111352</v>
      </c>
      <c r="F72" s="74">
        <v>5212830.9652836649</v>
      </c>
      <c r="G72" s="74">
        <v>1812666.7840000002</v>
      </c>
      <c r="H72" s="74">
        <v>1219222.172</v>
      </c>
      <c r="I72" s="74">
        <v>1662002.8987662878</v>
      </c>
      <c r="J72" s="74">
        <v>932152.42712882627</v>
      </c>
      <c r="K72" s="74">
        <v>-193304.1060517905</v>
      </c>
      <c r="L72" s="74">
        <v>78790</v>
      </c>
      <c r="M72" s="75">
        <v>165700</v>
      </c>
      <c r="N72" s="75">
        <v>34646.833260575222</v>
      </c>
      <c r="O72" s="178">
        <f t="shared" si="4"/>
        <v>320489.08127621189</v>
      </c>
      <c r="P72" s="179">
        <f t="shared" si="5"/>
        <v>75.179235579688452</v>
      </c>
      <c r="Q72" s="74"/>
      <c r="R72" s="89">
        <v>33479204</v>
      </c>
      <c r="S72" s="74">
        <v>12419354.225001516</v>
      </c>
      <c r="T72" s="74">
        <v>1828833.2580000001</v>
      </c>
      <c r="U72" s="74">
        <v>14073231.245499188</v>
      </c>
      <c r="V72" s="74">
        <v>3108854.3110188376</v>
      </c>
      <c r="W72" s="74">
        <v>2057156.7840000002</v>
      </c>
      <c r="X72" s="178">
        <f t="shared" si="6"/>
        <v>8225.8235195428133</v>
      </c>
      <c r="Y72" s="179">
        <f t="shared" si="7"/>
        <v>1.929585625039365</v>
      </c>
      <c r="Z72" s="74"/>
      <c r="AA72" s="84">
        <f t="shared" si="8"/>
        <v>312263.25775666907</v>
      </c>
      <c r="AB72" s="132">
        <f t="shared" si="9"/>
        <v>73.249649954649087</v>
      </c>
      <c r="AD72" s="180">
        <v>-294504.81534340751</v>
      </c>
      <c r="AE72" s="187">
        <v>-236083.61847999285</v>
      </c>
      <c r="AF72" s="187">
        <v>-176779.60431939928</v>
      </c>
      <c r="AG72" s="187">
        <v>-117908.59314231877</v>
      </c>
      <c r="AH72" s="188">
        <v>-58125.130147698976</v>
      </c>
      <c r="AJ72" s="74">
        <f t="shared" si="10"/>
        <v>7206523.2597178509</v>
      </c>
      <c r="AK72" s="74">
        <f t="shared" si="11"/>
        <v>609611.08600000013</v>
      </c>
      <c r="AL72" s="74">
        <f t="shared" si="12"/>
        <v>12411228.3467329</v>
      </c>
      <c r="AM72" s="74">
        <f t="shared" si="19"/>
        <v>22874985.106888648</v>
      </c>
      <c r="AN72" s="74">
        <f t="shared" si="13"/>
        <v>-294504.81534340751</v>
      </c>
      <c r="AO72" s="74">
        <f t="shared" si="14"/>
        <v>-236083.61847999285</v>
      </c>
      <c r="AP72" s="74">
        <f t="shared" si="15"/>
        <v>-176779.60431939928</v>
      </c>
      <c r="AQ72" s="74">
        <f t="shared" si="16"/>
        <v>-117908.59314231877</v>
      </c>
      <c r="AR72" s="74">
        <f t="shared" si="17"/>
        <v>-58125.130147698976</v>
      </c>
      <c r="AS72" s="75">
        <v>1237</v>
      </c>
      <c r="AT72" s="75"/>
      <c r="AU72" s="75"/>
      <c r="AV72" s="75">
        <v>0</v>
      </c>
      <c r="AW72" s="75">
        <v>10638.995689498357</v>
      </c>
      <c r="AX72" s="75">
        <v>-1957.4760162759076</v>
      </c>
      <c r="AY72" s="75">
        <v>2176.7018838900112</v>
      </c>
      <c r="AZ72" s="316"/>
      <c r="BA72" s="74"/>
      <c r="BB72" s="74"/>
      <c r="BC72" s="74"/>
      <c r="BD72" s="74"/>
      <c r="BE72" s="74"/>
      <c r="BF72" s="74"/>
      <c r="BG72" s="74"/>
      <c r="BM72" s="316"/>
      <c r="BN72" s="74">
        <v>10604218.893111352</v>
      </c>
      <c r="BO72" s="74">
        <v>20845494.48</v>
      </c>
      <c r="BP72" s="74">
        <v>23984000</v>
      </c>
      <c r="BQ72" s="74">
        <v>365386.59</v>
      </c>
      <c r="BR72" s="74">
        <v>419000</v>
      </c>
      <c r="BS72" s="406">
        <f t="shared" si="20"/>
        <v>0.58026553789812452</v>
      </c>
      <c r="BT72" s="406">
        <f t="shared" si="21"/>
        <v>0.33333333333333337</v>
      </c>
      <c r="BU72" s="74">
        <f t="shared" si="22"/>
        <v>14394626.124571122</v>
      </c>
      <c r="BV72" s="316"/>
      <c r="BW72" s="74">
        <v>33479204</v>
      </c>
      <c r="BX72" s="74">
        <v>10604218.893111352</v>
      </c>
      <c r="BY72" s="74">
        <v>16060854.267001515</v>
      </c>
      <c r="BZ72" s="74">
        <v>8244719.9212836651</v>
      </c>
      <c r="CA72" s="74">
        <f t="shared" si="23"/>
        <v>-193304.10605179291</v>
      </c>
      <c r="CB72" s="74">
        <f t="shared" si="24"/>
        <v>1.9295856250389827</v>
      </c>
      <c r="CC72" s="74">
        <f t="shared" si="25"/>
        <v>75.179235579687941</v>
      </c>
      <c r="CD72" s="74">
        <f t="shared" si="26"/>
        <v>73.249649954648959</v>
      </c>
      <c r="CE72" s="74">
        <f t="shared" si="27"/>
        <v>-55.379690002343956</v>
      </c>
      <c r="CF72" s="74">
        <f t="shared" si="28"/>
        <v>-41.468356631339134</v>
      </c>
      <c r="CG72" s="74">
        <f t="shared" si="29"/>
        <v>-27.658595623344645</v>
      </c>
      <c r="CH72" s="74">
        <f t="shared" si="30"/>
        <v>-13.634794780130994</v>
      </c>
      <c r="CI72" s="74">
        <f t="shared" si="31"/>
        <v>-236083.61847999229</v>
      </c>
      <c r="CJ72" s="74">
        <f t="shared" si="32"/>
        <v>-176779.60431939873</v>
      </c>
      <c r="CK72" s="74">
        <f t="shared" si="33"/>
        <v>-117908.59314231822</v>
      </c>
      <c r="CL72" s="74">
        <f t="shared" si="34"/>
        <v>-58125.13014769843</v>
      </c>
      <c r="CM72" s="316"/>
      <c r="CN72" s="74">
        <v>12195.669761697784</v>
      </c>
      <c r="CO72" s="74">
        <v>1984.7802800000002</v>
      </c>
    </row>
    <row r="73" spans="1:93" x14ac:dyDescent="0.2">
      <c r="A73" s="74">
        <v>176</v>
      </c>
      <c r="B73" s="74" t="s">
        <v>196</v>
      </c>
      <c r="C73" s="74">
        <v>12</v>
      </c>
      <c r="D73" s="74">
        <v>4444</v>
      </c>
      <c r="E73" s="89">
        <v>11142491.032118257</v>
      </c>
      <c r="F73" s="74">
        <v>4843764.9161874605</v>
      </c>
      <c r="G73" s="74">
        <v>1269009.8891</v>
      </c>
      <c r="H73" s="74">
        <v>1359481.9542</v>
      </c>
      <c r="I73" s="74">
        <v>3390562.7305282392</v>
      </c>
      <c r="J73" s="74">
        <v>986174.06164168147</v>
      </c>
      <c r="K73" s="74">
        <v>-381170.26784384914</v>
      </c>
      <c r="L73" s="74">
        <v>-103558</v>
      </c>
      <c r="M73" s="75">
        <v>308950</v>
      </c>
      <c r="N73" s="75">
        <v>32902.613637040587</v>
      </c>
      <c r="O73" s="178">
        <f t="shared" si="4"/>
        <v>563626.86533231661</v>
      </c>
      <c r="P73" s="179">
        <f t="shared" si="5"/>
        <v>126.82872757252849</v>
      </c>
      <c r="Q73" s="74"/>
      <c r="R73" s="89">
        <v>37160050</v>
      </c>
      <c r="S73" s="74">
        <v>11586671.965191299</v>
      </c>
      <c r="T73" s="74">
        <v>2039222.9313000001</v>
      </c>
      <c r="U73" s="74">
        <v>18956187.501358427</v>
      </c>
      <c r="V73" s="74">
        <v>3289023.7623400902</v>
      </c>
      <c r="W73" s="74">
        <v>1474401.8891</v>
      </c>
      <c r="X73" s="178">
        <f t="shared" si="6"/>
        <v>185458.04928981513</v>
      </c>
      <c r="Y73" s="179">
        <f t="shared" si="7"/>
        <v>41.732234313639765</v>
      </c>
      <c r="Z73" s="74"/>
      <c r="AA73" s="84">
        <f t="shared" si="8"/>
        <v>378168.81604250148</v>
      </c>
      <c r="AB73" s="132">
        <f t="shared" si="9"/>
        <v>85.096493258888728</v>
      </c>
      <c r="AD73" s="180">
        <v>-359656.37924106256</v>
      </c>
      <c r="AE73" s="187">
        <v>-298754.71401445806</v>
      </c>
      <c r="AF73" s="187">
        <v>-236932.74851371264</v>
      </c>
      <c r="AG73" s="187">
        <v>-175562.17059418513</v>
      </c>
      <c r="AH73" s="188">
        <v>-113240.39964694368</v>
      </c>
      <c r="AJ73" s="74">
        <f t="shared" si="10"/>
        <v>6742907.0490038386</v>
      </c>
      <c r="AK73" s="74">
        <f t="shared" si="11"/>
        <v>679740.97710000002</v>
      </c>
      <c r="AL73" s="74">
        <f t="shared" si="12"/>
        <v>15565624.770830188</v>
      </c>
      <c r="AM73" s="74">
        <f t="shared" si="19"/>
        <v>26017558.967881743</v>
      </c>
      <c r="AN73" s="74">
        <f t="shared" si="13"/>
        <v>-359656.37924106256</v>
      </c>
      <c r="AO73" s="74">
        <f t="shared" si="14"/>
        <v>-298754.71401445806</v>
      </c>
      <c r="AP73" s="74">
        <f t="shared" si="15"/>
        <v>-236932.74851371264</v>
      </c>
      <c r="AQ73" s="74">
        <f t="shared" si="16"/>
        <v>-175562.17059418513</v>
      </c>
      <c r="AR73" s="74">
        <f t="shared" si="17"/>
        <v>-113240.39964694368</v>
      </c>
      <c r="AS73" s="75">
        <v>2580</v>
      </c>
      <c r="AT73" s="75"/>
      <c r="AU73" s="75"/>
      <c r="AV73" s="75">
        <v>1</v>
      </c>
      <c r="AW73" s="75">
        <v>13099.373248400596</v>
      </c>
      <c r="AX73" s="75">
        <v>-2592.2348588629907</v>
      </c>
      <c r="AY73" s="75">
        <v>2302.8497006984089</v>
      </c>
      <c r="AZ73" s="316"/>
      <c r="BA73" s="74"/>
      <c r="BB73" s="74"/>
      <c r="BC73" s="74"/>
      <c r="BD73" s="74"/>
      <c r="BE73" s="74"/>
      <c r="BF73" s="74"/>
      <c r="BG73" s="74"/>
      <c r="BM73" s="316"/>
      <c r="BN73" s="74">
        <v>11142491.032118257</v>
      </c>
      <c r="BO73" s="74">
        <v>25260332.240000006</v>
      </c>
      <c r="BP73" s="74">
        <v>26385000</v>
      </c>
      <c r="BQ73" s="74">
        <v>392760.96</v>
      </c>
      <c r="BR73" s="74">
        <v>526000</v>
      </c>
      <c r="BS73" s="406">
        <f t="shared" si="20"/>
        <v>0.58195373695405306</v>
      </c>
      <c r="BT73" s="406">
        <f t="shared" si="21"/>
        <v>0.33333333333333337</v>
      </c>
      <c r="BU73" s="74">
        <f t="shared" si="22"/>
        <v>17487304.203684747</v>
      </c>
      <c r="BV73" s="316"/>
      <c r="BW73" s="74">
        <v>37160050</v>
      </c>
      <c r="BX73" s="74">
        <v>11142491.032118257</v>
      </c>
      <c r="BY73" s="74">
        <v>14894904.785591299</v>
      </c>
      <c r="BZ73" s="74">
        <v>7472256.7594874613</v>
      </c>
      <c r="CA73" s="74">
        <f t="shared" si="23"/>
        <v>-381170.26784385298</v>
      </c>
      <c r="CB73" s="74">
        <f t="shared" si="24"/>
        <v>41.732234313639509</v>
      </c>
      <c r="CC73" s="74">
        <f t="shared" si="25"/>
        <v>126.82872757252744</v>
      </c>
      <c r="CD73" s="74">
        <f t="shared" si="26"/>
        <v>85.096493258887932</v>
      </c>
      <c r="CE73" s="74">
        <f t="shared" si="27"/>
        <v>-67.226533306582922</v>
      </c>
      <c r="CF73" s="74">
        <f t="shared" si="28"/>
        <v>-53.315199935578107</v>
      </c>
      <c r="CG73" s="74">
        <f t="shared" si="29"/>
        <v>-39.505438927583619</v>
      </c>
      <c r="CH73" s="74">
        <f t="shared" si="30"/>
        <v>-25.481638084369969</v>
      </c>
      <c r="CI73" s="74">
        <f t="shared" si="31"/>
        <v>-298754.71401445451</v>
      </c>
      <c r="CJ73" s="74">
        <f t="shared" si="32"/>
        <v>-236932.74851370911</v>
      </c>
      <c r="CK73" s="74">
        <f t="shared" si="33"/>
        <v>-175562.1705941816</v>
      </c>
      <c r="CL73" s="74">
        <f t="shared" si="34"/>
        <v>-113240.39964694015</v>
      </c>
      <c r="CM73" s="316"/>
      <c r="CN73" s="74">
        <v>11629.976358454234</v>
      </c>
      <c r="CO73" s="74">
        <v>2213.110158</v>
      </c>
    </row>
    <row r="74" spans="1:93" x14ac:dyDescent="0.2">
      <c r="A74" s="74">
        <v>177</v>
      </c>
      <c r="B74" s="74" t="s">
        <v>197</v>
      </c>
      <c r="C74" s="74">
        <v>6</v>
      </c>
      <c r="D74" s="74">
        <v>1786</v>
      </c>
      <c r="E74" s="89">
        <v>4712079.9657098223</v>
      </c>
      <c r="F74" s="74">
        <v>2484130.9299016795</v>
      </c>
      <c r="G74" s="74">
        <v>563251.84649999999</v>
      </c>
      <c r="H74" s="74">
        <v>739769.97039999999</v>
      </c>
      <c r="I74" s="74">
        <v>457701.87317865336</v>
      </c>
      <c r="J74" s="74">
        <v>368927.0093874014</v>
      </c>
      <c r="K74" s="74">
        <v>357873.34609830112</v>
      </c>
      <c r="L74" s="74">
        <v>-479945</v>
      </c>
      <c r="M74" s="75">
        <v>-12600</v>
      </c>
      <c r="N74" s="75">
        <v>16983.161794576466</v>
      </c>
      <c r="O74" s="178">
        <f t="shared" si="4"/>
        <v>-215986.82844921015</v>
      </c>
      <c r="P74" s="179">
        <f t="shared" si="5"/>
        <v>-120.93327460762046</v>
      </c>
      <c r="Q74" s="74"/>
      <c r="R74" s="89">
        <v>12227910</v>
      </c>
      <c r="S74" s="74">
        <v>5945553.5047066165</v>
      </c>
      <c r="T74" s="74">
        <v>1109654.9556</v>
      </c>
      <c r="U74" s="74">
        <v>4011615.6031559454</v>
      </c>
      <c r="V74" s="74">
        <v>1230421.4313082506</v>
      </c>
      <c r="W74" s="74">
        <v>70706.846499999985</v>
      </c>
      <c r="X74" s="178">
        <f t="shared" si="6"/>
        <v>140042.34127081186</v>
      </c>
      <c r="Y74" s="179">
        <f t="shared" si="7"/>
        <v>78.411165325202603</v>
      </c>
      <c r="Z74" s="74"/>
      <c r="AA74" s="84">
        <f t="shared" si="8"/>
        <v>-356029.16972002201</v>
      </c>
      <c r="AB74" s="132">
        <f t="shared" si="9"/>
        <v>-199.34443993282306</v>
      </c>
      <c r="AD74" s="180">
        <v>363469.1364453556</v>
      </c>
      <c r="AE74" s="187">
        <v>334364.91819484154</v>
      </c>
      <c r="AF74" s="187">
        <v>305630.55959545611</v>
      </c>
      <c r="AG74" s="187">
        <v>276714.79275573429</v>
      </c>
      <c r="AH74" s="188">
        <v>248181.30106171389</v>
      </c>
      <c r="AJ74" s="74">
        <f t="shared" si="10"/>
        <v>3461422.574804937</v>
      </c>
      <c r="AK74" s="74">
        <f t="shared" si="11"/>
        <v>369884.9852</v>
      </c>
      <c r="AL74" s="74">
        <f t="shared" si="12"/>
        <v>3553913.729977292</v>
      </c>
      <c r="AM74" s="74">
        <f t="shared" si="19"/>
        <v>7515830.0342901777</v>
      </c>
      <c r="AN74" s="74">
        <f t="shared" si="13"/>
        <v>363469.1364453556</v>
      </c>
      <c r="AO74" s="74">
        <f t="shared" si="14"/>
        <v>334364.91819484154</v>
      </c>
      <c r="AP74" s="74">
        <f t="shared" si="15"/>
        <v>305630.55959545611</v>
      </c>
      <c r="AQ74" s="74">
        <f t="shared" si="16"/>
        <v>276714.79275573429</v>
      </c>
      <c r="AR74" s="74">
        <f t="shared" si="17"/>
        <v>248181.30106171389</v>
      </c>
      <c r="AS74" s="75">
        <v>563</v>
      </c>
      <c r="AT74" s="75"/>
      <c r="AU74" s="75"/>
      <c r="AV74" s="75">
        <v>67</v>
      </c>
      <c r="AW74" s="75">
        <v>3073.0830230540546</v>
      </c>
      <c r="AX74" s="75">
        <v>-364.1586251955917</v>
      </c>
      <c r="AY74" s="75">
        <v>861.49442192084928</v>
      </c>
      <c r="AZ74" s="316"/>
      <c r="BA74" s="74"/>
      <c r="BB74" s="74"/>
      <c r="BC74" s="74"/>
      <c r="BD74" s="74"/>
      <c r="BE74" s="74"/>
      <c r="BF74" s="74"/>
      <c r="BG74" s="74"/>
      <c r="BM74" s="316"/>
      <c r="BN74" s="74">
        <v>4712079.9657098223</v>
      </c>
      <c r="BO74" s="74">
        <v>7118446.2699999996</v>
      </c>
      <c r="BP74" s="74">
        <v>6726000</v>
      </c>
      <c r="BQ74" s="74">
        <v>129508.9</v>
      </c>
      <c r="BR74" s="74">
        <v>141000</v>
      </c>
      <c r="BS74" s="406">
        <f t="shared" si="20"/>
        <v>0.58218676731523944</v>
      </c>
      <c r="BT74" s="406">
        <f t="shared" si="21"/>
        <v>0.33333333333333337</v>
      </c>
      <c r="BU74" s="74">
        <f t="shared" si="22"/>
        <v>4773281.497996443</v>
      </c>
      <c r="BV74" s="316"/>
      <c r="BW74" s="74">
        <v>12227910</v>
      </c>
      <c r="BX74" s="74">
        <v>4712079.9657098223</v>
      </c>
      <c r="BY74" s="74">
        <v>7618460.3068066165</v>
      </c>
      <c r="BZ74" s="74">
        <v>3787152.7468016795</v>
      </c>
      <c r="CA74" s="74">
        <f t="shared" si="23"/>
        <v>357873.34609829972</v>
      </c>
      <c r="CB74" s="74">
        <f t="shared" si="24"/>
        <v>78.411165325203001</v>
      </c>
      <c r="CC74" s="74">
        <f t="shared" si="25"/>
        <v>-120.93327460762136</v>
      </c>
      <c r="CD74" s="74">
        <f t="shared" si="26"/>
        <v>-199.34443993282434</v>
      </c>
      <c r="CE74" s="74">
        <f t="shared" si="27"/>
        <v>187.21439988512935</v>
      </c>
      <c r="CF74" s="74">
        <f t="shared" si="28"/>
        <v>171.12573325613417</v>
      </c>
      <c r="CG74" s="74">
        <f t="shared" si="29"/>
        <v>154.93549426412866</v>
      </c>
      <c r="CH74" s="74">
        <f t="shared" si="30"/>
        <v>138.95929510734231</v>
      </c>
      <c r="CI74" s="74">
        <f t="shared" si="31"/>
        <v>334364.91819484101</v>
      </c>
      <c r="CJ74" s="74">
        <f t="shared" si="32"/>
        <v>305630.55959545565</v>
      </c>
      <c r="CK74" s="74">
        <f t="shared" si="33"/>
        <v>276714.79275573377</v>
      </c>
      <c r="CL74" s="74">
        <f t="shared" si="34"/>
        <v>248181.30106171337</v>
      </c>
      <c r="CM74" s="316"/>
      <c r="CN74" s="74">
        <v>6196.87006418069</v>
      </c>
      <c r="CO74" s="74">
        <v>1204.2766959999999</v>
      </c>
    </row>
    <row r="75" spans="1:93" x14ac:dyDescent="0.2">
      <c r="A75" s="74">
        <v>178</v>
      </c>
      <c r="B75" s="74" t="s">
        <v>198</v>
      </c>
      <c r="C75" s="74">
        <v>10</v>
      </c>
      <c r="D75" s="74">
        <v>5887</v>
      </c>
      <c r="E75" s="89">
        <v>15041625.903999157</v>
      </c>
      <c r="F75" s="74">
        <v>7099337.9114800198</v>
      </c>
      <c r="G75" s="74">
        <v>1642614.5231000001</v>
      </c>
      <c r="H75" s="74">
        <v>1810703.7012</v>
      </c>
      <c r="I75" s="74">
        <v>2231368.7039230699</v>
      </c>
      <c r="J75" s="74">
        <v>1350040.2153226035</v>
      </c>
      <c r="K75" s="74">
        <v>832529.17260799883</v>
      </c>
      <c r="L75" s="74">
        <v>-581018</v>
      </c>
      <c r="M75" s="75">
        <v>583310</v>
      </c>
      <c r="N75" s="75">
        <v>48077.150219731637</v>
      </c>
      <c r="O75" s="178">
        <f t="shared" si="4"/>
        <v>-24662.526145733893</v>
      </c>
      <c r="P75" s="179">
        <f t="shared" si="5"/>
        <v>-4.1893198820679283</v>
      </c>
      <c r="Q75" s="74"/>
      <c r="R75" s="89">
        <v>45672404</v>
      </c>
      <c r="S75" s="74">
        <v>17039925.782138176</v>
      </c>
      <c r="T75" s="74">
        <v>2716055.5518</v>
      </c>
      <c r="U75" s="74">
        <v>20083669.058910258</v>
      </c>
      <c r="V75" s="74">
        <v>4502566.5559678124</v>
      </c>
      <c r="W75" s="74">
        <v>1644906.5231000001</v>
      </c>
      <c r="X75" s="178">
        <f t="shared" si="6"/>
        <v>314719.47191624343</v>
      </c>
      <c r="Y75" s="179">
        <f t="shared" si="7"/>
        <v>53.460076765116945</v>
      </c>
      <c r="Z75" s="74"/>
      <c r="AA75" s="84">
        <f t="shared" si="8"/>
        <v>-339381.99806197733</v>
      </c>
      <c r="AB75" s="132">
        <f t="shared" si="9"/>
        <v>-57.649396647184872</v>
      </c>
      <c r="AD75" s="180">
        <v>363905.56139458402</v>
      </c>
      <c r="AE75" s="187">
        <v>267972.45230120432</v>
      </c>
      <c r="AF75" s="187">
        <v>173258.47185630974</v>
      </c>
      <c r="AG75" s="187">
        <v>77946.534910373273</v>
      </c>
      <c r="AH75" s="188">
        <v>-2267.3475876127427</v>
      </c>
      <c r="AJ75" s="74">
        <f t="shared" si="10"/>
        <v>9940587.8706581555</v>
      </c>
      <c r="AK75" s="74">
        <f t="shared" si="11"/>
        <v>905351.85060000001</v>
      </c>
      <c r="AL75" s="74">
        <f t="shared" si="12"/>
        <v>17852300.354987189</v>
      </c>
      <c r="AM75" s="74">
        <f t="shared" si="19"/>
        <v>30630778.096000843</v>
      </c>
      <c r="AN75" s="74">
        <f t="shared" si="13"/>
        <v>363905.56139458402</v>
      </c>
      <c r="AO75" s="74">
        <f t="shared" si="14"/>
        <v>267972.45230120432</v>
      </c>
      <c r="AP75" s="74">
        <f t="shared" si="15"/>
        <v>173258.47185630974</v>
      </c>
      <c r="AQ75" s="74">
        <f t="shared" si="16"/>
        <v>77946.534910373273</v>
      </c>
      <c r="AR75" s="74">
        <f t="shared" si="17"/>
        <v>-2267.3475876127427</v>
      </c>
      <c r="AS75" s="75">
        <v>1907</v>
      </c>
      <c r="AT75" s="75"/>
      <c r="AU75" s="75"/>
      <c r="AV75" s="75">
        <v>0</v>
      </c>
      <c r="AW75" s="75">
        <v>15437.374781791113</v>
      </c>
      <c r="AX75" s="75">
        <v>-2633.1171023135912</v>
      </c>
      <c r="AY75" s="75">
        <v>3152.5263406452091</v>
      </c>
      <c r="AZ75" s="316"/>
      <c r="BA75" s="74"/>
      <c r="BB75" s="74"/>
      <c r="BC75" s="74"/>
      <c r="BD75" s="74"/>
      <c r="BE75" s="74"/>
      <c r="BF75" s="74"/>
      <c r="BG75" s="74"/>
      <c r="BM75" s="316"/>
      <c r="BN75" s="74">
        <v>15041625.903999157</v>
      </c>
      <c r="BO75" s="74">
        <v>29471645.350000001</v>
      </c>
      <c r="BP75" s="74">
        <v>30414000</v>
      </c>
      <c r="BQ75" s="74">
        <v>516303.65</v>
      </c>
      <c r="BR75" s="74">
        <v>560000</v>
      </c>
      <c r="BS75" s="406">
        <f t="shared" si="20"/>
        <v>0.58337037365962097</v>
      </c>
      <c r="BT75" s="406">
        <f t="shared" si="21"/>
        <v>0.33333333333333337</v>
      </c>
      <c r="BU75" s="74">
        <f t="shared" si="22"/>
        <v>21837355.868240397</v>
      </c>
      <c r="BV75" s="316"/>
      <c r="BW75" s="74">
        <v>45672404</v>
      </c>
      <c r="BX75" s="74">
        <v>15041625.903999157</v>
      </c>
      <c r="BY75" s="74">
        <v>21398595.857038178</v>
      </c>
      <c r="BZ75" s="74">
        <v>10552656.135780022</v>
      </c>
      <c r="CA75" s="74">
        <f t="shared" si="23"/>
        <v>832529.17260799464</v>
      </c>
      <c r="CB75" s="74">
        <f t="shared" si="24"/>
        <v>53.460076765117769</v>
      </c>
      <c r="CC75" s="74">
        <f t="shared" si="25"/>
        <v>-4.1893198820686166</v>
      </c>
      <c r="CD75" s="74">
        <f t="shared" si="26"/>
        <v>-57.649396647186386</v>
      </c>
      <c r="CE75" s="74">
        <f t="shared" si="27"/>
        <v>45.519356599491388</v>
      </c>
      <c r="CF75" s="74">
        <f t="shared" si="28"/>
        <v>29.430689970496211</v>
      </c>
      <c r="CG75" s="74">
        <f t="shared" si="29"/>
        <v>13.240450978490697</v>
      </c>
      <c r="CH75" s="74">
        <f t="shared" si="30"/>
        <v>-0.38514482548203544</v>
      </c>
      <c r="CI75" s="74">
        <f t="shared" si="31"/>
        <v>267972.45230120578</v>
      </c>
      <c r="CJ75" s="74">
        <f t="shared" si="32"/>
        <v>173258.4718563112</v>
      </c>
      <c r="CK75" s="74">
        <f t="shared" si="33"/>
        <v>77946.534910374728</v>
      </c>
      <c r="CL75" s="74">
        <f t="shared" si="34"/>
        <v>-2267.3475876127427</v>
      </c>
      <c r="CM75" s="316"/>
      <c r="CN75" s="74">
        <v>17035.35317983805</v>
      </c>
      <c r="CO75" s="74">
        <v>2947.6571880000001</v>
      </c>
    </row>
    <row r="76" spans="1:93" x14ac:dyDescent="0.2">
      <c r="A76" s="74">
        <v>179</v>
      </c>
      <c r="B76" s="74" t="s">
        <v>199</v>
      </c>
      <c r="C76" s="74">
        <v>13</v>
      </c>
      <c r="D76" s="74">
        <v>144473</v>
      </c>
      <c r="E76" s="89">
        <v>339569454.70026034</v>
      </c>
      <c r="F76" s="74">
        <v>191233098.45823893</v>
      </c>
      <c r="G76" s="74">
        <v>54977331.384500004</v>
      </c>
      <c r="H76" s="74">
        <v>28123906.525400002</v>
      </c>
      <c r="I76" s="74">
        <v>57883302.893537797</v>
      </c>
      <c r="J76" s="74">
        <v>20640553.783674002</v>
      </c>
      <c r="K76" s="74">
        <v>-7091614.2941753212</v>
      </c>
      <c r="L76" s="74">
        <v>-22721521</v>
      </c>
      <c r="M76" s="75">
        <v>4313000</v>
      </c>
      <c r="N76" s="75">
        <v>1430881.3373018019</v>
      </c>
      <c r="O76" s="178">
        <f t="shared" si="4"/>
        <v>-10780515.611783087</v>
      </c>
      <c r="P76" s="179">
        <f t="shared" si="5"/>
        <v>-74.61958713242673</v>
      </c>
      <c r="Q76" s="74"/>
      <c r="R76" s="89">
        <v>832850300</v>
      </c>
      <c r="S76" s="74">
        <v>499970076.94834584</v>
      </c>
      <c r="T76" s="74">
        <v>42185859.788100004</v>
      </c>
      <c r="U76" s="74">
        <v>175034662.19028595</v>
      </c>
      <c r="V76" s="74">
        <v>68839036.132577524</v>
      </c>
      <c r="W76" s="74">
        <v>36568810.384500004</v>
      </c>
      <c r="X76" s="178">
        <f t="shared" si="6"/>
        <v>-10251854.556190729</v>
      </c>
      <c r="Y76" s="179">
        <f t="shared" si="7"/>
        <v>-70.960349381481166</v>
      </c>
      <c r="Z76" s="74"/>
      <c r="AA76" s="84">
        <f t="shared" si="8"/>
        <v>-528661.05559235811</v>
      </c>
      <c r="AB76" s="132">
        <f t="shared" si="9"/>
        <v>-3.6592377509455614</v>
      </c>
      <c r="AD76" s="180">
        <v>1130494.3773779306</v>
      </c>
      <c r="AE76" s="187">
        <v>414631.72418936098</v>
      </c>
      <c r="AF76" s="187">
        <v>257348.79029854052</v>
      </c>
      <c r="AG76" s="187">
        <v>85391.392406527841</v>
      </c>
      <c r="AH76" s="188">
        <v>-55643.028371866109</v>
      </c>
      <c r="AJ76" s="74">
        <f t="shared" si="10"/>
        <v>308736978.49010694</v>
      </c>
      <c r="AK76" s="74">
        <f t="shared" si="11"/>
        <v>14061953.262700003</v>
      </c>
      <c r="AL76" s="74">
        <f t="shared" si="12"/>
        <v>117151359.29674816</v>
      </c>
      <c r="AM76" s="74">
        <f t="shared" si="19"/>
        <v>493280845.29973966</v>
      </c>
      <c r="AN76" s="74">
        <f t="shared" si="13"/>
        <v>1130494.3773779306</v>
      </c>
      <c r="AO76" s="74">
        <f t="shared" si="14"/>
        <v>414631.72418936098</v>
      </c>
      <c r="AP76" s="74">
        <f t="shared" si="15"/>
        <v>257348.79029854052</v>
      </c>
      <c r="AQ76" s="74">
        <f t="shared" si="16"/>
        <v>85391.392406527841</v>
      </c>
      <c r="AR76" s="74">
        <f t="shared" si="17"/>
        <v>-55643.028371866109</v>
      </c>
      <c r="AS76" s="75">
        <v>53862</v>
      </c>
      <c r="AT76" s="75"/>
      <c r="AU76" s="75"/>
      <c r="AV76" s="75">
        <v>1956</v>
      </c>
      <c r="AW76" s="75">
        <v>92664.479741008792</v>
      </c>
      <c r="AX76" s="75">
        <v>-19293.155342262296</v>
      </c>
      <c r="AY76" s="75">
        <v>48198.482348903526</v>
      </c>
      <c r="AZ76" s="316"/>
      <c r="BA76" s="74"/>
      <c r="BB76" s="74"/>
      <c r="BC76" s="74"/>
      <c r="BD76" s="74"/>
      <c r="BE76" s="74"/>
      <c r="BF76" s="74"/>
      <c r="BG76" s="74"/>
      <c r="BM76" s="316"/>
      <c r="BN76" s="74">
        <v>339569454.70026034</v>
      </c>
      <c r="BO76" s="74">
        <v>470642281.53999996</v>
      </c>
      <c r="BP76" s="74">
        <v>505094000</v>
      </c>
      <c r="BQ76" s="74">
        <v>13283139.610000001</v>
      </c>
      <c r="BR76" s="74">
        <v>13935000</v>
      </c>
      <c r="BS76" s="406">
        <f t="shared" si="20"/>
        <v>0.61751091260208346</v>
      </c>
      <c r="BT76" s="406">
        <f t="shared" si="21"/>
        <v>0.33333333333333337</v>
      </c>
      <c r="BU76" s="74">
        <f t="shared" si="22"/>
        <v>158258227.35147634</v>
      </c>
      <c r="BV76" s="316"/>
      <c r="BW76" s="74">
        <v>832850300</v>
      </c>
      <c r="BX76" s="74">
        <v>339569454.70026034</v>
      </c>
      <c r="BY76" s="74">
        <v>597133268.12094593</v>
      </c>
      <c r="BZ76" s="74">
        <v>274334336.36813891</v>
      </c>
      <c r="CA76" s="74">
        <f t="shared" si="23"/>
        <v>-7091614.2941753324</v>
      </c>
      <c r="CB76" s="74">
        <f t="shared" si="24"/>
        <v>-70.96034938148081</v>
      </c>
      <c r="CC76" s="74">
        <f t="shared" si="25"/>
        <v>-74.619587132427156</v>
      </c>
      <c r="CD76" s="74">
        <f t="shared" si="26"/>
        <v>-3.6592377509463461</v>
      </c>
      <c r="CE76" s="74">
        <f t="shared" si="27"/>
        <v>2.8699599523050048</v>
      </c>
      <c r="CF76" s="74">
        <f t="shared" si="28"/>
        <v>1.7812933233098263</v>
      </c>
      <c r="CG76" s="74">
        <f t="shared" si="29"/>
        <v>0.59105433130431184</v>
      </c>
      <c r="CH76" s="74">
        <f t="shared" si="30"/>
        <v>-0.38514482548203544</v>
      </c>
      <c r="CI76" s="74">
        <f t="shared" si="31"/>
        <v>414631.72418936098</v>
      </c>
      <c r="CJ76" s="74">
        <f t="shared" si="32"/>
        <v>257348.79029854052</v>
      </c>
      <c r="CK76" s="74">
        <f t="shared" si="33"/>
        <v>85391.392406527841</v>
      </c>
      <c r="CL76" s="74">
        <f t="shared" si="34"/>
        <v>-55643.028371866109</v>
      </c>
      <c r="CM76" s="316"/>
      <c r="CN76" s="74">
        <v>516717.68962350732</v>
      </c>
      <c r="CO76" s="74">
        <v>45783.103646000003</v>
      </c>
    </row>
    <row r="77" spans="1:93" x14ac:dyDescent="0.2">
      <c r="A77" s="74">
        <v>181</v>
      </c>
      <c r="B77" s="74" t="s">
        <v>200</v>
      </c>
      <c r="C77" s="74">
        <v>4</v>
      </c>
      <c r="D77" s="74">
        <v>1685</v>
      </c>
      <c r="E77" s="89">
        <v>5101644.6064975699</v>
      </c>
      <c r="F77" s="74">
        <v>2476479.6454247329</v>
      </c>
      <c r="G77" s="74">
        <v>733078.7452</v>
      </c>
      <c r="H77" s="74">
        <v>258116.77080000003</v>
      </c>
      <c r="I77" s="74">
        <v>1263717.0246206282</v>
      </c>
      <c r="J77" s="74">
        <v>420964.55030535825</v>
      </c>
      <c r="K77" s="74">
        <v>298162.82759963517</v>
      </c>
      <c r="L77" s="74">
        <v>-369016</v>
      </c>
      <c r="M77" s="75">
        <v>-47900</v>
      </c>
      <c r="N77" s="75">
        <v>13028.558012854755</v>
      </c>
      <c r="O77" s="178">
        <f t="shared" si="4"/>
        <v>-55012.484534360468</v>
      </c>
      <c r="P77" s="179">
        <f t="shared" si="5"/>
        <v>-32.648358774101169</v>
      </c>
      <c r="Q77" s="74"/>
      <c r="R77" s="89">
        <v>11925328</v>
      </c>
      <c r="S77" s="74">
        <v>5286592.034842059</v>
      </c>
      <c r="T77" s="74">
        <v>387175.15620000003</v>
      </c>
      <c r="U77" s="74">
        <v>4682858.5760448202</v>
      </c>
      <c r="V77" s="74">
        <v>1403973.6623697605</v>
      </c>
      <c r="W77" s="74">
        <v>316162.7452</v>
      </c>
      <c r="X77" s="178">
        <f t="shared" si="6"/>
        <v>151434.17465664074</v>
      </c>
      <c r="Y77" s="179">
        <f t="shared" si="7"/>
        <v>89.87191374281349</v>
      </c>
      <c r="Z77" s="74"/>
      <c r="AA77" s="84">
        <f t="shared" si="8"/>
        <v>-206446.65919100121</v>
      </c>
      <c r="AB77" s="132">
        <f t="shared" si="9"/>
        <v>-122.52027251691466</v>
      </c>
      <c r="AD77" s="180">
        <v>213465.88871629836</v>
      </c>
      <c r="AE77" s="187">
        <v>186007.54171063422</v>
      </c>
      <c r="AF77" s="187">
        <v>158898.13844077734</v>
      </c>
      <c r="AG77" s="187">
        <v>131617.58573924805</v>
      </c>
      <c r="AH77" s="188">
        <v>104697.69016006305</v>
      </c>
      <c r="AJ77" s="74">
        <f t="shared" si="10"/>
        <v>2810112.3894173261</v>
      </c>
      <c r="AK77" s="74">
        <f t="shared" si="11"/>
        <v>129058.3854</v>
      </c>
      <c r="AL77" s="74">
        <f t="shared" si="12"/>
        <v>3419141.5514241923</v>
      </c>
      <c r="AM77" s="74">
        <f t="shared" si="19"/>
        <v>6823683.3935024301</v>
      </c>
      <c r="AN77" s="74">
        <f t="shared" si="13"/>
        <v>213465.88871629836</v>
      </c>
      <c r="AO77" s="74">
        <f t="shared" si="14"/>
        <v>186007.54171063422</v>
      </c>
      <c r="AP77" s="74">
        <f t="shared" si="15"/>
        <v>158898.13844077734</v>
      </c>
      <c r="AQ77" s="74">
        <f t="shared" si="16"/>
        <v>131617.58573924805</v>
      </c>
      <c r="AR77" s="74">
        <f t="shared" si="17"/>
        <v>104697.69016006305</v>
      </c>
      <c r="AS77" s="75">
        <v>606</v>
      </c>
      <c r="AT77" s="75"/>
      <c r="AU77" s="75"/>
      <c r="AV77" s="75">
        <v>5</v>
      </c>
      <c r="AW77" s="75">
        <v>2529.8872870316031</v>
      </c>
      <c r="AX77" s="75">
        <v>-882.31386194591266</v>
      </c>
      <c r="AY77" s="75">
        <v>983.00911206440219</v>
      </c>
      <c r="AZ77" s="316"/>
      <c r="BA77" s="74"/>
      <c r="BB77" s="74"/>
      <c r="BC77" s="74"/>
      <c r="BD77" s="74"/>
      <c r="BE77" s="74"/>
      <c r="BF77" s="74"/>
      <c r="BG77" s="74"/>
      <c r="BM77" s="316"/>
      <c r="BN77" s="74">
        <v>5101644.6064975699</v>
      </c>
      <c r="BO77" s="74">
        <v>6319918.3000000007</v>
      </c>
      <c r="BP77" s="74">
        <v>6730000</v>
      </c>
      <c r="BQ77" s="74">
        <v>146287.51</v>
      </c>
      <c r="BR77" s="74">
        <v>148000</v>
      </c>
      <c r="BS77" s="406">
        <f t="shared" si="20"/>
        <v>0.53155461418185268</v>
      </c>
      <c r="BT77" s="406">
        <f t="shared" si="21"/>
        <v>0.33333333333333326</v>
      </c>
      <c r="BU77" s="74">
        <f t="shared" si="22"/>
        <v>4700313.4910882302</v>
      </c>
      <c r="BV77" s="316"/>
      <c r="BW77" s="74">
        <v>11925328</v>
      </c>
      <c r="BX77" s="74">
        <v>5101644.6064975699</v>
      </c>
      <c r="BY77" s="74">
        <v>6406845.9362420589</v>
      </c>
      <c r="BZ77" s="74">
        <v>3467675.1614247328</v>
      </c>
      <c r="CA77" s="74">
        <f t="shared" si="23"/>
        <v>298162.8275996343</v>
      </c>
      <c r="CB77" s="74">
        <f t="shared" si="24"/>
        <v>89.871913742812936</v>
      </c>
      <c r="CC77" s="74">
        <f t="shared" si="25"/>
        <v>-32.64835877410173</v>
      </c>
      <c r="CD77" s="74">
        <f t="shared" si="26"/>
        <v>-122.52027251691467</v>
      </c>
      <c r="CE77" s="74">
        <f t="shared" si="27"/>
        <v>110.39023246921968</v>
      </c>
      <c r="CF77" s="74">
        <f t="shared" si="28"/>
        <v>94.301565840224498</v>
      </c>
      <c r="CG77" s="74">
        <f t="shared" si="29"/>
        <v>78.11132684821898</v>
      </c>
      <c r="CH77" s="74">
        <f t="shared" si="30"/>
        <v>62.135127691432636</v>
      </c>
      <c r="CI77" s="74">
        <f t="shared" si="31"/>
        <v>186007.54171063515</v>
      </c>
      <c r="CJ77" s="74">
        <f t="shared" si="32"/>
        <v>158898.13844077828</v>
      </c>
      <c r="CK77" s="74">
        <f t="shared" si="33"/>
        <v>131617.58573924899</v>
      </c>
      <c r="CL77" s="74">
        <f t="shared" si="34"/>
        <v>104697.690160064</v>
      </c>
      <c r="CM77" s="316"/>
      <c r="CN77" s="74">
        <v>5381.5685864671905</v>
      </c>
      <c r="CO77" s="74">
        <v>420.19009199999999</v>
      </c>
    </row>
    <row r="78" spans="1:93" x14ac:dyDescent="0.2">
      <c r="A78" s="74">
        <v>182</v>
      </c>
      <c r="B78" s="74" t="s">
        <v>127</v>
      </c>
      <c r="C78" s="74">
        <v>13</v>
      </c>
      <c r="D78" s="74">
        <v>19767</v>
      </c>
      <c r="E78" s="89">
        <v>51382666.064829156</v>
      </c>
      <c r="F78" s="74">
        <v>30288901.760419842</v>
      </c>
      <c r="G78" s="74">
        <v>6159128.3340000007</v>
      </c>
      <c r="H78" s="74">
        <v>6927494.7986000003</v>
      </c>
      <c r="I78" s="74">
        <v>634358.18728081405</v>
      </c>
      <c r="J78" s="74">
        <v>3303079.9128122395</v>
      </c>
      <c r="K78" s="74">
        <v>1666777.3868203121</v>
      </c>
      <c r="L78" s="74">
        <v>-2110897</v>
      </c>
      <c r="M78" s="75">
        <v>723770</v>
      </c>
      <c r="N78" s="75">
        <v>207944.13014798475</v>
      </c>
      <c r="O78" s="178">
        <f t="shared" si="4"/>
        <v>-3582108.5547479689</v>
      </c>
      <c r="P78" s="179">
        <f t="shared" si="5"/>
        <v>-181.21660114068746</v>
      </c>
      <c r="Q78" s="74"/>
      <c r="R78" s="89">
        <v>140083730</v>
      </c>
      <c r="S78" s="74">
        <v>73736202.34683992</v>
      </c>
      <c r="T78" s="74">
        <v>10391242.197900001</v>
      </c>
      <c r="U78" s="74">
        <v>38529711.039917395</v>
      </c>
      <c r="V78" s="74">
        <v>11016217.871379185</v>
      </c>
      <c r="W78" s="74">
        <v>4772001.3340000007</v>
      </c>
      <c r="X78" s="178">
        <f t="shared" si="6"/>
        <v>-1638355.2099635005</v>
      </c>
      <c r="Y78" s="179">
        <f t="shared" si="7"/>
        <v>-82.883351543658648</v>
      </c>
      <c r="Z78" s="74"/>
      <c r="AA78" s="84">
        <f t="shared" si="8"/>
        <v>-1943753.3447844684</v>
      </c>
      <c r="AB78" s="132">
        <f t="shared" si="9"/>
        <v>-98.333249597028811</v>
      </c>
      <c r="AD78" s="180">
        <v>2026097.0302601685</v>
      </c>
      <c r="AE78" s="187">
        <v>1703978.8431616742</v>
      </c>
      <c r="AF78" s="187">
        <v>1385954.1699063266</v>
      </c>
      <c r="AG78" s="187">
        <v>1065921.7157513537</v>
      </c>
      <c r="AH78" s="188">
        <v>750120.18701915781</v>
      </c>
      <c r="AJ78" s="74">
        <f t="shared" si="10"/>
        <v>43447300.586420074</v>
      </c>
      <c r="AK78" s="74">
        <f t="shared" si="11"/>
        <v>3463747.3993000006</v>
      </c>
      <c r="AL78" s="74">
        <f t="shared" si="12"/>
        <v>37895352.852636583</v>
      </c>
      <c r="AM78" s="74">
        <f t="shared" si="19"/>
        <v>88701063.935170844</v>
      </c>
      <c r="AN78" s="74">
        <f t="shared" si="13"/>
        <v>2026097.0302601685</v>
      </c>
      <c r="AO78" s="74">
        <f t="shared" si="14"/>
        <v>1703978.8431616742</v>
      </c>
      <c r="AP78" s="74">
        <f t="shared" si="15"/>
        <v>1385954.1699063266</v>
      </c>
      <c r="AQ78" s="74">
        <f t="shared" si="16"/>
        <v>1065921.7157513537</v>
      </c>
      <c r="AR78" s="74">
        <f t="shared" si="17"/>
        <v>750120.18701915781</v>
      </c>
      <c r="AS78" s="75">
        <v>8551</v>
      </c>
      <c r="AT78" s="75"/>
      <c r="AU78" s="75"/>
      <c r="AV78" s="75">
        <v>29</v>
      </c>
      <c r="AW78" s="75">
        <v>37063.341578791238</v>
      </c>
      <c r="AX78" s="75">
        <v>-8.0187793982927182</v>
      </c>
      <c r="AY78" s="75">
        <v>7713.1379585669465</v>
      </c>
      <c r="AZ78" s="316"/>
      <c r="BA78" s="74"/>
      <c r="BB78" s="74"/>
      <c r="BC78" s="74"/>
      <c r="BD78" s="74"/>
      <c r="BE78" s="74"/>
      <c r="BF78" s="74"/>
      <c r="BG78" s="74"/>
      <c r="BM78" s="316"/>
      <c r="BN78" s="74">
        <v>51382666.064829156</v>
      </c>
      <c r="BO78" s="74">
        <v>84479508.560000002</v>
      </c>
      <c r="BP78" s="74">
        <v>91108000</v>
      </c>
      <c r="BQ78" s="74">
        <v>1849896.03</v>
      </c>
      <c r="BR78" s="74">
        <v>1888000</v>
      </c>
      <c r="BS78" s="406">
        <f t="shared" si="20"/>
        <v>0.58922617660796961</v>
      </c>
      <c r="BT78" s="406">
        <f t="shared" si="21"/>
        <v>0.33333333333333337</v>
      </c>
      <c r="BU78" s="74">
        <f t="shared" si="22"/>
        <v>47275268.198023833</v>
      </c>
      <c r="BV78" s="316"/>
      <c r="BW78" s="74">
        <v>140083730</v>
      </c>
      <c r="BX78" s="74">
        <v>51382666.064829156</v>
      </c>
      <c r="BY78" s="74">
        <v>90286572.878739923</v>
      </c>
      <c r="BZ78" s="74">
        <v>43375524.893019848</v>
      </c>
      <c r="CA78" s="74">
        <f t="shared" si="23"/>
        <v>1666777.3868203005</v>
      </c>
      <c r="CB78" s="74">
        <f t="shared" si="24"/>
        <v>-82.883351543658748</v>
      </c>
      <c r="CC78" s="74">
        <f t="shared" si="25"/>
        <v>-181.21660114068771</v>
      </c>
      <c r="CD78" s="74">
        <f t="shared" si="26"/>
        <v>-98.333249597028967</v>
      </c>
      <c r="CE78" s="74">
        <f t="shared" si="27"/>
        <v>86.203209549333977</v>
      </c>
      <c r="CF78" s="74">
        <f t="shared" si="28"/>
        <v>70.114542920338792</v>
      </c>
      <c r="CG78" s="74">
        <f t="shared" si="29"/>
        <v>53.924303928333281</v>
      </c>
      <c r="CH78" s="74">
        <f t="shared" si="30"/>
        <v>37.94810477154693</v>
      </c>
      <c r="CI78" s="74">
        <f t="shared" si="31"/>
        <v>1703978.8431616847</v>
      </c>
      <c r="CJ78" s="74">
        <f t="shared" si="32"/>
        <v>1385954.1699063368</v>
      </c>
      <c r="CK78" s="74">
        <f t="shared" si="33"/>
        <v>1065921.7157513639</v>
      </c>
      <c r="CL78" s="74">
        <f t="shared" si="34"/>
        <v>750120.18701916817</v>
      </c>
      <c r="CM78" s="316"/>
      <c r="CN78" s="74">
        <v>71368.602949297128</v>
      </c>
      <c r="CO78" s="74">
        <v>11277.317114000001</v>
      </c>
    </row>
    <row r="79" spans="1:93" x14ac:dyDescent="0.2">
      <c r="A79" s="74">
        <v>186</v>
      </c>
      <c r="B79" s="74" t="s">
        <v>201</v>
      </c>
      <c r="C79" s="74">
        <v>35</v>
      </c>
      <c r="D79" s="74">
        <v>45226</v>
      </c>
      <c r="E79" s="89">
        <v>112311624.95664036</v>
      </c>
      <c r="F79" s="74">
        <v>76488618.661185607</v>
      </c>
      <c r="G79" s="74">
        <v>17796141.149</v>
      </c>
      <c r="H79" s="74">
        <v>4939148.99</v>
      </c>
      <c r="I79" s="74">
        <v>14122436.212684074</v>
      </c>
      <c r="J79" s="74">
        <v>5185052.1582207419</v>
      </c>
      <c r="K79" s="74">
        <v>-3409635.4958324749</v>
      </c>
      <c r="L79" s="74">
        <v>-349842</v>
      </c>
      <c r="M79" s="75">
        <v>-581000</v>
      </c>
      <c r="N79" s="75">
        <v>554090.03062983695</v>
      </c>
      <c r="O79" s="178">
        <f t="shared" si="4"/>
        <v>2433384.7492474169</v>
      </c>
      <c r="P79" s="179">
        <f t="shared" si="5"/>
        <v>53.804996003348002</v>
      </c>
      <c r="Q79" s="74"/>
      <c r="R79" s="89">
        <v>267099143.81</v>
      </c>
      <c r="S79" s="74">
        <v>199018696.70163992</v>
      </c>
      <c r="T79" s="74">
        <v>7408723.4849999994</v>
      </c>
      <c r="U79" s="74">
        <v>27848155.314133983</v>
      </c>
      <c r="V79" s="74">
        <v>17292849.630390238</v>
      </c>
      <c r="W79" s="74">
        <v>16865299.149</v>
      </c>
      <c r="X79" s="178">
        <f t="shared" si="6"/>
        <v>1334580.4701641202</v>
      </c>
      <c r="Y79" s="179">
        <f t="shared" si="7"/>
        <v>29.509142311151113</v>
      </c>
      <c r="Z79" s="74"/>
      <c r="AA79" s="84">
        <f t="shared" si="8"/>
        <v>1098804.2790832967</v>
      </c>
      <c r="AB79" s="132">
        <f t="shared" si="9"/>
        <v>24.295853692196893</v>
      </c>
      <c r="AD79" s="180">
        <v>-910405.65919543023</v>
      </c>
      <c r="AE79" s="187">
        <v>-290617.47028039536</v>
      </c>
      <c r="AF79" s="187">
        <v>80560.771840010202</v>
      </c>
      <c r="AG79" s="187">
        <v>26731.023187568808</v>
      </c>
      <c r="AH79" s="188">
        <v>-17418.559877250536</v>
      </c>
      <c r="AJ79" s="74">
        <f t="shared" si="10"/>
        <v>122530078.04045431</v>
      </c>
      <c r="AK79" s="74">
        <f t="shared" si="11"/>
        <v>2469574.4949999992</v>
      </c>
      <c r="AL79" s="74">
        <f t="shared" si="12"/>
        <v>13725719.101449909</v>
      </c>
      <c r="AM79" s="74">
        <f t="shared" si="19"/>
        <v>154787518.85335964</v>
      </c>
      <c r="AN79" s="74">
        <f t="shared" si="13"/>
        <v>-910405.65919543023</v>
      </c>
      <c r="AO79" s="74">
        <f t="shared" si="14"/>
        <v>-290617.47028039536</v>
      </c>
      <c r="AP79" s="74">
        <f t="shared" si="15"/>
        <v>80560.771840010202</v>
      </c>
      <c r="AQ79" s="74">
        <f t="shared" si="16"/>
        <v>26731.023187568808</v>
      </c>
      <c r="AR79" s="74">
        <f t="shared" si="17"/>
        <v>-17418.559877250536</v>
      </c>
      <c r="AS79" s="75">
        <v>22155</v>
      </c>
      <c r="AT79" s="75"/>
      <c r="AU79" s="75"/>
      <c r="AV79" s="75">
        <v>0</v>
      </c>
      <c r="AW79" s="75">
        <v>20332.940347509011</v>
      </c>
      <c r="AX79" s="75">
        <v>7761.8859680522191</v>
      </c>
      <c r="AY79" s="75">
        <v>12107.797472169497</v>
      </c>
      <c r="AZ79" s="316"/>
      <c r="BA79" s="74"/>
      <c r="BB79" s="74"/>
      <c r="BC79" s="74"/>
      <c r="BD79" s="74"/>
      <c r="BE79" s="74"/>
      <c r="BF79" s="74"/>
      <c r="BG79" s="74"/>
      <c r="BM79" s="316"/>
      <c r="BN79" s="74">
        <v>112311624.95664036</v>
      </c>
      <c r="BO79" s="74">
        <v>146251828.43000001</v>
      </c>
      <c r="BP79" s="74">
        <v>167776000</v>
      </c>
      <c r="BQ79" s="74">
        <v>3062387.64</v>
      </c>
      <c r="BR79" s="74">
        <v>2347000</v>
      </c>
      <c r="BS79" s="406">
        <f t="shared" si="20"/>
        <v>0.61567119105470791</v>
      </c>
      <c r="BT79" s="406">
        <f t="shared" si="21"/>
        <v>0.33333333333333326</v>
      </c>
      <c r="BU79" s="74">
        <f t="shared" si="22"/>
        <v>22423881.07778693</v>
      </c>
      <c r="BV79" s="316"/>
      <c r="BW79" s="74">
        <v>267099143.81</v>
      </c>
      <c r="BX79" s="74">
        <v>112311624.95664036</v>
      </c>
      <c r="BY79" s="74">
        <v>224223561.33563989</v>
      </c>
      <c r="BZ79" s="74">
        <v>99223908.800185606</v>
      </c>
      <c r="CA79" s="74">
        <f t="shared" si="23"/>
        <v>-3409635.4958325187</v>
      </c>
      <c r="CB79" s="74">
        <f t="shared" si="24"/>
        <v>29.509142311151525</v>
      </c>
      <c r="CC79" s="74">
        <f t="shared" si="25"/>
        <v>53.804996003347178</v>
      </c>
      <c r="CD79" s="74">
        <f t="shared" si="26"/>
        <v>24.295853692195653</v>
      </c>
      <c r="CE79" s="74">
        <f t="shared" si="27"/>
        <v>-6.4258937398906486</v>
      </c>
      <c r="CF79" s="74">
        <f t="shared" si="28"/>
        <v>1.7812933233098263</v>
      </c>
      <c r="CG79" s="74">
        <f t="shared" si="29"/>
        <v>0.59105433130431184</v>
      </c>
      <c r="CH79" s="74">
        <f t="shared" si="30"/>
        <v>-0.38514482548203544</v>
      </c>
      <c r="CI79" s="74">
        <f t="shared" si="31"/>
        <v>-290617.47028029448</v>
      </c>
      <c r="CJ79" s="74">
        <f t="shared" si="32"/>
        <v>80560.771840010202</v>
      </c>
      <c r="CK79" s="74">
        <f t="shared" si="33"/>
        <v>26731.023187568808</v>
      </c>
      <c r="CL79" s="74">
        <f t="shared" si="34"/>
        <v>-17418.559877250536</v>
      </c>
      <c r="CM79" s="316"/>
      <c r="CN79" s="74">
        <v>207702.40796305964</v>
      </c>
      <c r="CO79" s="74">
        <v>8040.4750999999997</v>
      </c>
    </row>
    <row r="80" spans="1:93" x14ac:dyDescent="0.2">
      <c r="A80" s="74">
        <v>202</v>
      </c>
      <c r="B80" s="74" t="s">
        <v>202</v>
      </c>
      <c r="C80" s="74">
        <v>2</v>
      </c>
      <c r="D80" s="74">
        <v>35497</v>
      </c>
      <c r="E80" s="89">
        <v>89886558.778534889</v>
      </c>
      <c r="F80" s="74">
        <v>57979818.897746041</v>
      </c>
      <c r="G80" s="74">
        <v>8093675.6843000008</v>
      </c>
      <c r="H80" s="74">
        <v>5857873.4966000002</v>
      </c>
      <c r="I80" s="74">
        <v>17676098.567434888</v>
      </c>
      <c r="J80" s="74">
        <v>3782682.9092955422</v>
      </c>
      <c r="K80" s="74">
        <v>3039877.669067522</v>
      </c>
      <c r="L80" s="74">
        <v>-3482000</v>
      </c>
      <c r="M80" s="75">
        <v>-2160000</v>
      </c>
      <c r="N80" s="75">
        <v>424521.2710740827</v>
      </c>
      <c r="O80" s="178">
        <f t="shared" si="4"/>
        <v>1325989.7169831842</v>
      </c>
      <c r="P80" s="179">
        <f t="shared" si="5"/>
        <v>37.354979772464837</v>
      </c>
      <c r="Q80" s="74"/>
      <c r="R80" s="89">
        <v>203976027</v>
      </c>
      <c r="S80" s="74">
        <v>150820537.70136148</v>
      </c>
      <c r="T80" s="74">
        <v>8786810.2448999994</v>
      </c>
      <c r="U80" s="74">
        <v>31935041.608765177</v>
      </c>
      <c r="V80" s="74">
        <v>12615758.67586674</v>
      </c>
      <c r="W80" s="74">
        <v>2451675.6843000008</v>
      </c>
      <c r="X80" s="178">
        <f t="shared" si="6"/>
        <v>2633796.9151933789</v>
      </c>
      <c r="Y80" s="179">
        <f t="shared" si="7"/>
        <v>74.197732630740035</v>
      </c>
      <c r="Z80" s="74"/>
      <c r="AA80" s="84">
        <f t="shared" si="8"/>
        <v>-1307807.1982101947</v>
      </c>
      <c r="AB80" s="132">
        <f t="shared" si="9"/>
        <v>-36.842752858275198</v>
      </c>
      <c r="AD80" s="180">
        <v>1455677.5783048866</v>
      </c>
      <c r="AE80" s="187">
        <v>877227.16663719527</v>
      </c>
      <c r="AF80" s="187">
        <v>306127.76730775338</v>
      </c>
      <c r="AG80" s="187">
        <v>20980.655598309157</v>
      </c>
      <c r="AH80" s="188">
        <v>-13671.485870135812</v>
      </c>
      <c r="AJ80" s="74">
        <f t="shared" si="10"/>
        <v>92840718.803615436</v>
      </c>
      <c r="AK80" s="74">
        <f t="shared" si="11"/>
        <v>2928936.7482999992</v>
      </c>
      <c r="AL80" s="74">
        <f t="shared" si="12"/>
        <v>14258943.041330289</v>
      </c>
      <c r="AM80" s="74">
        <f t="shared" si="19"/>
        <v>114089468.22146511</v>
      </c>
      <c r="AN80" s="74">
        <f t="shared" si="13"/>
        <v>1455677.5783048866</v>
      </c>
      <c r="AO80" s="74">
        <f t="shared" si="14"/>
        <v>877227.16663719527</v>
      </c>
      <c r="AP80" s="74">
        <f t="shared" si="15"/>
        <v>306127.76730775338</v>
      </c>
      <c r="AQ80" s="74">
        <f t="shared" si="16"/>
        <v>20980.655598309157</v>
      </c>
      <c r="AR80" s="74">
        <f t="shared" si="17"/>
        <v>-13671.485870135812</v>
      </c>
      <c r="AS80" s="75">
        <v>10239</v>
      </c>
      <c r="AT80" s="75"/>
      <c r="AU80" s="75"/>
      <c r="AV80" s="75">
        <v>107</v>
      </c>
      <c r="AW80" s="75">
        <v>20399.442715624944</v>
      </c>
      <c r="AX80" s="75">
        <v>5406.3213632845027</v>
      </c>
      <c r="AY80" s="75">
        <v>8833.0757665711972</v>
      </c>
      <c r="AZ80" s="316"/>
      <c r="BA80" s="74"/>
      <c r="BB80" s="74"/>
      <c r="BC80" s="74"/>
      <c r="BD80" s="74"/>
      <c r="BE80" s="74"/>
      <c r="BF80" s="74"/>
      <c r="BG80" s="74"/>
      <c r="BM80" s="316"/>
      <c r="BN80" s="74">
        <v>89886558.778534889</v>
      </c>
      <c r="BO80" s="74">
        <v>105372642.83</v>
      </c>
      <c r="BP80" s="74">
        <v>110651000</v>
      </c>
      <c r="BQ80" s="74">
        <v>2535895.7200000002</v>
      </c>
      <c r="BR80" s="74">
        <v>2696000</v>
      </c>
      <c r="BS80" s="406">
        <f t="shared" si="20"/>
        <v>0.61557079837129736</v>
      </c>
      <c r="BT80" s="406">
        <f t="shared" si="21"/>
        <v>0.33333333333333326</v>
      </c>
      <c r="BU80" s="74">
        <f t="shared" si="22"/>
        <v>26131896.476969007</v>
      </c>
      <c r="BV80" s="316"/>
      <c r="BW80" s="74">
        <v>203976027</v>
      </c>
      <c r="BX80" s="74">
        <v>89886558.778534889</v>
      </c>
      <c r="BY80" s="74">
        <v>167701023.63056147</v>
      </c>
      <c r="BZ80" s="74">
        <v>71931368.078646034</v>
      </c>
      <c r="CA80" s="74">
        <f t="shared" si="23"/>
        <v>3039877.669067502</v>
      </c>
      <c r="CB80" s="74">
        <f t="shared" si="24"/>
        <v>74.197732630740589</v>
      </c>
      <c r="CC80" s="74">
        <f t="shared" si="25"/>
        <v>37.354979772464361</v>
      </c>
      <c r="CD80" s="74">
        <f t="shared" si="26"/>
        <v>-36.842752858276228</v>
      </c>
      <c r="CE80" s="74">
        <f t="shared" si="27"/>
        <v>24.712712810581234</v>
      </c>
      <c r="CF80" s="74">
        <f t="shared" si="28"/>
        <v>8.6240461815860545</v>
      </c>
      <c r="CG80" s="74">
        <f t="shared" si="29"/>
        <v>0.59105433130431184</v>
      </c>
      <c r="CH80" s="74">
        <f t="shared" si="30"/>
        <v>-0.38514482548203544</v>
      </c>
      <c r="CI80" s="74">
        <f t="shared" si="31"/>
        <v>877227.16663720203</v>
      </c>
      <c r="CJ80" s="74">
        <f t="shared" si="32"/>
        <v>306127.76730776019</v>
      </c>
      <c r="CK80" s="74">
        <f t="shared" si="33"/>
        <v>20980.655598309157</v>
      </c>
      <c r="CL80" s="74">
        <f t="shared" si="34"/>
        <v>-13671.485870135812</v>
      </c>
      <c r="CM80" s="316"/>
      <c r="CN80" s="74">
        <v>160723.48023775348</v>
      </c>
      <c r="CO80" s="74">
        <v>9536.0731340000002</v>
      </c>
    </row>
    <row r="81" spans="1:93" x14ac:dyDescent="0.2">
      <c r="A81" s="74">
        <v>204</v>
      </c>
      <c r="B81" s="74" t="s">
        <v>203</v>
      </c>
      <c r="C81" s="74">
        <v>11</v>
      </c>
      <c r="D81" s="74">
        <v>2778</v>
      </c>
      <c r="E81" s="89">
        <v>6202533.3819943294</v>
      </c>
      <c r="F81" s="74">
        <v>3534775.5710115428</v>
      </c>
      <c r="G81" s="74">
        <v>1293605.7105</v>
      </c>
      <c r="H81" s="74">
        <v>1040800.3197999999</v>
      </c>
      <c r="I81" s="74">
        <v>1484575.5590485265</v>
      </c>
      <c r="J81" s="74">
        <v>632088.81373451883</v>
      </c>
      <c r="K81" s="74">
        <v>-472564.01996446296</v>
      </c>
      <c r="L81" s="74">
        <v>-578178</v>
      </c>
      <c r="M81" s="75">
        <v>100800</v>
      </c>
      <c r="N81" s="75">
        <v>21361.729618096524</v>
      </c>
      <c r="O81" s="178">
        <f t="shared" si="4"/>
        <v>854732.30175389163</v>
      </c>
      <c r="P81" s="179">
        <f t="shared" si="5"/>
        <v>307.67901431025615</v>
      </c>
      <c r="Q81" s="74"/>
      <c r="R81" s="89">
        <v>23133718</v>
      </c>
      <c r="S81" s="74">
        <v>7833463.7040071022</v>
      </c>
      <c r="T81" s="74">
        <v>1561200.4797</v>
      </c>
      <c r="U81" s="74">
        <v>10932059.718385706</v>
      </c>
      <c r="V81" s="74">
        <v>2108101.6112118792</v>
      </c>
      <c r="W81" s="74">
        <v>816227.71050000004</v>
      </c>
      <c r="X81" s="178">
        <f t="shared" si="6"/>
        <v>117335.22380468994</v>
      </c>
      <c r="Y81" s="179">
        <f t="shared" si="7"/>
        <v>42.237301585561532</v>
      </c>
      <c r="Z81" s="74"/>
      <c r="AA81" s="84">
        <f t="shared" si="8"/>
        <v>737397.07794920169</v>
      </c>
      <c r="AB81" s="132">
        <f t="shared" si="9"/>
        <v>265.44171272469464</v>
      </c>
      <c r="AD81" s="180">
        <v>-725824.72209087736</v>
      </c>
      <c r="AE81" s="187">
        <v>-687754.32920169935</v>
      </c>
      <c r="AF81" s="187">
        <v>-649108.64509704791</v>
      </c>
      <c r="AG81" s="187">
        <v>-610745.1290168392</v>
      </c>
      <c r="AH81" s="188">
        <v>-571787.01027439174</v>
      </c>
      <c r="AJ81" s="74">
        <f t="shared" si="10"/>
        <v>4298688.1329955589</v>
      </c>
      <c r="AK81" s="74">
        <f t="shared" si="11"/>
        <v>520400.15990000009</v>
      </c>
      <c r="AL81" s="74">
        <f t="shared" si="12"/>
        <v>9447484.1593371797</v>
      </c>
      <c r="AM81" s="74">
        <f t="shared" si="19"/>
        <v>16931184.618005671</v>
      </c>
      <c r="AN81" s="74">
        <f t="shared" si="13"/>
        <v>-725824.72209087736</v>
      </c>
      <c r="AO81" s="74">
        <f t="shared" si="14"/>
        <v>-687754.32920169935</v>
      </c>
      <c r="AP81" s="74">
        <f t="shared" si="15"/>
        <v>-649108.64509704791</v>
      </c>
      <c r="AQ81" s="74">
        <f t="shared" si="16"/>
        <v>-610745.1290168392</v>
      </c>
      <c r="AR81" s="74">
        <f t="shared" si="17"/>
        <v>-571787.01027439174</v>
      </c>
      <c r="AS81" s="75">
        <v>706</v>
      </c>
      <c r="AT81" s="75"/>
      <c r="AU81" s="75"/>
      <c r="AV81" s="75">
        <v>0</v>
      </c>
      <c r="AW81" s="75">
        <v>8313.7524200567459</v>
      </c>
      <c r="AX81" s="75">
        <v>-1557.2913743579056</v>
      </c>
      <c r="AY81" s="75">
        <v>1476.0127974773604</v>
      </c>
      <c r="AZ81" s="316"/>
      <c r="BA81" s="74"/>
      <c r="BB81" s="74"/>
      <c r="BC81" s="74"/>
      <c r="BD81" s="74"/>
      <c r="BE81" s="74"/>
      <c r="BF81" s="74"/>
      <c r="BG81" s="74"/>
      <c r="BM81" s="316"/>
      <c r="BN81" s="74">
        <v>6202533.3819943294</v>
      </c>
      <c r="BO81" s="74">
        <v>16310915.449999996</v>
      </c>
      <c r="BP81" s="74">
        <v>16253000</v>
      </c>
      <c r="BQ81" s="74">
        <v>300325.15999999997</v>
      </c>
      <c r="BR81" s="74">
        <v>313000</v>
      </c>
      <c r="BS81" s="406">
        <f t="shared" si="20"/>
        <v>0.54875956478825882</v>
      </c>
      <c r="BT81" s="406">
        <f t="shared" si="21"/>
        <v>0.33333333333333337</v>
      </c>
      <c r="BU81" s="74">
        <f t="shared" si="22"/>
        <v>10450932.936850077</v>
      </c>
      <c r="BV81" s="316"/>
      <c r="BW81" s="74">
        <v>23133718</v>
      </c>
      <c r="BX81" s="74">
        <v>6202533.3819943294</v>
      </c>
      <c r="BY81" s="74">
        <v>10688269.894207103</v>
      </c>
      <c r="BZ81" s="74">
        <v>5869181.601311543</v>
      </c>
      <c r="CA81" s="74">
        <f t="shared" si="23"/>
        <v>-472564.01996446279</v>
      </c>
      <c r="CB81" s="74">
        <f t="shared" si="24"/>
        <v>42.237301585560864</v>
      </c>
      <c r="CC81" s="74">
        <f t="shared" si="25"/>
        <v>307.67901431025643</v>
      </c>
      <c r="CD81" s="74">
        <f t="shared" si="26"/>
        <v>265.44171272469555</v>
      </c>
      <c r="CE81" s="74">
        <f t="shared" si="27"/>
        <v>-247.57175277239054</v>
      </c>
      <c r="CF81" s="74">
        <f t="shared" si="28"/>
        <v>-233.66041940138572</v>
      </c>
      <c r="CG81" s="74">
        <f t="shared" si="29"/>
        <v>-219.85065839339123</v>
      </c>
      <c r="CH81" s="74">
        <f t="shared" si="30"/>
        <v>-205.82685755017758</v>
      </c>
      <c r="CI81" s="74">
        <f t="shared" si="31"/>
        <v>-687754.32920170086</v>
      </c>
      <c r="CJ81" s="74">
        <f t="shared" si="32"/>
        <v>-649108.64509704954</v>
      </c>
      <c r="CK81" s="74">
        <f t="shared" si="33"/>
        <v>-610745.12901684083</v>
      </c>
      <c r="CL81" s="74">
        <f t="shared" si="34"/>
        <v>-571787.01027439337</v>
      </c>
      <c r="CM81" s="316"/>
      <c r="CN81" s="74">
        <v>7913.7267919736323</v>
      </c>
      <c r="CO81" s="74">
        <v>1694.326102</v>
      </c>
    </row>
    <row r="82" spans="1:93" x14ac:dyDescent="0.2">
      <c r="A82" s="74">
        <v>205</v>
      </c>
      <c r="B82" s="74" t="s">
        <v>204</v>
      </c>
      <c r="C82" s="74">
        <v>18</v>
      </c>
      <c r="D82" s="74">
        <v>36493</v>
      </c>
      <c r="E82" s="89">
        <v>135626999.62284625</v>
      </c>
      <c r="F82" s="74">
        <v>55382690.171691261</v>
      </c>
      <c r="G82" s="74">
        <v>11490082.880500002</v>
      </c>
      <c r="H82" s="74">
        <v>5139061.5369999995</v>
      </c>
      <c r="I82" s="74">
        <v>20305641.390602391</v>
      </c>
      <c r="J82" s="74">
        <v>5695103.3859248962</v>
      </c>
      <c r="K82" s="74">
        <v>-7752867.8544950169</v>
      </c>
      <c r="L82" s="74">
        <v>27918667</v>
      </c>
      <c r="M82" s="75">
        <v>11559330</v>
      </c>
      <c r="N82" s="75">
        <v>359480.72757824883</v>
      </c>
      <c r="O82" s="178">
        <f t="shared" si="4"/>
        <v>-5529810.3840444684</v>
      </c>
      <c r="P82" s="179">
        <f t="shared" si="5"/>
        <v>-151.53071504245932</v>
      </c>
      <c r="Q82" s="74"/>
      <c r="R82" s="89">
        <v>298700776</v>
      </c>
      <c r="S82" s="74">
        <v>133910027.34249638</v>
      </c>
      <c r="T82" s="74">
        <v>7708592.3054999998</v>
      </c>
      <c r="U82" s="74">
        <v>76539434.663106531</v>
      </c>
      <c r="V82" s="74">
        <v>18993939.400625169</v>
      </c>
      <c r="W82" s="74">
        <v>50968079.880500004</v>
      </c>
      <c r="X82" s="178">
        <f t="shared" si="6"/>
        <v>-10580702.407771945</v>
      </c>
      <c r="Y82" s="179">
        <f t="shared" si="7"/>
        <v>-289.93786226870753</v>
      </c>
      <c r="Z82" s="74"/>
      <c r="AA82" s="84">
        <f t="shared" si="8"/>
        <v>5050892.0237274766</v>
      </c>
      <c r="AB82" s="132">
        <f t="shared" si="9"/>
        <v>138.40714722624824</v>
      </c>
      <c r="AD82" s="180">
        <v>-4898872.5916404128</v>
      </c>
      <c r="AE82" s="187">
        <v>-4398763.5751880091</v>
      </c>
      <c r="AF82" s="187">
        <v>-3891097.2864799304</v>
      </c>
      <c r="AG82" s="187">
        <v>-3387137.6780151878</v>
      </c>
      <c r="AH82" s="188">
        <v>-2875367.1138437917</v>
      </c>
      <c r="AJ82" s="74">
        <f t="shared" si="10"/>
        <v>78527337.170805126</v>
      </c>
      <c r="AK82" s="74">
        <f t="shared" si="11"/>
        <v>2569530.7685000002</v>
      </c>
      <c r="AL82" s="74">
        <f t="shared" si="12"/>
        <v>56233793.272504136</v>
      </c>
      <c r="AM82" s="74">
        <f t="shared" si="19"/>
        <v>163073776.37715375</v>
      </c>
      <c r="AN82" s="74">
        <f t="shared" si="13"/>
        <v>-4898872.5916404128</v>
      </c>
      <c r="AO82" s="74">
        <f t="shared" si="14"/>
        <v>-4398763.5751880091</v>
      </c>
      <c r="AP82" s="74">
        <f t="shared" si="15"/>
        <v>-3891097.2864799304</v>
      </c>
      <c r="AQ82" s="74">
        <f t="shared" si="16"/>
        <v>-3387137.6780151878</v>
      </c>
      <c r="AR82" s="74">
        <f t="shared" si="17"/>
        <v>-2875367.1138437917</v>
      </c>
      <c r="AS82" s="75">
        <v>17875</v>
      </c>
      <c r="AT82" s="75"/>
      <c r="AU82" s="75"/>
      <c r="AV82" s="75">
        <v>467</v>
      </c>
      <c r="AW82" s="75">
        <v>50029.057630402232</v>
      </c>
      <c r="AX82" s="75">
        <v>-6102.8816079216995</v>
      </c>
      <c r="AY82" s="75">
        <v>13298.836014700273</v>
      </c>
      <c r="AZ82" s="316"/>
      <c r="BA82" s="74"/>
      <c r="BB82" s="74"/>
      <c r="BC82" s="74"/>
      <c r="BD82" s="74"/>
      <c r="BE82" s="74"/>
      <c r="BF82" s="74"/>
      <c r="BG82" s="74"/>
      <c r="BM82" s="316"/>
      <c r="BN82" s="74">
        <v>135626999.62284625</v>
      </c>
      <c r="BO82" s="74">
        <v>150135032.31999999</v>
      </c>
      <c r="BP82" s="74">
        <v>149784000</v>
      </c>
      <c r="BQ82" s="74">
        <v>5071921.26</v>
      </c>
      <c r="BR82" s="74">
        <v>4843000</v>
      </c>
      <c r="BS82" s="406">
        <f t="shared" si="20"/>
        <v>0.58641864787286502</v>
      </c>
      <c r="BT82" s="406">
        <f t="shared" si="21"/>
        <v>0.33333333333333337</v>
      </c>
      <c r="BU82" s="74">
        <f t="shared" si="22"/>
        <v>61779761.432709396</v>
      </c>
      <c r="BV82" s="316"/>
      <c r="BW82" s="74">
        <v>298700776</v>
      </c>
      <c r="BX82" s="74">
        <v>135626999.62284625</v>
      </c>
      <c r="BY82" s="74">
        <v>153108702.52849635</v>
      </c>
      <c r="BZ82" s="74">
        <v>72011834.589191258</v>
      </c>
      <c r="CA82" s="74">
        <f t="shared" si="23"/>
        <v>-7752867.8544950485</v>
      </c>
      <c r="CB82" s="74">
        <f t="shared" si="24"/>
        <v>-289.93786226870634</v>
      </c>
      <c r="CC82" s="74">
        <f t="shared" si="25"/>
        <v>-151.53071504245963</v>
      </c>
      <c r="CD82" s="74">
        <f t="shared" si="26"/>
        <v>138.40714722624671</v>
      </c>
      <c r="CE82" s="74">
        <f t="shared" si="27"/>
        <v>-120.5371872739417</v>
      </c>
      <c r="CF82" s="74">
        <f t="shared" si="28"/>
        <v>-106.62585390293688</v>
      </c>
      <c r="CG82" s="74">
        <f t="shared" si="29"/>
        <v>-92.8160928949424</v>
      </c>
      <c r="CH82" s="74">
        <f t="shared" si="30"/>
        <v>-78.792292051728737</v>
      </c>
      <c r="CI82" s="74">
        <f t="shared" si="31"/>
        <v>-4398763.5751879541</v>
      </c>
      <c r="CJ82" s="74">
        <f t="shared" si="32"/>
        <v>-3891097.2864798754</v>
      </c>
      <c r="CK82" s="74">
        <f t="shared" si="33"/>
        <v>-3387137.6780151329</v>
      </c>
      <c r="CL82" s="74">
        <f t="shared" si="34"/>
        <v>-2875367.1138437367</v>
      </c>
      <c r="CM82" s="316"/>
      <c r="CN82" s="74">
        <v>134580.74664918054</v>
      </c>
      <c r="CO82" s="74">
        <v>8365.914130000001</v>
      </c>
    </row>
    <row r="83" spans="1:93" x14ac:dyDescent="0.2">
      <c r="A83" s="74">
        <v>208</v>
      </c>
      <c r="B83" s="74" t="s">
        <v>205</v>
      </c>
      <c r="C83" s="74">
        <v>17</v>
      </c>
      <c r="D83" s="74">
        <v>12412</v>
      </c>
      <c r="E83" s="89">
        <v>34928372.829094887</v>
      </c>
      <c r="F83" s="74">
        <v>15998765.148134053</v>
      </c>
      <c r="G83" s="74">
        <v>5593529.2200000007</v>
      </c>
      <c r="H83" s="74">
        <v>1907365.2588000002</v>
      </c>
      <c r="I83" s="74">
        <v>11931365.832743736</v>
      </c>
      <c r="J83" s="74">
        <v>2304927.6043066578</v>
      </c>
      <c r="K83" s="74">
        <v>1591114.3300373671</v>
      </c>
      <c r="L83" s="74">
        <v>-485989</v>
      </c>
      <c r="M83" s="75">
        <v>133000</v>
      </c>
      <c r="N83" s="75">
        <v>101220.99272058572</v>
      </c>
      <c r="O83" s="178">
        <f t="shared" si="4"/>
        <v>4146926.5576475114</v>
      </c>
      <c r="P83" s="179">
        <f t="shared" si="5"/>
        <v>334.10623248852011</v>
      </c>
      <c r="Q83" s="74"/>
      <c r="R83" s="89">
        <v>81280917.420000002</v>
      </c>
      <c r="S83" s="74">
        <v>37879979.773580357</v>
      </c>
      <c r="T83" s="74">
        <v>2861047.8881999999</v>
      </c>
      <c r="U83" s="74">
        <v>32422071.512951985</v>
      </c>
      <c r="V83" s="74">
        <v>7687245.0370659772</v>
      </c>
      <c r="W83" s="74">
        <v>5240540.2200000007</v>
      </c>
      <c r="X83" s="178">
        <f t="shared" si="6"/>
        <v>4809967.0117983222</v>
      </c>
      <c r="Y83" s="179">
        <f t="shared" si="7"/>
        <v>387.52554075075108</v>
      </c>
      <c r="Z83" s="74"/>
      <c r="AA83" s="84">
        <f t="shared" si="8"/>
        <v>-663040.45415081084</v>
      </c>
      <c r="AB83" s="132">
        <f t="shared" si="9"/>
        <v>-53.41930826223097</v>
      </c>
      <c r="AD83" s="180">
        <v>714745.30689145636</v>
      </c>
      <c r="AE83" s="187">
        <v>512482.39707881346</v>
      </c>
      <c r="AF83" s="187">
        <v>312789.8668797253</v>
      </c>
      <c r="AG83" s="187">
        <v>111836.62051095287</v>
      </c>
      <c r="AH83" s="188">
        <v>-4780.4175738830236</v>
      </c>
      <c r="AJ83" s="74">
        <f t="shared" si="10"/>
        <v>21881214.625446305</v>
      </c>
      <c r="AK83" s="74">
        <f t="shared" si="11"/>
        <v>953682.62939999974</v>
      </c>
      <c r="AL83" s="74">
        <f t="shared" si="12"/>
        <v>20490705.680208251</v>
      </c>
      <c r="AM83" s="74">
        <f t="shared" si="19"/>
        <v>46352544.590905115</v>
      </c>
      <c r="AN83" s="74">
        <f t="shared" si="13"/>
        <v>714745.30689145636</v>
      </c>
      <c r="AO83" s="74">
        <f t="shared" si="14"/>
        <v>512482.39707881346</v>
      </c>
      <c r="AP83" s="74">
        <f t="shared" si="15"/>
        <v>312789.8668797253</v>
      </c>
      <c r="AQ83" s="74">
        <f t="shared" si="16"/>
        <v>111836.62051095287</v>
      </c>
      <c r="AR83" s="74">
        <f t="shared" si="17"/>
        <v>-4780.4175738830236</v>
      </c>
      <c r="AS83" s="75">
        <v>5443</v>
      </c>
      <c r="AT83" s="75"/>
      <c r="AU83" s="75"/>
      <c r="AV83" s="75">
        <v>56</v>
      </c>
      <c r="AW83" s="75">
        <v>15724.015702289198</v>
      </c>
      <c r="AX83" s="75">
        <v>-5169.7773647226049</v>
      </c>
      <c r="AY83" s="75">
        <v>5382.3174327593197</v>
      </c>
      <c r="AZ83" s="316"/>
      <c r="BA83" s="74"/>
      <c r="BB83" s="74"/>
      <c r="BC83" s="74"/>
      <c r="BD83" s="74"/>
      <c r="BE83" s="74"/>
      <c r="BF83" s="74"/>
      <c r="BG83" s="74"/>
      <c r="BM83" s="316"/>
      <c r="BN83" s="74">
        <v>34928372.829094887</v>
      </c>
      <c r="BO83" s="74">
        <v>44597210.019999996</v>
      </c>
      <c r="BP83" s="74">
        <v>45892000</v>
      </c>
      <c r="BQ83" s="74">
        <v>1461022.52</v>
      </c>
      <c r="BR83" s="74">
        <v>1776000</v>
      </c>
      <c r="BS83" s="406">
        <f t="shared" si="20"/>
        <v>0.57764588989320165</v>
      </c>
      <c r="BT83" s="406">
        <f t="shared" si="21"/>
        <v>0.33333333333333326</v>
      </c>
      <c r="BU83" s="74">
        <f t="shared" si="22"/>
        <v>27464137.443004932</v>
      </c>
      <c r="BV83" s="316"/>
      <c r="BW83" s="74">
        <v>81280917.420000002</v>
      </c>
      <c r="BX83" s="74">
        <v>34928372.829094887</v>
      </c>
      <c r="BY83" s="74">
        <v>46334556.881780356</v>
      </c>
      <c r="BZ83" s="74">
        <v>23499659.626934052</v>
      </c>
      <c r="CA83" s="74">
        <f t="shared" si="23"/>
        <v>1591114.3300373626</v>
      </c>
      <c r="CB83" s="74">
        <f t="shared" si="24"/>
        <v>387.52554075075074</v>
      </c>
      <c r="CC83" s="74">
        <f t="shared" si="25"/>
        <v>334.10623248851988</v>
      </c>
      <c r="CD83" s="74">
        <f t="shared" si="26"/>
        <v>-53.419308262230857</v>
      </c>
      <c r="CE83" s="74">
        <f t="shared" si="27"/>
        <v>41.289268214535859</v>
      </c>
      <c r="CF83" s="74">
        <f t="shared" si="28"/>
        <v>25.200601585540682</v>
      </c>
      <c r="CG83" s="74">
        <f t="shared" si="29"/>
        <v>9.0103625935351683</v>
      </c>
      <c r="CH83" s="74">
        <f t="shared" si="30"/>
        <v>-0.38514482548203544</v>
      </c>
      <c r="CI83" s="74">
        <f t="shared" si="31"/>
        <v>512482.39707881911</v>
      </c>
      <c r="CJ83" s="74">
        <f t="shared" si="32"/>
        <v>312789.86687973095</v>
      </c>
      <c r="CK83" s="74">
        <f t="shared" si="33"/>
        <v>111836.62051095851</v>
      </c>
      <c r="CL83" s="74">
        <f t="shared" si="34"/>
        <v>-4780.4175738830236</v>
      </c>
      <c r="CM83" s="316"/>
      <c r="CN83" s="74">
        <v>39037.61970737073</v>
      </c>
      <c r="CO83" s="74">
        <v>3105.0132120000003</v>
      </c>
    </row>
    <row r="84" spans="1:93" x14ac:dyDescent="0.2">
      <c r="A84" s="74">
        <v>211</v>
      </c>
      <c r="B84" s="74" t="s">
        <v>206</v>
      </c>
      <c r="C84" s="74">
        <v>6</v>
      </c>
      <c r="D84" s="74">
        <v>32622</v>
      </c>
      <c r="E84" s="89">
        <v>92314905.802355066</v>
      </c>
      <c r="F84" s="74">
        <v>54319657.717356533</v>
      </c>
      <c r="G84" s="74">
        <v>8136967.1807000004</v>
      </c>
      <c r="H84" s="74">
        <v>4257350.3984000003</v>
      </c>
      <c r="I84" s="74">
        <v>20681318.563118432</v>
      </c>
      <c r="J84" s="74">
        <v>4284454.6964148413</v>
      </c>
      <c r="K84" s="74">
        <v>684931.9172317225</v>
      </c>
      <c r="L84" s="74">
        <v>-4056909</v>
      </c>
      <c r="M84" s="75">
        <v>436100</v>
      </c>
      <c r="N84" s="75">
        <v>356103.55500320764</v>
      </c>
      <c r="O84" s="178">
        <f t="shared" ref="O84:O147" si="35">N84+M84+L84+K84+J84+I84+H84+G84+F84-E84</f>
        <v>-3214930.7741303295</v>
      </c>
      <c r="P84" s="179">
        <f t="shared" ref="P84:P147" si="36">O84/D84</f>
        <v>-98.551001598011453</v>
      </c>
      <c r="Q84" s="74"/>
      <c r="R84" s="89">
        <v>200562827.74000001</v>
      </c>
      <c r="S84" s="74">
        <v>132525978.96529175</v>
      </c>
      <c r="T84" s="74">
        <v>6386025.5976</v>
      </c>
      <c r="U84" s="74">
        <v>39775077.695856892</v>
      </c>
      <c r="V84" s="74">
        <v>14289235.392907856</v>
      </c>
      <c r="W84" s="74">
        <v>4516158.1807000004</v>
      </c>
      <c r="X84" s="178">
        <f t="shared" ref="X84:X147" si="37">W84+V84+U84+T84+S84-R84</f>
        <v>-3070351.907643497</v>
      </c>
      <c r="Y84" s="179">
        <f t="shared" ref="Y84:Y147" si="38">X84/D84</f>
        <v>-94.119057925433665</v>
      </c>
      <c r="Z84" s="74"/>
      <c r="AA84" s="84">
        <f t="shared" ref="AA84:AA147" si="39">O84-X84</f>
        <v>-144578.8664868325</v>
      </c>
      <c r="AB84" s="132">
        <f t="shared" ref="AB84:AB147" si="40">AA84/D84</f>
        <v>-4.431943672577785</v>
      </c>
      <c r="AD84" s="180">
        <v>280472.8163825291</v>
      </c>
      <c r="AE84" s="187">
        <v>93623.83356409386</v>
      </c>
      <c r="AF84" s="187">
        <v>58109.350793013153</v>
      </c>
      <c r="AG84" s="187">
        <v>19281.37439580926</v>
      </c>
      <c r="AH84" s="188">
        <v>-12564.194496874959</v>
      </c>
      <c r="AJ84" s="74">
        <f t="shared" ref="AJ84:AJ147" si="41">S84-F84</f>
        <v>78206321.247935221</v>
      </c>
      <c r="AK84" s="74">
        <f t="shared" ref="AK84:AK147" si="42">T84-H84</f>
        <v>2128675.1991999997</v>
      </c>
      <c r="AL84" s="74">
        <f t="shared" ref="AL84:AL147" si="43">U84-I84</f>
        <v>19093759.13273846</v>
      </c>
      <c r="AM84" s="74">
        <f t="shared" ref="AM84:AM147" si="44">R84-E84</f>
        <v>108247921.93764494</v>
      </c>
      <c r="AN84" s="74">
        <f t="shared" ref="AN84:AN147" si="45">AD84</f>
        <v>280472.8163825291</v>
      </c>
      <c r="AO84" s="74">
        <f t="shared" ref="AO84:AO147" si="46">AE84</f>
        <v>93623.83356409386</v>
      </c>
      <c r="AP84" s="74">
        <f t="shared" ref="AP84:AP147" si="47">AF84</f>
        <v>58109.350793013153</v>
      </c>
      <c r="AQ84" s="74">
        <f t="shared" ref="AQ84:AQ147" si="48">AG84</f>
        <v>19281.37439580926</v>
      </c>
      <c r="AR84" s="74">
        <f t="shared" ref="AR84:AR147" si="49">AH84</f>
        <v>-12564.194496874959</v>
      </c>
      <c r="AS84" s="75">
        <v>14551</v>
      </c>
      <c r="AT84" s="75"/>
      <c r="AU84" s="75"/>
      <c r="AV84" s="75">
        <v>122</v>
      </c>
      <c r="AW84" s="75">
        <v>21156.620189791724</v>
      </c>
      <c r="AX84" s="75">
        <v>1736.6655694945143</v>
      </c>
      <c r="AY84" s="75">
        <v>10004.780696493015</v>
      </c>
      <c r="AZ84" s="316"/>
      <c r="BA84" s="74"/>
      <c r="BB84" s="74"/>
      <c r="BC84" s="74"/>
      <c r="BD84" s="74"/>
      <c r="BE84" s="74"/>
      <c r="BF84" s="74"/>
      <c r="BG84" s="74"/>
      <c r="BM84" s="316"/>
      <c r="BN84" s="74">
        <v>92314905.802355066</v>
      </c>
      <c r="BO84" s="74">
        <v>102878824.84999999</v>
      </c>
      <c r="BP84" s="74">
        <v>106545000</v>
      </c>
      <c r="BQ84" s="74">
        <v>2400794.21</v>
      </c>
      <c r="BR84" s="74">
        <v>2539000</v>
      </c>
      <c r="BS84" s="406">
        <f t="shared" si="20"/>
        <v>0.59012068319387612</v>
      </c>
      <c r="BT84" s="406">
        <f t="shared" si="21"/>
        <v>0.33333333333333326</v>
      </c>
      <c r="BU84" s="74">
        <f t="shared" si="22"/>
        <v>29783471.746463202</v>
      </c>
      <c r="BV84" s="316"/>
      <c r="BW84" s="74">
        <v>200562827.74000001</v>
      </c>
      <c r="BX84" s="74">
        <v>92314905.802355066</v>
      </c>
      <c r="BY84" s="74">
        <v>147048971.74359176</v>
      </c>
      <c r="BZ84" s="74">
        <v>66713975.296456538</v>
      </c>
      <c r="CA84" s="74">
        <f t="shared" si="23"/>
        <v>684931.91723169666</v>
      </c>
      <c r="CB84" s="74">
        <f t="shared" si="24"/>
        <v>-94.119057925434063</v>
      </c>
      <c r="CC84" s="74">
        <f t="shared" si="25"/>
        <v>-98.551001598012206</v>
      </c>
      <c r="CD84" s="74">
        <f t="shared" si="26"/>
        <v>-4.4319436725781429</v>
      </c>
      <c r="CE84" s="74">
        <f t="shared" si="27"/>
        <v>2.8699599523050048</v>
      </c>
      <c r="CF84" s="74">
        <f t="shared" si="28"/>
        <v>1.7812933233098263</v>
      </c>
      <c r="CG84" s="74">
        <f t="shared" si="29"/>
        <v>0.59105433130431184</v>
      </c>
      <c r="CH84" s="74">
        <f t="shared" si="30"/>
        <v>-0.38514482548203544</v>
      </c>
      <c r="CI84" s="74">
        <f t="shared" si="31"/>
        <v>93623.83356409386</v>
      </c>
      <c r="CJ84" s="74">
        <f t="shared" si="32"/>
        <v>58109.350793013153</v>
      </c>
      <c r="CK84" s="74">
        <f t="shared" si="33"/>
        <v>19281.37439580926</v>
      </c>
      <c r="CL84" s="74">
        <f t="shared" si="34"/>
        <v>-12564.194496874959</v>
      </c>
      <c r="CM84" s="316"/>
      <c r="CN84" s="74">
        <v>138591.30942099963</v>
      </c>
      <c r="CO84" s="74">
        <v>6930.5704160000005</v>
      </c>
    </row>
    <row r="85" spans="1:93" x14ac:dyDescent="0.2">
      <c r="A85" s="74">
        <v>213</v>
      </c>
      <c r="B85" s="74" t="s">
        <v>207</v>
      </c>
      <c r="C85" s="74">
        <v>10</v>
      </c>
      <c r="D85" s="74">
        <v>5230</v>
      </c>
      <c r="E85" s="89">
        <v>12842103.410628498</v>
      </c>
      <c r="F85" s="74">
        <v>6821621.3983216304</v>
      </c>
      <c r="G85" s="74">
        <v>2036216.6579999998</v>
      </c>
      <c r="H85" s="74">
        <v>2111487.9701999999</v>
      </c>
      <c r="I85" s="74">
        <v>1560184.7463055786</v>
      </c>
      <c r="J85" s="74">
        <v>1115250.7394883558</v>
      </c>
      <c r="K85" s="74">
        <v>-135640.18013436309</v>
      </c>
      <c r="L85" s="74">
        <v>-475025</v>
      </c>
      <c r="M85" s="75">
        <v>176000</v>
      </c>
      <c r="N85" s="75">
        <v>44131.039388935176</v>
      </c>
      <c r="O85" s="178">
        <f t="shared" si="35"/>
        <v>412123.9609416388</v>
      </c>
      <c r="P85" s="179">
        <f t="shared" si="36"/>
        <v>78.799992531862102</v>
      </c>
      <c r="Q85" s="74"/>
      <c r="R85" s="89">
        <v>40431747</v>
      </c>
      <c r="S85" s="74">
        <v>15721596.312142922</v>
      </c>
      <c r="T85" s="74">
        <v>3167231.9553</v>
      </c>
      <c r="U85" s="74">
        <v>16543475.147326972</v>
      </c>
      <c r="V85" s="74">
        <v>3719511.9257530514</v>
      </c>
      <c r="W85" s="74">
        <v>1737191.6579999998</v>
      </c>
      <c r="X85" s="178">
        <f t="shared" si="37"/>
        <v>457259.99852294475</v>
      </c>
      <c r="Y85" s="179">
        <f t="shared" si="38"/>
        <v>87.430210042628062</v>
      </c>
      <c r="Z85" s="74"/>
      <c r="AA85" s="84">
        <f t="shared" si="39"/>
        <v>-45136.037581305951</v>
      </c>
      <c r="AB85" s="132">
        <f t="shared" si="40"/>
        <v>-8.6302175107659558</v>
      </c>
      <c r="AD85" s="180">
        <v>66922.726256264883</v>
      </c>
      <c r="AE85" s="187">
        <v>15009.890550555176</v>
      </c>
      <c r="AF85" s="187">
        <v>9316.1640809103919</v>
      </c>
      <c r="AG85" s="187">
        <v>3091.2141527215508</v>
      </c>
      <c r="AH85" s="188">
        <v>-2014.3074372710453</v>
      </c>
      <c r="AJ85" s="74">
        <f t="shared" si="41"/>
        <v>8899974.9138212912</v>
      </c>
      <c r="AK85" s="74">
        <f t="shared" si="42"/>
        <v>1055743.9851000002</v>
      </c>
      <c r="AL85" s="74">
        <f t="shared" si="43"/>
        <v>14983290.401021393</v>
      </c>
      <c r="AM85" s="74">
        <f t="shared" si="44"/>
        <v>27589643.589371502</v>
      </c>
      <c r="AN85" s="74">
        <f t="shared" si="45"/>
        <v>66922.726256264883</v>
      </c>
      <c r="AO85" s="74">
        <f t="shared" si="46"/>
        <v>15009.890550555176</v>
      </c>
      <c r="AP85" s="74">
        <f t="shared" si="47"/>
        <v>9316.1640809103919</v>
      </c>
      <c r="AQ85" s="74">
        <f t="shared" si="48"/>
        <v>3091.2141527215508</v>
      </c>
      <c r="AR85" s="74">
        <f t="shared" si="49"/>
        <v>-2014.3074372710453</v>
      </c>
      <c r="AS85" s="75">
        <v>1173</v>
      </c>
      <c r="AT85" s="75"/>
      <c r="AU85" s="75"/>
      <c r="AV85" s="75">
        <v>0</v>
      </c>
      <c r="AW85" s="75">
        <v>12771.785059434766</v>
      </c>
      <c r="AX85" s="75">
        <v>-2078.2115561464625</v>
      </c>
      <c r="AY85" s="75">
        <v>2604.2611862646959</v>
      </c>
      <c r="AZ85" s="316"/>
      <c r="BA85" s="74"/>
      <c r="BB85" s="74"/>
      <c r="BC85" s="74"/>
      <c r="BD85" s="74"/>
      <c r="BE85" s="74"/>
      <c r="BF85" s="74"/>
      <c r="BG85" s="74"/>
      <c r="BM85" s="316"/>
      <c r="BN85" s="74">
        <v>12842103.410628498</v>
      </c>
      <c r="BO85" s="74">
        <v>26901952.239999998</v>
      </c>
      <c r="BP85" s="74">
        <v>27547000</v>
      </c>
      <c r="BQ85" s="74">
        <v>452791.08</v>
      </c>
      <c r="BR85" s="74">
        <v>525000</v>
      </c>
      <c r="BS85" s="406">
        <f t="shared" ref="BS85:BS148" si="50">1-F85/S85</f>
        <v>0.56609867961990601</v>
      </c>
      <c r="BT85" s="406">
        <f t="shared" ref="BT85:BT148" si="51">1-H85/T85</f>
        <v>0.33333333333333337</v>
      </c>
      <c r="BU85" s="74">
        <f t="shared" ref="BU85:BU148" si="52">(U85+V85)-(I85+J85)+K85</f>
        <v>17451911.407151729</v>
      </c>
      <c r="BV85" s="316"/>
      <c r="BW85" s="74">
        <v>40431747</v>
      </c>
      <c r="BX85" s="74">
        <v>12842103.410628498</v>
      </c>
      <c r="BY85" s="74">
        <v>20925044.925442923</v>
      </c>
      <c r="BZ85" s="74">
        <v>10969326.026521631</v>
      </c>
      <c r="CA85" s="74">
        <f t="shared" ref="CA85:CA148" si="53">((BX85-BW85)-N85+(BY85-BZ85)+AW85*1000+AY85*1000-AX85*1000-$BX$8)*0.6+(D85*-0.260310389757568)</f>
        <v>-135640.18013436507</v>
      </c>
      <c r="CB85" s="74">
        <f t="shared" ref="CB85:CB148" si="54">(-R85+S85+T85+U85+V85+W85)/D85</f>
        <v>87.430210042628417</v>
      </c>
      <c r="CC85" s="74">
        <f t="shared" ref="CC85:CC148" si="55">(-E85+F85+G85+H85+I85+J85+L85+CA85+M85+N85)/D85</f>
        <v>78.799992531861776</v>
      </c>
      <c r="CD85" s="74">
        <f t="shared" ref="CD85:CD148" si="56">CC85-CB85</f>
        <v>-8.6302175107666415</v>
      </c>
      <c r="CE85" s="74">
        <f t="shared" ref="CE85:CE148" si="57">(IF(CD85&lt;-15,-CD85-15,IF(CD85&gt;15,15-CD85,0)))-$BI$24</f>
        <v>2.8699599523050048</v>
      </c>
      <c r="CF85" s="74">
        <f t="shared" ref="CF85:CF148" si="58">(IF(CD85&lt;-30,-CD85-30,IF(CD85&gt;30,30-CD85,0)))-$BJ$24</f>
        <v>1.7812933233098263</v>
      </c>
      <c r="CG85" s="74">
        <f t="shared" ref="CG85:CG148" si="59">(IF(CD85&lt;-45,-CD85-45,IF(CD85&gt;45,45-CD85,0)))-$BK$24</f>
        <v>0.59105433130431184</v>
      </c>
      <c r="CH85" s="74">
        <f t="shared" ref="CH85:CH148" si="60">(IF(CD85&lt;-60,-CD85-60,IF(CD85&gt;60,60-CD85,0)))-$BL$24</f>
        <v>-0.38514482548203544</v>
      </c>
      <c r="CI85" s="74">
        <f t="shared" ref="CI85:CI148" si="61">CE85*$D85</f>
        <v>15009.890550555176</v>
      </c>
      <c r="CJ85" s="74">
        <f t="shared" ref="CJ85:CJ148" si="62">CF85*$D85</f>
        <v>9316.1640809103919</v>
      </c>
      <c r="CK85" s="74">
        <f t="shared" ref="CK85:CK148" si="63">CG85*$D85</f>
        <v>3091.2141527215508</v>
      </c>
      <c r="CL85" s="74">
        <f t="shared" ref="CL85:CL148" si="64">CH85*$D85</f>
        <v>-2014.3074372710453</v>
      </c>
      <c r="CM85" s="316"/>
      <c r="CN85" s="74">
        <v>15961.536174700699</v>
      </c>
      <c r="CO85" s="74">
        <v>3437.3059980000003</v>
      </c>
    </row>
    <row r="86" spans="1:93" x14ac:dyDescent="0.2">
      <c r="A86" s="74">
        <v>214</v>
      </c>
      <c r="B86" s="74" t="s">
        <v>208</v>
      </c>
      <c r="C86" s="74">
        <v>4</v>
      </c>
      <c r="D86" s="74">
        <v>12662</v>
      </c>
      <c r="E86" s="89">
        <v>33660979.352621078</v>
      </c>
      <c r="F86" s="74">
        <v>18290124.244339865</v>
      </c>
      <c r="G86" s="74">
        <v>4361617.8854999999</v>
      </c>
      <c r="H86" s="74">
        <v>2877462.5619999999</v>
      </c>
      <c r="I86" s="74">
        <v>7434085.0983424801</v>
      </c>
      <c r="J86" s="74">
        <v>2590154.3144219834</v>
      </c>
      <c r="K86" s="74">
        <v>218342.51649319506</v>
      </c>
      <c r="L86" s="74">
        <v>-568649</v>
      </c>
      <c r="M86" s="75">
        <v>601094.24</v>
      </c>
      <c r="N86" s="75">
        <v>108660.22691421876</v>
      </c>
      <c r="O86" s="178">
        <f t="shared" si="35"/>
        <v>2251912.7353906631</v>
      </c>
      <c r="P86" s="179">
        <f t="shared" si="36"/>
        <v>177.84810735986915</v>
      </c>
      <c r="Q86" s="74"/>
      <c r="R86" s="89">
        <v>85469391.230000004</v>
      </c>
      <c r="S86" s="74">
        <v>41364540.390413553</v>
      </c>
      <c r="T86" s="74">
        <v>4316193.8430000003</v>
      </c>
      <c r="U86" s="74">
        <v>29778853.751341052</v>
      </c>
      <c r="V86" s="74">
        <v>8638514.6594506036</v>
      </c>
      <c r="W86" s="74">
        <v>4394063.1255000001</v>
      </c>
      <c r="X86" s="178">
        <f t="shared" si="37"/>
        <v>3022774.539705202</v>
      </c>
      <c r="Y86" s="179">
        <f t="shared" si="38"/>
        <v>238.72804767850278</v>
      </c>
      <c r="Z86" s="74"/>
      <c r="AA86" s="84">
        <f t="shared" si="39"/>
        <v>-770861.80431453884</v>
      </c>
      <c r="AB86" s="132">
        <f t="shared" si="40"/>
        <v>-60.879940318633615</v>
      </c>
      <c r="AD86" s="180">
        <v>823608.08576814388</v>
      </c>
      <c r="AE86" s="187">
        <v>617271.237230625</v>
      </c>
      <c r="AF86" s="187">
        <v>413556.54037428804</v>
      </c>
      <c r="AG86" s="187">
        <v>208555.73425751424</v>
      </c>
      <c r="AH86" s="188">
        <v>6265.1005342854805</v>
      </c>
      <c r="AJ86" s="74">
        <f t="shared" si="41"/>
        <v>23074416.146073688</v>
      </c>
      <c r="AK86" s="74">
        <f t="shared" si="42"/>
        <v>1438731.2810000004</v>
      </c>
      <c r="AL86" s="74">
        <f t="shared" si="43"/>
        <v>22344768.652998574</v>
      </c>
      <c r="AM86" s="74">
        <f t="shared" si="44"/>
        <v>51808411.877378926</v>
      </c>
      <c r="AN86" s="74">
        <f t="shared" si="45"/>
        <v>823608.08576814388</v>
      </c>
      <c r="AO86" s="74">
        <f t="shared" si="46"/>
        <v>617271.237230625</v>
      </c>
      <c r="AP86" s="74">
        <f t="shared" si="47"/>
        <v>413556.54037428804</v>
      </c>
      <c r="AQ86" s="74">
        <f t="shared" si="48"/>
        <v>208555.73425751424</v>
      </c>
      <c r="AR86" s="74">
        <f t="shared" si="49"/>
        <v>6265.1005342854805</v>
      </c>
      <c r="AS86" s="75">
        <v>5311</v>
      </c>
      <c r="AT86" s="75"/>
      <c r="AU86" s="75"/>
      <c r="AV86" s="75">
        <v>0</v>
      </c>
      <c r="AW86" s="75">
        <v>16895.891981936515</v>
      </c>
      <c r="AX86" s="75">
        <v>-4829.0699613348179</v>
      </c>
      <c r="AY86" s="75">
        <v>6048.36034502862</v>
      </c>
      <c r="AZ86" s="316"/>
      <c r="BA86" s="74"/>
      <c r="BB86" s="74"/>
      <c r="BC86" s="74"/>
      <c r="BD86" s="74"/>
      <c r="BE86" s="74"/>
      <c r="BF86" s="74"/>
      <c r="BG86" s="74"/>
      <c r="BM86" s="316"/>
      <c r="BN86" s="74">
        <v>33660979.352621078</v>
      </c>
      <c r="BO86" s="74">
        <v>48130184.700000003</v>
      </c>
      <c r="BP86" s="74">
        <v>53093000</v>
      </c>
      <c r="BQ86" s="74">
        <v>1339671.5</v>
      </c>
      <c r="BR86" s="74">
        <v>1423000</v>
      </c>
      <c r="BS86" s="406">
        <f t="shared" si="50"/>
        <v>0.55783083598388794</v>
      </c>
      <c r="BT86" s="406">
        <f t="shared" si="51"/>
        <v>0.33333333333333337</v>
      </c>
      <c r="BU86" s="74">
        <f t="shared" si="52"/>
        <v>28611471.514520388</v>
      </c>
      <c r="BV86" s="316"/>
      <c r="BW86" s="74">
        <v>85469391.230000004</v>
      </c>
      <c r="BX86" s="74">
        <v>33660979.352621078</v>
      </c>
      <c r="BY86" s="74">
        <v>50042352.118913554</v>
      </c>
      <c r="BZ86" s="74">
        <v>25529204.691839863</v>
      </c>
      <c r="CA86" s="74">
        <f t="shared" si="53"/>
        <v>218342.51649318871</v>
      </c>
      <c r="CB86" s="74">
        <f t="shared" si="54"/>
        <v>238.72804767850312</v>
      </c>
      <c r="CC86" s="74">
        <f t="shared" si="55"/>
        <v>177.84810735986855</v>
      </c>
      <c r="CD86" s="74">
        <f t="shared" si="56"/>
        <v>-60.879940318634567</v>
      </c>
      <c r="CE86" s="74">
        <f t="shared" si="57"/>
        <v>48.74990027093957</v>
      </c>
      <c r="CF86" s="74">
        <f t="shared" si="58"/>
        <v>32.661233641944392</v>
      </c>
      <c r="CG86" s="74">
        <f t="shared" si="59"/>
        <v>16.470994649938881</v>
      </c>
      <c r="CH86" s="74">
        <f t="shared" si="60"/>
        <v>0.49479549315253168</v>
      </c>
      <c r="CI86" s="74">
        <f t="shared" si="61"/>
        <v>617271.23723063688</v>
      </c>
      <c r="CJ86" s="74">
        <f t="shared" si="62"/>
        <v>413556.54037429992</v>
      </c>
      <c r="CK86" s="74">
        <f t="shared" si="63"/>
        <v>208555.73425752611</v>
      </c>
      <c r="CL86" s="74">
        <f t="shared" si="64"/>
        <v>6265.1005342973558</v>
      </c>
      <c r="CM86" s="316"/>
      <c r="CN86" s="74">
        <v>41041.622567059407</v>
      </c>
      <c r="CO86" s="74">
        <v>4684.2413799999995</v>
      </c>
    </row>
    <row r="87" spans="1:93" x14ac:dyDescent="0.2">
      <c r="A87" s="74">
        <v>216</v>
      </c>
      <c r="B87" s="74" t="s">
        <v>209</v>
      </c>
      <c r="C87" s="74">
        <v>13</v>
      </c>
      <c r="D87" s="74">
        <v>1311</v>
      </c>
      <c r="E87" s="89">
        <v>4058671.2008653777</v>
      </c>
      <c r="F87" s="74">
        <v>1537195.5518566335</v>
      </c>
      <c r="G87" s="74">
        <v>542243.85950000002</v>
      </c>
      <c r="H87" s="74">
        <v>483108.9302</v>
      </c>
      <c r="I87" s="74">
        <v>1090019.1246624363</v>
      </c>
      <c r="J87" s="74">
        <v>302678.54239237623</v>
      </c>
      <c r="K87" s="74">
        <v>114357.02483967174</v>
      </c>
      <c r="L87" s="74">
        <v>-350406</v>
      </c>
      <c r="M87" s="75">
        <v>29000</v>
      </c>
      <c r="N87" s="75">
        <v>9779.8870406336173</v>
      </c>
      <c r="O87" s="178">
        <f t="shared" si="35"/>
        <v>-300694.28037362639</v>
      </c>
      <c r="P87" s="179">
        <f t="shared" si="36"/>
        <v>-229.36253270299497</v>
      </c>
      <c r="Q87" s="74"/>
      <c r="R87" s="89">
        <v>11519310</v>
      </c>
      <c r="S87" s="74">
        <v>3501929.6217183489</v>
      </c>
      <c r="T87" s="74">
        <v>724663.39529999997</v>
      </c>
      <c r="U87" s="74">
        <v>5751725.9462710414</v>
      </c>
      <c r="V87" s="74">
        <v>1009473.841384302</v>
      </c>
      <c r="W87" s="74">
        <v>220837.85950000002</v>
      </c>
      <c r="X87" s="178">
        <f t="shared" si="37"/>
        <v>-310679.33582630754</v>
      </c>
      <c r="Y87" s="179">
        <f t="shared" si="38"/>
        <v>-236.9788984182361</v>
      </c>
      <c r="Z87" s="74"/>
      <c r="AA87" s="84">
        <f t="shared" si="39"/>
        <v>9985.0554526811466</v>
      </c>
      <c r="AB87" s="132">
        <f t="shared" si="40"/>
        <v>7.616365715241149</v>
      </c>
      <c r="AD87" s="180">
        <v>-4523.8032819577347</v>
      </c>
      <c r="AE87" s="187">
        <v>3762.5174974718611</v>
      </c>
      <c r="AF87" s="187">
        <v>2335.2755468591822</v>
      </c>
      <c r="AG87" s="187">
        <v>774.87222833995281</v>
      </c>
      <c r="AH87" s="188">
        <v>-504.92486620694848</v>
      </c>
      <c r="AJ87" s="74">
        <f t="shared" si="41"/>
        <v>1964734.0698617154</v>
      </c>
      <c r="AK87" s="74">
        <f t="shared" si="42"/>
        <v>241554.46509999997</v>
      </c>
      <c r="AL87" s="74">
        <f t="shared" si="43"/>
        <v>4661706.8216086049</v>
      </c>
      <c r="AM87" s="74">
        <f t="shared" si="44"/>
        <v>7460638.7991346223</v>
      </c>
      <c r="AN87" s="74">
        <f t="shared" si="45"/>
        <v>-4523.8032819577347</v>
      </c>
      <c r="AO87" s="74">
        <f t="shared" si="46"/>
        <v>3762.5174974718611</v>
      </c>
      <c r="AP87" s="74">
        <f t="shared" si="47"/>
        <v>2335.2755468591822</v>
      </c>
      <c r="AQ87" s="74">
        <f t="shared" si="48"/>
        <v>774.87222833995281</v>
      </c>
      <c r="AR87" s="74">
        <f t="shared" si="49"/>
        <v>-504.92486620694848</v>
      </c>
      <c r="AS87" s="75">
        <v>1038</v>
      </c>
      <c r="AT87" s="75"/>
      <c r="AU87" s="75"/>
      <c r="AV87" s="75">
        <v>83</v>
      </c>
      <c r="AW87" s="75">
        <v>4035.1742750333037</v>
      </c>
      <c r="AX87" s="75">
        <v>-713.32439678938306</v>
      </c>
      <c r="AY87" s="75">
        <v>706.79529899192585</v>
      </c>
      <c r="AZ87" s="316"/>
      <c r="BA87" s="74"/>
      <c r="BB87" s="74"/>
      <c r="BC87" s="74"/>
      <c r="BD87" s="74"/>
      <c r="BE87" s="74"/>
      <c r="BF87" s="74"/>
      <c r="BG87" s="74"/>
      <c r="BM87" s="316"/>
      <c r="BN87" s="74">
        <v>4058671.2008653777</v>
      </c>
      <c r="BO87" s="74">
        <v>6964310.2799999993</v>
      </c>
      <c r="BP87" s="74">
        <v>7397000</v>
      </c>
      <c r="BQ87" s="74">
        <v>127616.04</v>
      </c>
      <c r="BR87" s="74">
        <v>129000</v>
      </c>
      <c r="BS87" s="406">
        <f t="shared" si="50"/>
        <v>0.56104327673428434</v>
      </c>
      <c r="BT87" s="406">
        <f t="shared" si="51"/>
        <v>0.33333333333333326</v>
      </c>
      <c r="BU87" s="74">
        <f t="shared" si="52"/>
        <v>5482859.1454402022</v>
      </c>
      <c r="BV87" s="316"/>
      <c r="BW87" s="74">
        <v>11519310</v>
      </c>
      <c r="BX87" s="74">
        <v>4058671.2008653777</v>
      </c>
      <c r="BY87" s="74">
        <v>4768836.8765183492</v>
      </c>
      <c r="BZ87" s="74">
        <v>2562548.3415566334</v>
      </c>
      <c r="CA87" s="74">
        <f t="shared" si="53"/>
        <v>114357.02483967145</v>
      </c>
      <c r="CB87" s="74">
        <f t="shared" si="54"/>
        <v>-236.97889841823618</v>
      </c>
      <c r="CC87" s="74">
        <f t="shared" si="55"/>
        <v>-229.36253270299522</v>
      </c>
      <c r="CD87" s="74">
        <f t="shared" si="56"/>
        <v>7.6163657152409598</v>
      </c>
      <c r="CE87" s="74">
        <f t="shared" si="57"/>
        <v>2.8699599523050048</v>
      </c>
      <c r="CF87" s="74">
        <f t="shared" si="58"/>
        <v>1.7812933233098263</v>
      </c>
      <c r="CG87" s="74">
        <f t="shared" si="59"/>
        <v>0.59105433130431184</v>
      </c>
      <c r="CH87" s="74">
        <f t="shared" si="60"/>
        <v>-0.38514482548203544</v>
      </c>
      <c r="CI87" s="74">
        <f t="shared" si="61"/>
        <v>3762.5174974718611</v>
      </c>
      <c r="CJ87" s="74">
        <f t="shared" si="62"/>
        <v>2335.2755468591822</v>
      </c>
      <c r="CK87" s="74">
        <f t="shared" si="63"/>
        <v>774.87222833995281</v>
      </c>
      <c r="CL87" s="74">
        <f t="shared" si="64"/>
        <v>-504.92486620694848</v>
      </c>
      <c r="CM87" s="316"/>
      <c r="CN87" s="74">
        <v>3518.8060950782537</v>
      </c>
      <c r="CO87" s="74">
        <v>786.45639800000004</v>
      </c>
    </row>
    <row r="88" spans="1:93" x14ac:dyDescent="0.2">
      <c r="A88" s="74">
        <v>217</v>
      </c>
      <c r="B88" s="74" t="s">
        <v>210</v>
      </c>
      <c r="C88" s="74">
        <v>16</v>
      </c>
      <c r="D88" s="74">
        <v>5390</v>
      </c>
      <c r="E88" s="89">
        <v>14862080.649266027</v>
      </c>
      <c r="F88" s="74">
        <v>7520032.0592405805</v>
      </c>
      <c r="G88" s="74">
        <v>1864873.9125000001</v>
      </c>
      <c r="H88" s="74">
        <v>797774.19260000007</v>
      </c>
      <c r="I88" s="74">
        <v>5285395.8624997651</v>
      </c>
      <c r="J88" s="74">
        <v>1037542.2088419409</v>
      </c>
      <c r="K88" s="74">
        <v>-561106.87027460278</v>
      </c>
      <c r="L88" s="74">
        <v>40606</v>
      </c>
      <c r="M88" s="75">
        <v>37287</v>
      </c>
      <c r="N88" s="75">
        <v>44580.954979269307</v>
      </c>
      <c r="O88" s="178">
        <f t="shared" si="35"/>
        <v>1204904.6711209267</v>
      </c>
      <c r="P88" s="179">
        <f t="shared" si="36"/>
        <v>223.54446588514412</v>
      </c>
      <c r="Q88" s="74"/>
      <c r="R88" s="89">
        <v>37150411</v>
      </c>
      <c r="S88" s="74">
        <v>17178362.335671484</v>
      </c>
      <c r="T88" s="74">
        <v>1196661.2889</v>
      </c>
      <c r="U88" s="74">
        <v>13782247.25531942</v>
      </c>
      <c r="V88" s="74">
        <v>3460343.4748944691</v>
      </c>
      <c r="W88" s="74">
        <v>1942766.9125000001</v>
      </c>
      <c r="X88" s="178">
        <f t="shared" si="37"/>
        <v>409970.26728537679</v>
      </c>
      <c r="Y88" s="179">
        <f t="shared" si="38"/>
        <v>76.061274078919624</v>
      </c>
      <c r="Z88" s="74"/>
      <c r="AA88" s="84">
        <f t="shared" si="39"/>
        <v>794934.40383554995</v>
      </c>
      <c r="AB88" s="132">
        <f t="shared" si="40"/>
        <v>147.48319180622448</v>
      </c>
      <c r="AD88" s="180">
        <v>-772481.20078429987</v>
      </c>
      <c r="AE88" s="187">
        <v>-698615.31969262613</v>
      </c>
      <c r="AF88" s="187">
        <v>-623633.23282291018</v>
      </c>
      <c r="AG88" s="187">
        <v>-549198.62098981987</v>
      </c>
      <c r="AH88" s="188">
        <v>-473610.33444489824</v>
      </c>
      <c r="AJ88" s="74">
        <f t="shared" si="41"/>
        <v>9658330.2764309049</v>
      </c>
      <c r="AK88" s="74">
        <f t="shared" si="42"/>
        <v>398887.09629999998</v>
      </c>
      <c r="AL88" s="74">
        <f t="shared" si="43"/>
        <v>8496851.3928196542</v>
      </c>
      <c r="AM88" s="74">
        <f t="shared" si="44"/>
        <v>22288330.350733973</v>
      </c>
      <c r="AN88" s="74">
        <f t="shared" si="45"/>
        <v>-772481.20078429987</v>
      </c>
      <c r="AO88" s="74">
        <f t="shared" si="46"/>
        <v>-698615.31969262613</v>
      </c>
      <c r="AP88" s="74">
        <f t="shared" si="47"/>
        <v>-623633.23282291018</v>
      </c>
      <c r="AQ88" s="74">
        <f t="shared" si="48"/>
        <v>-549198.62098981987</v>
      </c>
      <c r="AR88" s="74">
        <f t="shared" si="49"/>
        <v>-473610.33444489824</v>
      </c>
      <c r="AS88" s="75">
        <v>1166</v>
      </c>
      <c r="AT88" s="75"/>
      <c r="AU88" s="75"/>
      <c r="AV88" s="75">
        <v>22</v>
      </c>
      <c r="AW88" s="75">
        <v>6690.0362828421084</v>
      </c>
      <c r="AX88" s="75">
        <v>-2230.0167219646819</v>
      </c>
      <c r="AY88" s="75">
        <v>2422.8012660525283</v>
      </c>
      <c r="AZ88" s="316"/>
      <c r="BA88" s="74"/>
      <c r="BB88" s="74"/>
      <c r="BC88" s="74"/>
      <c r="BD88" s="74"/>
      <c r="BE88" s="74"/>
      <c r="BF88" s="74"/>
      <c r="BG88" s="74"/>
      <c r="BM88" s="316"/>
      <c r="BN88" s="74">
        <v>14862080.649266027</v>
      </c>
      <c r="BO88" s="74">
        <v>20815597.100000001</v>
      </c>
      <c r="BP88" s="74">
        <v>22000000</v>
      </c>
      <c r="BQ88" s="74">
        <v>611343</v>
      </c>
      <c r="BR88" s="74">
        <v>647000</v>
      </c>
      <c r="BS88" s="406">
        <f t="shared" si="50"/>
        <v>0.56223812769247716</v>
      </c>
      <c r="BT88" s="406">
        <f t="shared" si="51"/>
        <v>0.33333333333333326</v>
      </c>
      <c r="BU88" s="74">
        <f t="shared" si="52"/>
        <v>10358545.788597578</v>
      </c>
      <c r="BV88" s="316"/>
      <c r="BW88" s="74">
        <v>37150411</v>
      </c>
      <c r="BX88" s="74">
        <v>14862080.649266027</v>
      </c>
      <c r="BY88" s="74">
        <v>20239897.537071485</v>
      </c>
      <c r="BZ88" s="74">
        <v>10182680.164340582</v>
      </c>
      <c r="CA88" s="74">
        <f t="shared" si="53"/>
        <v>-561106.87027460663</v>
      </c>
      <c r="CB88" s="74">
        <f t="shared" si="54"/>
        <v>76.061274078918942</v>
      </c>
      <c r="CC88" s="74">
        <f t="shared" si="55"/>
        <v>223.54446588514332</v>
      </c>
      <c r="CD88" s="74">
        <f t="shared" si="56"/>
        <v>147.4831918062244</v>
      </c>
      <c r="CE88" s="74">
        <f t="shared" si="57"/>
        <v>-129.61323185391939</v>
      </c>
      <c r="CF88" s="74">
        <f t="shared" si="58"/>
        <v>-115.70189848291457</v>
      </c>
      <c r="CG88" s="74">
        <f t="shared" si="59"/>
        <v>-101.89213747492009</v>
      </c>
      <c r="CH88" s="74">
        <f t="shared" si="60"/>
        <v>-87.868336631706427</v>
      </c>
      <c r="CI88" s="74">
        <f t="shared" si="61"/>
        <v>-698615.31969262555</v>
      </c>
      <c r="CJ88" s="74">
        <f t="shared" si="62"/>
        <v>-623633.2328229096</v>
      </c>
      <c r="CK88" s="74">
        <f t="shared" si="63"/>
        <v>-549198.62098981929</v>
      </c>
      <c r="CL88" s="74">
        <f t="shared" si="64"/>
        <v>-473610.33444489766</v>
      </c>
      <c r="CM88" s="316"/>
      <c r="CN88" s="74">
        <v>17418.712196001226</v>
      </c>
      <c r="CO88" s="74">
        <v>1298.702174</v>
      </c>
    </row>
    <row r="89" spans="1:93" x14ac:dyDescent="0.2">
      <c r="A89" s="74">
        <v>218</v>
      </c>
      <c r="B89" s="74" t="s">
        <v>211</v>
      </c>
      <c r="C89" s="74">
        <v>14</v>
      </c>
      <c r="D89" s="74">
        <v>1192</v>
      </c>
      <c r="E89" s="89">
        <v>2858621.0182516454</v>
      </c>
      <c r="F89" s="74">
        <v>1703962.149933358</v>
      </c>
      <c r="G89" s="74">
        <v>299558.80580000003</v>
      </c>
      <c r="H89" s="74">
        <v>290899.71279999998</v>
      </c>
      <c r="I89" s="74">
        <v>571467.88821032445</v>
      </c>
      <c r="J89" s="74">
        <v>326579.6223617614</v>
      </c>
      <c r="K89" s="74">
        <v>422971.04760824348</v>
      </c>
      <c r="L89" s="74">
        <v>-287088</v>
      </c>
      <c r="M89" s="75">
        <v>-20000</v>
      </c>
      <c r="N89" s="75">
        <v>9147.3761009828577</v>
      </c>
      <c r="O89" s="178">
        <f t="shared" si="35"/>
        <v>458877.58456302481</v>
      </c>
      <c r="P89" s="179">
        <f t="shared" si="36"/>
        <v>384.96441657971877</v>
      </c>
      <c r="Q89" s="74"/>
      <c r="R89" s="89">
        <v>9296712</v>
      </c>
      <c r="S89" s="74">
        <v>3622109.8517392799</v>
      </c>
      <c r="T89" s="74">
        <v>436349.56920000003</v>
      </c>
      <c r="U89" s="74">
        <v>4851947.5735246139</v>
      </c>
      <c r="V89" s="74">
        <v>1089187.1729578732</v>
      </c>
      <c r="W89" s="74">
        <v>-7529.194199999969</v>
      </c>
      <c r="X89" s="178">
        <f t="shared" si="37"/>
        <v>695352.97322176769</v>
      </c>
      <c r="Y89" s="179">
        <f t="shared" si="38"/>
        <v>583.3498097498051</v>
      </c>
      <c r="Z89" s="74"/>
      <c r="AA89" s="84">
        <f t="shared" si="39"/>
        <v>-236475.38865874289</v>
      </c>
      <c r="AB89" s="132">
        <f t="shared" si="40"/>
        <v>-198.3853931700863</v>
      </c>
      <c r="AD89" s="180">
        <v>241440.92076209918</v>
      </c>
      <c r="AE89" s="187">
        <v>222016.38092189046</v>
      </c>
      <c r="AF89" s="187">
        <v>202838.69030012822</v>
      </c>
      <c r="AG89" s="187">
        <v>183539.92542165765</v>
      </c>
      <c r="AH89" s="188">
        <v>164496.29602676834</v>
      </c>
      <c r="AJ89" s="74">
        <f t="shared" si="41"/>
        <v>1918147.701805922</v>
      </c>
      <c r="AK89" s="74">
        <f t="shared" si="42"/>
        <v>145449.85640000005</v>
      </c>
      <c r="AL89" s="74">
        <f t="shared" si="43"/>
        <v>4280479.6853142893</v>
      </c>
      <c r="AM89" s="74">
        <f t="shared" si="44"/>
        <v>6438090.9817483546</v>
      </c>
      <c r="AN89" s="74">
        <f t="shared" si="45"/>
        <v>241440.92076209918</v>
      </c>
      <c r="AO89" s="74">
        <f t="shared" si="46"/>
        <v>222016.38092189046</v>
      </c>
      <c r="AP89" s="74">
        <f t="shared" si="47"/>
        <v>202838.69030012822</v>
      </c>
      <c r="AQ89" s="74">
        <f t="shared" si="48"/>
        <v>183539.92542165765</v>
      </c>
      <c r="AR89" s="74">
        <f t="shared" si="49"/>
        <v>164496.29602676834</v>
      </c>
      <c r="AS89" s="75">
        <v>301</v>
      </c>
      <c r="AT89" s="75"/>
      <c r="AU89" s="75"/>
      <c r="AV89" s="75">
        <v>0</v>
      </c>
      <c r="AW89" s="75">
        <v>3656.5003630777337</v>
      </c>
      <c r="AX89" s="75">
        <v>-670.00178195762658</v>
      </c>
      <c r="AY89" s="75">
        <v>762.60755059611176</v>
      </c>
      <c r="AZ89" s="316"/>
      <c r="BA89" s="74"/>
      <c r="BB89" s="74"/>
      <c r="BC89" s="74"/>
      <c r="BD89" s="74"/>
      <c r="BE89" s="74"/>
      <c r="BF89" s="74"/>
      <c r="BG89" s="74"/>
      <c r="BM89" s="316"/>
      <c r="BN89" s="74">
        <v>2858621.0182516454</v>
      </c>
      <c r="BO89" s="74">
        <v>6081003.209999999</v>
      </c>
      <c r="BP89" s="74">
        <v>6414000</v>
      </c>
      <c r="BQ89" s="74">
        <v>125115.29</v>
      </c>
      <c r="BR89" s="74">
        <v>128000</v>
      </c>
      <c r="BS89" s="406">
        <f t="shared" si="50"/>
        <v>0.52956640751380246</v>
      </c>
      <c r="BT89" s="406">
        <f t="shared" si="51"/>
        <v>0.33333333333333337</v>
      </c>
      <c r="BU89" s="74">
        <f t="shared" si="52"/>
        <v>5466058.283518644</v>
      </c>
      <c r="BV89" s="316"/>
      <c r="BW89" s="74">
        <v>9296712</v>
      </c>
      <c r="BX89" s="74">
        <v>2858621.0182516454</v>
      </c>
      <c r="BY89" s="74">
        <v>4358018.2267392799</v>
      </c>
      <c r="BZ89" s="74">
        <v>2294420.6685333578</v>
      </c>
      <c r="CA89" s="74">
        <f t="shared" si="53"/>
        <v>422971.04760824319</v>
      </c>
      <c r="CB89" s="74">
        <f t="shared" si="54"/>
        <v>583.34980974980431</v>
      </c>
      <c r="CC89" s="74">
        <f t="shared" si="55"/>
        <v>384.96441657971843</v>
      </c>
      <c r="CD89" s="74">
        <f t="shared" si="56"/>
        <v>-198.38539317008588</v>
      </c>
      <c r="CE89" s="74">
        <f t="shared" si="57"/>
        <v>186.25535312239089</v>
      </c>
      <c r="CF89" s="74">
        <f t="shared" si="58"/>
        <v>170.1666864933957</v>
      </c>
      <c r="CG89" s="74">
        <f t="shared" si="59"/>
        <v>153.9764475013902</v>
      </c>
      <c r="CH89" s="74">
        <f t="shared" si="60"/>
        <v>138.00024834460385</v>
      </c>
      <c r="CI89" s="74">
        <f t="shared" si="61"/>
        <v>222016.38092188994</v>
      </c>
      <c r="CJ89" s="74">
        <f t="shared" si="62"/>
        <v>202838.69030012767</v>
      </c>
      <c r="CK89" s="74">
        <f t="shared" si="63"/>
        <v>183539.92542165713</v>
      </c>
      <c r="CL89" s="74">
        <f t="shared" si="64"/>
        <v>164496.29602676778</v>
      </c>
      <c r="CM89" s="316"/>
      <c r="CN89" s="74">
        <v>3548.572581339412</v>
      </c>
      <c r="CO89" s="74">
        <v>473.55767199999997</v>
      </c>
    </row>
    <row r="90" spans="1:93" x14ac:dyDescent="0.2">
      <c r="A90" s="74">
        <v>224</v>
      </c>
      <c r="B90" s="74" t="s">
        <v>212</v>
      </c>
      <c r="C90" s="74">
        <v>33</v>
      </c>
      <c r="D90" s="74">
        <v>8717</v>
      </c>
      <c r="E90" s="89">
        <v>21007003.979698114</v>
      </c>
      <c r="F90" s="74">
        <v>13075989.018216453</v>
      </c>
      <c r="G90" s="74">
        <v>2338793.449</v>
      </c>
      <c r="H90" s="74">
        <v>1051534.7194000001</v>
      </c>
      <c r="I90" s="74">
        <v>5332000.9144349797</v>
      </c>
      <c r="J90" s="74">
        <v>1446584.4425065848</v>
      </c>
      <c r="K90" s="74">
        <v>-739697.95930586406</v>
      </c>
      <c r="L90" s="74">
        <v>-414361</v>
      </c>
      <c r="M90" s="75">
        <v>-202900</v>
      </c>
      <c r="N90" s="75">
        <v>81537.602539717162</v>
      </c>
      <c r="O90" s="178">
        <f t="shared" si="35"/>
        <v>962477.20709375665</v>
      </c>
      <c r="P90" s="179">
        <f t="shared" si="36"/>
        <v>110.41381290509999</v>
      </c>
      <c r="Q90" s="74"/>
      <c r="R90" s="89">
        <v>56484092</v>
      </c>
      <c r="S90" s="74">
        <v>30944654.733684994</v>
      </c>
      <c r="T90" s="74">
        <v>1577302.0791</v>
      </c>
      <c r="U90" s="74">
        <v>17715187.665632196</v>
      </c>
      <c r="V90" s="74">
        <v>4824554.600143577</v>
      </c>
      <c r="W90" s="74">
        <v>1721532.449</v>
      </c>
      <c r="X90" s="178">
        <f t="shared" si="37"/>
        <v>299139.52756077051</v>
      </c>
      <c r="Y90" s="179">
        <f t="shared" si="38"/>
        <v>34.316797930569059</v>
      </c>
      <c r="Z90" s="74"/>
      <c r="AA90" s="84">
        <f t="shared" si="39"/>
        <v>663337.67953298613</v>
      </c>
      <c r="AB90" s="132">
        <f t="shared" si="40"/>
        <v>76.097014974530936</v>
      </c>
      <c r="AD90" s="180">
        <v>-627025.14316977875</v>
      </c>
      <c r="AE90" s="187">
        <v>-507565.23862875463</v>
      </c>
      <c r="AF90" s="187">
        <v>-386300.14563370554</v>
      </c>
      <c r="AG90" s="187">
        <v>-265920.45892701764</v>
      </c>
      <c r="AH90" s="188">
        <v>-143674.98697672423</v>
      </c>
      <c r="AJ90" s="74">
        <f t="shared" si="41"/>
        <v>17868665.715468541</v>
      </c>
      <c r="AK90" s="74">
        <f t="shared" si="42"/>
        <v>525767.35969999991</v>
      </c>
      <c r="AL90" s="74">
        <f t="shared" si="43"/>
        <v>12383186.751197215</v>
      </c>
      <c r="AM90" s="74">
        <f t="shared" si="44"/>
        <v>35477088.020301886</v>
      </c>
      <c r="AN90" s="74">
        <f t="shared" si="45"/>
        <v>-627025.14316977875</v>
      </c>
      <c r="AO90" s="74">
        <f t="shared" si="46"/>
        <v>-507565.23862875463</v>
      </c>
      <c r="AP90" s="74">
        <f t="shared" si="47"/>
        <v>-386300.14563370554</v>
      </c>
      <c r="AQ90" s="74">
        <f t="shared" si="48"/>
        <v>-265920.45892701764</v>
      </c>
      <c r="AR90" s="74">
        <f t="shared" si="49"/>
        <v>-143674.98697672423</v>
      </c>
      <c r="AS90" s="75">
        <v>2866</v>
      </c>
      <c r="AT90" s="75"/>
      <c r="AU90" s="75"/>
      <c r="AV90" s="75">
        <v>0</v>
      </c>
      <c r="AW90" s="75">
        <v>10571.41526301767</v>
      </c>
      <c r="AX90" s="75">
        <v>-1985.7590709544806</v>
      </c>
      <c r="AY90" s="75">
        <v>3377.9701576369921</v>
      </c>
      <c r="AZ90" s="316"/>
      <c r="BA90" s="74"/>
      <c r="BB90" s="74"/>
      <c r="BC90" s="74"/>
      <c r="BD90" s="74"/>
      <c r="BE90" s="74"/>
      <c r="BF90" s="74"/>
      <c r="BG90" s="74"/>
      <c r="BM90" s="316"/>
      <c r="BN90" s="74">
        <v>21007003.979698114</v>
      </c>
      <c r="BO90" s="74">
        <v>32576100.220000006</v>
      </c>
      <c r="BP90" s="74">
        <v>33736000</v>
      </c>
      <c r="BQ90" s="74">
        <v>628476.1100000001</v>
      </c>
      <c r="BR90" s="74">
        <v>643000</v>
      </c>
      <c r="BS90" s="406">
        <f t="shared" si="50"/>
        <v>0.57743949219176438</v>
      </c>
      <c r="BT90" s="406">
        <f t="shared" si="51"/>
        <v>0.33333333333333326</v>
      </c>
      <c r="BU90" s="74">
        <f t="shared" si="52"/>
        <v>15021458.949528346</v>
      </c>
      <c r="BV90" s="316"/>
      <c r="BW90" s="74">
        <v>56484092</v>
      </c>
      <c r="BX90" s="74">
        <v>21007003.979698114</v>
      </c>
      <c r="BY90" s="74">
        <v>34860750.261784993</v>
      </c>
      <c r="BZ90" s="74">
        <v>16466317.186616454</v>
      </c>
      <c r="CA90" s="74">
        <f t="shared" si="53"/>
        <v>-739697.95930586942</v>
      </c>
      <c r="CB90" s="74">
        <f t="shared" si="54"/>
        <v>34.316797930568846</v>
      </c>
      <c r="CC90" s="74">
        <f t="shared" si="55"/>
        <v>110.41381290509941</v>
      </c>
      <c r="CD90" s="74">
        <f t="shared" si="56"/>
        <v>76.097014974530566</v>
      </c>
      <c r="CE90" s="74">
        <f t="shared" si="57"/>
        <v>-58.227055022225564</v>
      </c>
      <c r="CF90" s="74">
        <f t="shared" si="58"/>
        <v>-44.315721651220741</v>
      </c>
      <c r="CG90" s="74">
        <f t="shared" si="59"/>
        <v>-30.505960643226253</v>
      </c>
      <c r="CH90" s="74">
        <f t="shared" si="60"/>
        <v>-16.482159800012603</v>
      </c>
      <c r="CI90" s="74">
        <f t="shared" si="61"/>
        <v>-507565.23862874025</v>
      </c>
      <c r="CJ90" s="74">
        <f t="shared" si="62"/>
        <v>-386300.14563369122</v>
      </c>
      <c r="CK90" s="74">
        <f t="shared" si="63"/>
        <v>-265920.45892700326</v>
      </c>
      <c r="CL90" s="74">
        <f t="shared" si="64"/>
        <v>-143674.98697670986</v>
      </c>
      <c r="CM90" s="316"/>
      <c r="CN90" s="74">
        <v>31339.444870183193</v>
      </c>
      <c r="CO90" s="74">
        <v>1711.800706</v>
      </c>
    </row>
    <row r="91" spans="1:93" x14ac:dyDescent="0.2">
      <c r="A91" s="74">
        <v>226</v>
      </c>
      <c r="B91" s="74" t="s">
        <v>213</v>
      </c>
      <c r="C91" s="74">
        <v>13</v>
      </c>
      <c r="D91" s="74">
        <v>3774</v>
      </c>
      <c r="E91" s="89">
        <v>10276233.989545912</v>
      </c>
      <c r="F91" s="74">
        <v>4726438.9838102572</v>
      </c>
      <c r="G91" s="74">
        <v>1218664.0142000003</v>
      </c>
      <c r="H91" s="74">
        <v>1154227.5344</v>
      </c>
      <c r="I91" s="74">
        <v>2619638.7962037851</v>
      </c>
      <c r="J91" s="74">
        <v>812553.4283123624</v>
      </c>
      <c r="K91" s="74">
        <v>784635.01991361193</v>
      </c>
      <c r="L91" s="74">
        <v>82538</v>
      </c>
      <c r="M91" s="75">
        <v>-14830</v>
      </c>
      <c r="N91" s="75">
        <v>29396.578668396189</v>
      </c>
      <c r="O91" s="178">
        <f t="shared" si="35"/>
        <v>1137028.3659625016</v>
      </c>
      <c r="P91" s="179">
        <f t="shared" si="36"/>
        <v>301.27937624867559</v>
      </c>
      <c r="Q91" s="74"/>
      <c r="R91" s="89">
        <v>29061770</v>
      </c>
      <c r="S91" s="74">
        <v>10781031.105820678</v>
      </c>
      <c r="T91" s="74">
        <v>1731341.3016000001</v>
      </c>
      <c r="U91" s="74">
        <v>14209713.416532055</v>
      </c>
      <c r="V91" s="74">
        <v>2709975.4879390644</v>
      </c>
      <c r="W91" s="74">
        <v>1286372.0142000003</v>
      </c>
      <c r="X91" s="178">
        <f t="shared" si="37"/>
        <v>1656663.3260917999</v>
      </c>
      <c r="Y91" s="179">
        <f t="shared" si="38"/>
        <v>438.96749498987811</v>
      </c>
      <c r="Z91" s="74"/>
      <c r="AA91" s="84">
        <f t="shared" si="39"/>
        <v>-519634.96012929827</v>
      </c>
      <c r="AB91" s="132">
        <f t="shared" si="40"/>
        <v>-137.68811874120252</v>
      </c>
      <c r="AD91" s="180">
        <v>535356.36798002361</v>
      </c>
      <c r="AE91" s="187">
        <v>473856.18898929568</v>
      </c>
      <c r="AF91" s="187">
        <v>413137.56113146787</v>
      </c>
      <c r="AG91" s="187">
        <v>352035.59917563904</v>
      </c>
      <c r="AH91" s="188">
        <v>291741.42355792742</v>
      </c>
      <c r="AJ91" s="74">
        <f t="shared" si="41"/>
        <v>6054592.122010421</v>
      </c>
      <c r="AK91" s="74">
        <f t="shared" si="42"/>
        <v>577113.76720000012</v>
      </c>
      <c r="AL91" s="74">
        <f t="shared" si="43"/>
        <v>11590074.62032827</v>
      </c>
      <c r="AM91" s="74">
        <f t="shared" si="44"/>
        <v>18785536.010454088</v>
      </c>
      <c r="AN91" s="74">
        <f t="shared" si="45"/>
        <v>535356.36798002361</v>
      </c>
      <c r="AO91" s="74">
        <f t="shared" si="46"/>
        <v>473856.18898929568</v>
      </c>
      <c r="AP91" s="74">
        <f t="shared" si="47"/>
        <v>413137.56113146787</v>
      </c>
      <c r="AQ91" s="74">
        <f t="shared" si="48"/>
        <v>352035.59917563904</v>
      </c>
      <c r="AR91" s="74">
        <f t="shared" si="49"/>
        <v>291741.42355792742</v>
      </c>
      <c r="AS91" s="75">
        <v>2016</v>
      </c>
      <c r="AT91" s="75"/>
      <c r="AU91" s="75"/>
      <c r="AV91" s="75">
        <v>0</v>
      </c>
      <c r="AW91" s="75">
        <v>9550.1721415518186</v>
      </c>
      <c r="AX91" s="75">
        <v>-2044.9948842744686</v>
      </c>
      <c r="AY91" s="75">
        <v>1897.4220596267021</v>
      </c>
      <c r="AZ91" s="316"/>
      <c r="BA91" s="74"/>
      <c r="BB91" s="74"/>
      <c r="BC91" s="74"/>
      <c r="BD91" s="74"/>
      <c r="BE91" s="74"/>
      <c r="BF91" s="74"/>
      <c r="BG91" s="74"/>
      <c r="BM91" s="316"/>
      <c r="BN91" s="74">
        <v>10276233.989545912</v>
      </c>
      <c r="BO91" s="74">
        <v>17669504.649999999</v>
      </c>
      <c r="BP91" s="74">
        <v>19223000</v>
      </c>
      <c r="BQ91" s="74">
        <v>361041</v>
      </c>
      <c r="BR91" s="74">
        <v>366000</v>
      </c>
      <c r="BS91" s="406">
        <f t="shared" si="50"/>
        <v>0.56159675847160362</v>
      </c>
      <c r="BT91" s="406">
        <f t="shared" si="51"/>
        <v>0.33333333333333337</v>
      </c>
      <c r="BU91" s="74">
        <f t="shared" si="52"/>
        <v>14272131.699868582</v>
      </c>
      <c r="BV91" s="316"/>
      <c r="BW91" s="74">
        <v>29061770</v>
      </c>
      <c r="BX91" s="74">
        <v>10276233.989545912</v>
      </c>
      <c r="BY91" s="74">
        <v>13731036.421620678</v>
      </c>
      <c r="BZ91" s="74">
        <v>7099330.5324102575</v>
      </c>
      <c r="CA91" s="74">
        <f t="shared" si="53"/>
        <v>784635.01991361007</v>
      </c>
      <c r="CB91" s="74">
        <f t="shared" si="54"/>
        <v>438.96749498987742</v>
      </c>
      <c r="CC91" s="74">
        <f t="shared" si="55"/>
        <v>301.27937624867508</v>
      </c>
      <c r="CD91" s="74">
        <f t="shared" si="56"/>
        <v>-137.68811874120235</v>
      </c>
      <c r="CE91" s="74">
        <f t="shared" si="57"/>
        <v>125.55807869350735</v>
      </c>
      <c r="CF91" s="74">
        <f t="shared" si="58"/>
        <v>109.46941206451217</v>
      </c>
      <c r="CG91" s="74">
        <f t="shared" si="59"/>
        <v>93.279173072506651</v>
      </c>
      <c r="CH91" s="74">
        <f t="shared" si="60"/>
        <v>77.302973915720315</v>
      </c>
      <c r="CI91" s="74">
        <f t="shared" si="61"/>
        <v>473856.18898929673</v>
      </c>
      <c r="CJ91" s="74">
        <f t="shared" si="62"/>
        <v>413137.56113146892</v>
      </c>
      <c r="CK91" s="74">
        <f t="shared" si="63"/>
        <v>352035.59917564009</v>
      </c>
      <c r="CL91" s="74">
        <f t="shared" si="64"/>
        <v>291741.42355792847</v>
      </c>
      <c r="CM91" s="316"/>
      <c r="CN91" s="74">
        <v>10791.826491703934</v>
      </c>
      <c r="CO91" s="74">
        <v>1878.9750560000002</v>
      </c>
    </row>
    <row r="92" spans="1:93" x14ac:dyDescent="0.2">
      <c r="A92" s="74">
        <v>230</v>
      </c>
      <c r="B92" s="74" t="s">
        <v>214</v>
      </c>
      <c r="C92" s="74">
        <v>4</v>
      </c>
      <c r="D92" s="74">
        <v>2290</v>
      </c>
      <c r="E92" s="89">
        <v>6184646.5482433308</v>
      </c>
      <c r="F92" s="74">
        <v>2442375.0704843928</v>
      </c>
      <c r="G92" s="74">
        <v>738676.91800000006</v>
      </c>
      <c r="H92" s="74">
        <v>518037.96779999998</v>
      </c>
      <c r="I92" s="74">
        <v>1757495.1564902549</v>
      </c>
      <c r="J92" s="74">
        <v>573248.60695784469</v>
      </c>
      <c r="K92" s="74">
        <v>-109857.50508823193</v>
      </c>
      <c r="L92" s="74">
        <v>-402247</v>
      </c>
      <c r="M92" s="75">
        <v>229780</v>
      </c>
      <c r="N92" s="75">
        <v>16261.718371156911</v>
      </c>
      <c r="O92" s="178">
        <f t="shared" si="35"/>
        <v>-420875.61522791348</v>
      </c>
      <c r="P92" s="179">
        <f t="shared" si="36"/>
        <v>-183.78847826546439</v>
      </c>
      <c r="Q92" s="74"/>
      <c r="R92" s="89">
        <v>16993250</v>
      </c>
      <c r="S92" s="74">
        <v>5851909.9923701324</v>
      </c>
      <c r="T92" s="74">
        <v>777056.95169999998</v>
      </c>
      <c r="U92" s="74">
        <v>7340526.438583523</v>
      </c>
      <c r="V92" s="74">
        <v>1911861.5702323767</v>
      </c>
      <c r="W92" s="74">
        <v>566209.91800000006</v>
      </c>
      <c r="X92" s="178">
        <f t="shared" si="37"/>
        <v>-545685.1291139666</v>
      </c>
      <c r="Y92" s="179">
        <f t="shared" si="38"/>
        <v>-238.29044939474525</v>
      </c>
      <c r="Z92" s="74"/>
      <c r="AA92" s="84">
        <f t="shared" si="39"/>
        <v>124809.51388605312</v>
      </c>
      <c r="AB92" s="132">
        <f t="shared" si="40"/>
        <v>54.50197112928084</v>
      </c>
      <c r="AD92" s="180">
        <v>-115270.02687541251</v>
      </c>
      <c r="AE92" s="187">
        <v>-83887.305595276543</v>
      </c>
      <c r="AF92" s="187">
        <v>-52030.352175675493</v>
      </c>
      <c r="AG92" s="187">
        <v>-20405.999467368121</v>
      </c>
      <c r="AH92" s="188">
        <v>-881.98165035386114</v>
      </c>
      <c r="AJ92" s="74">
        <f t="shared" si="41"/>
        <v>3409534.9218857395</v>
      </c>
      <c r="AK92" s="74">
        <f t="shared" si="42"/>
        <v>259018.98389999999</v>
      </c>
      <c r="AL92" s="74">
        <f t="shared" si="43"/>
        <v>5583031.2820932679</v>
      </c>
      <c r="AM92" s="74">
        <f t="shared" si="44"/>
        <v>10808603.451756669</v>
      </c>
      <c r="AN92" s="74">
        <f t="shared" si="45"/>
        <v>-115270.02687541251</v>
      </c>
      <c r="AO92" s="74">
        <f t="shared" si="46"/>
        <v>-83887.305595276543</v>
      </c>
      <c r="AP92" s="74">
        <f t="shared" si="47"/>
        <v>-52030.352175675493</v>
      </c>
      <c r="AQ92" s="74">
        <f t="shared" si="48"/>
        <v>-20405.999467368121</v>
      </c>
      <c r="AR92" s="74">
        <f t="shared" si="49"/>
        <v>-881.98165035386114</v>
      </c>
      <c r="AS92" s="75">
        <v>811</v>
      </c>
      <c r="AT92" s="75"/>
      <c r="AU92" s="75"/>
      <c r="AV92" s="75">
        <v>0</v>
      </c>
      <c r="AW92" s="75">
        <v>4239.0284247771169</v>
      </c>
      <c r="AX92" s="75">
        <v>-1396.5675524642895</v>
      </c>
      <c r="AY92" s="75">
        <v>1338.6129632745319</v>
      </c>
      <c r="AZ92" s="316"/>
      <c r="BA92" s="74"/>
      <c r="BB92" s="74"/>
      <c r="BC92" s="74"/>
      <c r="BD92" s="74"/>
      <c r="BE92" s="74"/>
      <c r="BF92" s="74"/>
      <c r="BG92" s="74"/>
      <c r="BM92" s="316"/>
      <c r="BN92" s="74">
        <v>6184646.5482433308</v>
      </c>
      <c r="BO92" s="74">
        <v>9650265.1400000006</v>
      </c>
      <c r="BP92" s="74">
        <v>10394000</v>
      </c>
      <c r="BQ92" s="74">
        <v>350595.69</v>
      </c>
      <c r="BR92" s="74">
        <v>335000</v>
      </c>
      <c r="BS92" s="406">
        <f t="shared" si="50"/>
        <v>0.58263625488621273</v>
      </c>
      <c r="BT92" s="406">
        <f t="shared" si="51"/>
        <v>0.33333333333333337</v>
      </c>
      <c r="BU92" s="74">
        <f t="shared" si="52"/>
        <v>6811786.7402795684</v>
      </c>
      <c r="BV92" s="316"/>
      <c r="BW92" s="74">
        <v>16993250</v>
      </c>
      <c r="BX92" s="74">
        <v>6184646.5482433308</v>
      </c>
      <c r="BY92" s="74">
        <v>7367643.862070132</v>
      </c>
      <c r="BZ92" s="74">
        <v>3699089.9562843926</v>
      </c>
      <c r="CA92" s="74">
        <f t="shared" si="53"/>
        <v>-109857.50508823374</v>
      </c>
      <c r="CB92" s="74">
        <f t="shared" si="54"/>
        <v>-238.29044939474574</v>
      </c>
      <c r="CC92" s="74">
        <f t="shared" si="55"/>
        <v>-183.78847826546524</v>
      </c>
      <c r="CD92" s="74">
        <f t="shared" si="56"/>
        <v>54.501971129280491</v>
      </c>
      <c r="CE92" s="74">
        <f t="shared" si="57"/>
        <v>-36.632011176975489</v>
      </c>
      <c r="CF92" s="74">
        <f t="shared" si="58"/>
        <v>-22.720677805970666</v>
      </c>
      <c r="CG92" s="74">
        <f t="shared" si="59"/>
        <v>-8.9109167979761796</v>
      </c>
      <c r="CH92" s="74">
        <f t="shared" si="60"/>
        <v>-0.38514482548203544</v>
      </c>
      <c r="CI92" s="74">
        <f t="shared" si="61"/>
        <v>-83887.305595273865</v>
      </c>
      <c r="CJ92" s="74">
        <f t="shared" si="62"/>
        <v>-52030.35217567283</v>
      </c>
      <c r="CK92" s="74">
        <f t="shared" si="63"/>
        <v>-20405.999467365451</v>
      </c>
      <c r="CL92" s="74">
        <f t="shared" si="64"/>
        <v>-881.98165035386114</v>
      </c>
      <c r="CM92" s="316"/>
      <c r="CN92" s="74">
        <v>5818.6048970007478</v>
      </c>
      <c r="CO92" s="74">
        <v>843.31762200000003</v>
      </c>
    </row>
    <row r="93" spans="1:93" x14ac:dyDescent="0.2">
      <c r="A93" s="74">
        <v>231</v>
      </c>
      <c r="B93" s="74" t="s">
        <v>215</v>
      </c>
      <c r="C93" s="74">
        <v>15</v>
      </c>
      <c r="D93" s="74">
        <v>1289</v>
      </c>
      <c r="E93" s="89">
        <v>3298589.9716609614</v>
      </c>
      <c r="F93" s="74">
        <v>2524852.0546074505</v>
      </c>
      <c r="G93" s="74">
        <v>847448.62900000007</v>
      </c>
      <c r="H93" s="74">
        <v>678168.17039999994</v>
      </c>
      <c r="I93" s="74">
        <v>153886.59208992781</v>
      </c>
      <c r="J93" s="74">
        <v>220495.56939251628</v>
      </c>
      <c r="K93" s="74">
        <v>-863668.8372573927</v>
      </c>
      <c r="L93" s="74">
        <v>-201438</v>
      </c>
      <c r="M93" s="75">
        <v>-24100</v>
      </c>
      <c r="N93" s="75">
        <v>14543.431846194313</v>
      </c>
      <c r="O93" s="178">
        <f t="shared" si="35"/>
        <v>51597.638417734765</v>
      </c>
      <c r="P93" s="179">
        <f t="shared" si="36"/>
        <v>40.029199703440469</v>
      </c>
      <c r="Q93" s="74"/>
      <c r="R93" s="89">
        <v>10612768</v>
      </c>
      <c r="S93" s="74">
        <v>5466685.9194757938</v>
      </c>
      <c r="T93" s="74">
        <v>1017252.2556</v>
      </c>
      <c r="U93" s="74">
        <v>2283077.5725122141</v>
      </c>
      <c r="V93" s="74">
        <v>735382.52062260744</v>
      </c>
      <c r="W93" s="74">
        <v>621910.62900000007</v>
      </c>
      <c r="X93" s="178">
        <f t="shared" si="37"/>
        <v>-488459.10278938338</v>
      </c>
      <c r="Y93" s="179">
        <f t="shared" si="38"/>
        <v>-378.9442224898242</v>
      </c>
      <c r="Z93" s="74"/>
      <c r="AA93" s="84">
        <f t="shared" si="39"/>
        <v>540056.74120711815</v>
      </c>
      <c r="AB93" s="132">
        <f t="shared" si="40"/>
        <v>418.97342219326464</v>
      </c>
      <c r="AD93" s="180">
        <v>-534687.13476313686</v>
      </c>
      <c r="AE93" s="187">
        <v>-517022.36282859748</v>
      </c>
      <c r="AF93" s="187">
        <v>-499090.65411337221</v>
      </c>
      <c r="AG93" s="187">
        <v>-481289.87217406742</v>
      </c>
      <c r="AH93" s="188">
        <v>-463213.19288716494</v>
      </c>
      <c r="AJ93" s="74">
        <f t="shared" si="41"/>
        <v>2941833.8648683433</v>
      </c>
      <c r="AK93" s="74">
        <f t="shared" si="42"/>
        <v>339084.08520000009</v>
      </c>
      <c r="AL93" s="74">
        <f t="shared" si="43"/>
        <v>2129190.9804222863</v>
      </c>
      <c r="AM93" s="74">
        <f t="shared" si="44"/>
        <v>7314178.0283390386</v>
      </c>
      <c r="AN93" s="74">
        <f t="shared" si="45"/>
        <v>-534687.13476313686</v>
      </c>
      <c r="AO93" s="74">
        <f t="shared" si="46"/>
        <v>-517022.36282859748</v>
      </c>
      <c r="AP93" s="74">
        <f t="shared" si="47"/>
        <v>-499090.65411337221</v>
      </c>
      <c r="AQ93" s="74">
        <f t="shared" si="48"/>
        <v>-481289.87217406742</v>
      </c>
      <c r="AR93" s="74">
        <f t="shared" si="49"/>
        <v>-463213.19288716494</v>
      </c>
      <c r="AS93" s="75">
        <v>692</v>
      </c>
      <c r="AT93" s="75"/>
      <c r="AU93" s="75"/>
      <c r="AV93" s="75">
        <v>42</v>
      </c>
      <c r="AW93" s="75">
        <v>2234.9646807481395</v>
      </c>
      <c r="AX93" s="75">
        <v>140.93695046966812</v>
      </c>
      <c r="AY93" s="75">
        <v>514.8869512300912</v>
      </c>
      <c r="AZ93" s="316"/>
      <c r="BA93" s="74"/>
      <c r="BB93" s="74"/>
      <c r="BC93" s="74"/>
      <c r="BD93" s="74"/>
      <c r="BE93" s="74"/>
      <c r="BF93" s="74"/>
      <c r="BG93" s="74"/>
      <c r="BM93" s="316"/>
      <c r="BN93" s="74">
        <v>3298589.9716609614</v>
      </c>
      <c r="BO93" s="74">
        <v>7013673.6799999997</v>
      </c>
      <c r="BP93" s="74">
        <v>6811000</v>
      </c>
      <c r="BQ93" s="74">
        <v>124759.43</v>
      </c>
      <c r="BR93" s="74">
        <v>102000</v>
      </c>
      <c r="BS93" s="406">
        <f t="shared" si="50"/>
        <v>0.53813844588870019</v>
      </c>
      <c r="BT93" s="406">
        <f t="shared" si="51"/>
        <v>0.33333333333333337</v>
      </c>
      <c r="BU93" s="74">
        <f t="shared" si="52"/>
        <v>1780409.0943949847</v>
      </c>
      <c r="BV93" s="316"/>
      <c r="BW93" s="74">
        <v>10612768</v>
      </c>
      <c r="BX93" s="74">
        <v>3298589.9716609614</v>
      </c>
      <c r="BY93" s="74">
        <v>7331386.8040757934</v>
      </c>
      <c r="BZ93" s="74">
        <v>4050468.8540074509</v>
      </c>
      <c r="CA93" s="74">
        <f t="shared" si="53"/>
        <v>-863668.83725739387</v>
      </c>
      <c r="CB93" s="74">
        <f t="shared" si="54"/>
        <v>-378.94422248982539</v>
      </c>
      <c r="CC93" s="74">
        <f t="shared" si="55"/>
        <v>40.029199703439652</v>
      </c>
      <c r="CD93" s="74">
        <f t="shared" si="56"/>
        <v>418.97342219326504</v>
      </c>
      <c r="CE93" s="74">
        <f t="shared" si="57"/>
        <v>-401.10346224096003</v>
      </c>
      <c r="CF93" s="74">
        <f t="shared" si="58"/>
        <v>-387.19212886995518</v>
      </c>
      <c r="CG93" s="74">
        <f t="shared" si="59"/>
        <v>-373.38236786196074</v>
      </c>
      <c r="CH93" s="74">
        <f t="shared" si="60"/>
        <v>-359.35856701874707</v>
      </c>
      <c r="CI93" s="74">
        <f t="shared" si="61"/>
        <v>-517022.36282859748</v>
      </c>
      <c r="CJ93" s="74">
        <f t="shared" si="62"/>
        <v>-499090.65411337221</v>
      </c>
      <c r="CK93" s="74">
        <f t="shared" si="63"/>
        <v>-481289.87217406742</v>
      </c>
      <c r="CL93" s="74">
        <f t="shared" si="64"/>
        <v>-463213.19288716494</v>
      </c>
      <c r="CM93" s="316"/>
      <c r="CN93" s="74">
        <v>5374.9680524501327</v>
      </c>
      <c r="CO93" s="74">
        <v>1103.994696</v>
      </c>
    </row>
    <row r="94" spans="1:93" x14ac:dyDescent="0.2">
      <c r="A94" s="74">
        <v>232</v>
      </c>
      <c r="B94" s="74" t="s">
        <v>216</v>
      </c>
      <c r="C94" s="74">
        <v>14</v>
      </c>
      <c r="D94" s="74">
        <v>12890</v>
      </c>
      <c r="E94" s="89">
        <v>32386522.3403586</v>
      </c>
      <c r="F94" s="74">
        <v>18520993.484253012</v>
      </c>
      <c r="G94" s="74">
        <v>3798713.4171000007</v>
      </c>
      <c r="H94" s="74">
        <v>3589611.8865999999</v>
      </c>
      <c r="I94" s="74">
        <v>7903063.678815946</v>
      </c>
      <c r="J94" s="74">
        <v>2775171.9073106442</v>
      </c>
      <c r="K94" s="74">
        <v>17854.550463376247</v>
      </c>
      <c r="L94" s="74">
        <v>-589482</v>
      </c>
      <c r="M94" s="75">
        <v>-5500</v>
      </c>
      <c r="N94" s="75">
        <v>107229.34325815397</v>
      </c>
      <c r="O94" s="178">
        <f t="shared" si="35"/>
        <v>3731133.9274425358</v>
      </c>
      <c r="P94" s="179">
        <f t="shared" si="36"/>
        <v>289.45957544162417</v>
      </c>
      <c r="Q94" s="74"/>
      <c r="R94" s="89">
        <v>91942521</v>
      </c>
      <c r="S94" s="74">
        <v>40916535.513173759</v>
      </c>
      <c r="T94" s="74">
        <v>5384417.8298999993</v>
      </c>
      <c r="U94" s="74">
        <v>36579498.937561683</v>
      </c>
      <c r="V94" s="74">
        <v>9255573.3341117036</v>
      </c>
      <c r="W94" s="74">
        <v>3203731.4171000007</v>
      </c>
      <c r="X94" s="178">
        <f t="shared" si="37"/>
        <v>3397236.0318471491</v>
      </c>
      <c r="Y94" s="179">
        <f t="shared" si="38"/>
        <v>263.55593730389057</v>
      </c>
      <c r="Z94" s="74"/>
      <c r="AA94" s="84">
        <f t="shared" si="39"/>
        <v>333897.89559538662</v>
      </c>
      <c r="AB94" s="132">
        <f t="shared" si="40"/>
        <v>25.90363813773364</v>
      </c>
      <c r="AD94" s="180">
        <v>-280201.83115556877</v>
      </c>
      <c r="AE94" s="187">
        <v>-103554.11181017452</v>
      </c>
      <c r="AF94" s="187">
        <v>22960.87093746366</v>
      </c>
      <c r="AG94" s="187">
        <v>7618.6903305125797</v>
      </c>
      <c r="AH94" s="188">
        <v>-4964.516800463437</v>
      </c>
      <c r="AJ94" s="74">
        <f t="shared" si="41"/>
        <v>22395542.028920747</v>
      </c>
      <c r="AK94" s="74">
        <f t="shared" si="42"/>
        <v>1794805.9432999995</v>
      </c>
      <c r="AL94" s="74">
        <f t="shared" si="43"/>
        <v>28676435.258745737</v>
      </c>
      <c r="AM94" s="74">
        <f t="shared" si="44"/>
        <v>59555998.6596414</v>
      </c>
      <c r="AN94" s="74">
        <f t="shared" si="45"/>
        <v>-280201.83115556877</v>
      </c>
      <c r="AO94" s="74">
        <f t="shared" si="46"/>
        <v>-103554.11181017452</v>
      </c>
      <c r="AP94" s="74">
        <f t="shared" si="47"/>
        <v>22960.87093746366</v>
      </c>
      <c r="AQ94" s="74">
        <f t="shared" si="48"/>
        <v>7618.6903305125797</v>
      </c>
      <c r="AR94" s="74">
        <f t="shared" si="49"/>
        <v>-4964.516800463437</v>
      </c>
      <c r="AS94" s="75">
        <v>5578</v>
      </c>
      <c r="AT94" s="75"/>
      <c r="AU94" s="75"/>
      <c r="AV94" s="75">
        <v>0</v>
      </c>
      <c r="AW94" s="75">
        <v>23417.23025086716</v>
      </c>
      <c r="AX94" s="75">
        <v>-5610.5982719895001</v>
      </c>
      <c r="AY94" s="75">
        <v>6480.4014268010596</v>
      </c>
      <c r="AZ94" s="316"/>
      <c r="BA94" s="74"/>
      <c r="BB94" s="74"/>
      <c r="BC94" s="74"/>
      <c r="BD94" s="74"/>
      <c r="BE94" s="74"/>
      <c r="BF94" s="74"/>
      <c r="BG94" s="74"/>
      <c r="BM94" s="316"/>
      <c r="BN94" s="74">
        <v>32386522.3403586</v>
      </c>
      <c r="BO94" s="74">
        <v>56336001.239999995</v>
      </c>
      <c r="BP94" s="74">
        <v>57682000</v>
      </c>
      <c r="BQ94" s="74">
        <v>1345572.14</v>
      </c>
      <c r="BR94" s="74">
        <v>1345000</v>
      </c>
      <c r="BS94" s="406">
        <f t="shared" si="50"/>
        <v>0.54734697715817437</v>
      </c>
      <c r="BT94" s="406">
        <f t="shared" si="51"/>
        <v>0.33333333333333326</v>
      </c>
      <c r="BU94" s="74">
        <f t="shared" si="52"/>
        <v>35174691.236010179</v>
      </c>
      <c r="BV94" s="316"/>
      <c r="BW94" s="74">
        <v>91942521</v>
      </c>
      <c r="BX94" s="74">
        <v>32386522.3403586</v>
      </c>
      <c r="BY94" s="74">
        <v>50099666.760173753</v>
      </c>
      <c r="BZ94" s="74">
        <v>25909318.787953012</v>
      </c>
      <c r="CA94" s="74">
        <f t="shared" si="53"/>
        <v>17854.55046336813</v>
      </c>
      <c r="CB94" s="74">
        <f t="shared" si="54"/>
        <v>263.55593730389006</v>
      </c>
      <c r="CC94" s="74">
        <f t="shared" si="55"/>
        <v>289.45957544162337</v>
      </c>
      <c r="CD94" s="74">
        <f t="shared" si="56"/>
        <v>25.90363813773331</v>
      </c>
      <c r="CE94" s="74">
        <f t="shared" si="57"/>
        <v>-8.0336781854283057</v>
      </c>
      <c r="CF94" s="74">
        <f t="shared" si="58"/>
        <v>1.7812933233098263</v>
      </c>
      <c r="CG94" s="74">
        <f t="shared" si="59"/>
        <v>0.59105433130431184</v>
      </c>
      <c r="CH94" s="74">
        <f t="shared" si="60"/>
        <v>-0.38514482548203544</v>
      </c>
      <c r="CI94" s="74">
        <f t="shared" si="61"/>
        <v>-103554.11181017086</v>
      </c>
      <c r="CJ94" s="74">
        <f t="shared" si="62"/>
        <v>22960.87093746366</v>
      </c>
      <c r="CK94" s="74">
        <f t="shared" si="63"/>
        <v>7618.6903305125797</v>
      </c>
      <c r="CL94" s="74">
        <f t="shared" si="64"/>
        <v>-4964.516800463437</v>
      </c>
      <c r="CM94" s="316"/>
      <c r="CN94" s="74">
        <v>41187.01256768356</v>
      </c>
      <c r="CO94" s="74">
        <v>5843.5542340000002</v>
      </c>
    </row>
    <row r="95" spans="1:93" x14ac:dyDescent="0.2">
      <c r="A95" s="74">
        <v>233</v>
      </c>
      <c r="B95" s="74" t="s">
        <v>217</v>
      </c>
      <c r="C95" s="74">
        <v>14</v>
      </c>
      <c r="D95" s="74">
        <v>15312</v>
      </c>
      <c r="E95" s="89">
        <v>43456367.178099155</v>
      </c>
      <c r="F95" s="74">
        <v>21895298.271247085</v>
      </c>
      <c r="G95" s="74">
        <v>4206886.8499999996</v>
      </c>
      <c r="H95" s="74">
        <v>2877537.2357999999</v>
      </c>
      <c r="I95" s="74">
        <v>10789894.860651322</v>
      </c>
      <c r="J95" s="74">
        <v>3306874.487345282</v>
      </c>
      <c r="K95" s="74">
        <v>2494170.1595986546</v>
      </c>
      <c r="L95" s="74">
        <v>-707248</v>
      </c>
      <c r="M95" s="75">
        <v>-44300</v>
      </c>
      <c r="N95" s="75">
        <v>128242.47291566781</v>
      </c>
      <c r="O95" s="178">
        <f t="shared" si="35"/>
        <v>1490989.1594588608</v>
      </c>
      <c r="P95" s="179">
        <f t="shared" si="36"/>
        <v>97.373900173645552</v>
      </c>
      <c r="Q95" s="74"/>
      <c r="R95" s="89">
        <v>112508360</v>
      </c>
      <c r="S95" s="74">
        <v>49387323.691500425</v>
      </c>
      <c r="T95" s="74">
        <v>4316305.8536999999</v>
      </c>
      <c r="U95" s="74">
        <v>46533851.115028784</v>
      </c>
      <c r="V95" s="74">
        <v>11028873.290227223</v>
      </c>
      <c r="W95" s="74">
        <v>3455338.8499999996</v>
      </c>
      <c r="X95" s="178">
        <f t="shared" si="37"/>
        <v>2213332.8004564345</v>
      </c>
      <c r="Y95" s="179">
        <f t="shared" si="38"/>
        <v>144.54890285112555</v>
      </c>
      <c r="Z95" s="74"/>
      <c r="AA95" s="84">
        <f t="shared" si="39"/>
        <v>-722343.64099757373</v>
      </c>
      <c r="AB95" s="132">
        <f t="shared" si="40"/>
        <v>-47.175002677479995</v>
      </c>
      <c r="AD95" s="180">
        <v>786129.06680846482</v>
      </c>
      <c r="AE95" s="187">
        <v>536608.46778726054</v>
      </c>
      <c r="AF95" s="187">
        <v>290258.8043640863</v>
      </c>
      <c r="AG95" s="187">
        <v>42353.864918497908</v>
      </c>
      <c r="AH95" s="188">
        <v>-5897.3375677809263</v>
      </c>
      <c r="AJ95" s="74">
        <f t="shared" si="41"/>
        <v>27492025.42025334</v>
      </c>
      <c r="AK95" s="74">
        <f t="shared" si="42"/>
        <v>1438768.6179</v>
      </c>
      <c r="AL95" s="74">
        <f t="shared" si="43"/>
        <v>35743956.254377462</v>
      </c>
      <c r="AM95" s="74">
        <f t="shared" si="44"/>
        <v>69051992.821900845</v>
      </c>
      <c r="AN95" s="74">
        <f t="shared" si="45"/>
        <v>786129.06680846482</v>
      </c>
      <c r="AO95" s="74">
        <f t="shared" si="46"/>
        <v>536608.46778726054</v>
      </c>
      <c r="AP95" s="74">
        <f t="shared" si="47"/>
        <v>290258.8043640863</v>
      </c>
      <c r="AQ95" s="74">
        <f t="shared" si="48"/>
        <v>42353.864918497908</v>
      </c>
      <c r="AR95" s="74">
        <f t="shared" si="49"/>
        <v>-5897.3375677809263</v>
      </c>
      <c r="AS95" s="75">
        <v>6240</v>
      </c>
      <c r="AT95" s="75"/>
      <c r="AU95" s="75"/>
      <c r="AV95" s="75">
        <v>0</v>
      </c>
      <c r="AW95" s="75">
        <v>30170.155783381968</v>
      </c>
      <c r="AX95" s="75">
        <v>-6520.8800575436162</v>
      </c>
      <c r="AY95" s="75">
        <v>7721.9988028819416</v>
      </c>
      <c r="AZ95" s="316"/>
      <c r="BA95" s="74"/>
      <c r="BB95" s="74"/>
      <c r="BC95" s="74"/>
      <c r="BD95" s="74"/>
      <c r="BE95" s="74"/>
      <c r="BF95" s="74"/>
      <c r="BG95" s="74"/>
      <c r="BM95" s="316"/>
      <c r="BN95" s="74">
        <v>43456367.178099155</v>
      </c>
      <c r="BO95" s="74">
        <v>64621660.729999989</v>
      </c>
      <c r="BP95" s="74">
        <v>67927000</v>
      </c>
      <c r="BQ95" s="74">
        <v>1548437.96</v>
      </c>
      <c r="BR95" s="74">
        <v>1603000</v>
      </c>
      <c r="BS95" s="406">
        <f t="shared" si="50"/>
        <v>0.55666157558938001</v>
      </c>
      <c r="BT95" s="406">
        <f t="shared" si="51"/>
        <v>0.33333333333333337</v>
      </c>
      <c r="BU95" s="74">
        <f t="shared" si="52"/>
        <v>45960125.216858052</v>
      </c>
      <c r="BV95" s="316"/>
      <c r="BW95" s="74">
        <v>112508360</v>
      </c>
      <c r="BX95" s="74">
        <v>43456367.178099155</v>
      </c>
      <c r="BY95" s="74">
        <v>57910516.395200424</v>
      </c>
      <c r="BZ95" s="74">
        <v>28979722.357047081</v>
      </c>
      <c r="CA95" s="74">
        <f t="shared" si="53"/>
        <v>2494170.1595986476</v>
      </c>
      <c r="CB95" s="74">
        <f t="shared" si="54"/>
        <v>144.54890285112518</v>
      </c>
      <c r="CC95" s="74">
        <f t="shared" si="55"/>
        <v>97.373900173644628</v>
      </c>
      <c r="CD95" s="74">
        <f t="shared" si="56"/>
        <v>-47.175002677480549</v>
      </c>
      <c r="CE95" s="74">
        <f t="shared" si="57"/>
        <v>35.044962629785552</v>
      </c>
      <c r="CF95" s="74">
        <f t="shared" si="58"/>
        <v>18.956296000790374</v>
      </c>
      <c r="CG95" s="74">
        <f t="shared" si="59"/>
        <v>2.7660570087848608</v>
      </c>
      <c r="CH95" s="74">
        <f t="shared" si="60"/>
        <v>-0.38514482548203544</v>
      </c>
      <c r="CI95" s="74">
        <f t="shared" si="61"/>
        <v>536608.46778727637</v>
      </c>
      <c r="CJ95" s="74">
        <f t="shared" si="62"/>
        <v>290258.80436410219</v>
      </c>
      <c r="CK95" s="74">
        <f t="shared" si="63"/>
        <v>42353.864918513791</v>
      </c>
      <c r="CL95" s="74">
        <f t="shared" si="64"/>
        <v>-5897.3375677809263</v>
      </c>
      <c r="CM95" s="316"/>
      <c r="CN95" s="74">
        <v>49989.309856144886</v>
      </c>
      <c r="CO95" s="74">
        <v>4684.3629419999997</v>
      </c>
    </row>
    <row r="96" spans="1:93" x14ac:dyDescent="0.2">
      <c r="A96" s="74">
        <v>235</v>
      </c>
      <c r="B96" s="74" t="s">
        <v>218</v>
      </c>
      <c r="C96" s="74">
        <v>33</v>
      </c>
      <c r="D96" s="74">
        <v>10396</v>
      </c>
      <c r="E96" s="89">
        <v>40801351.832899645</v>
      </c>
      <c r="F96" s="74">
        <v>17325845.435380146</v>
      </c>
      <c r="G96" s="74">
        <v>4745738.344800001</v>
      </c>
      <c r="H96" s="74">
        <v>1405788.0436</v>
      </c>
      <c r="I96" s="74">
        <v>5293279.8363353834</v>
      </c>
      <c r="J96" s="74">
        <v>623644.93774711527</v>
      </c>
      <c r="K96" s="74">
        <v>7363193.4739771765</v>
      </c>
      <c r="L96" s="74">
        <v>2808288</v>
      </c>
      <c r="M96" s="75">
        <v>150000</v>
      </c>
      <c r="N96" s="75">
        <v>227821.98130478151</v>
      </c>
      <c r="O96" s="178">
        <f t="shared" si="35"/>
        <v>-857751.779755041</v>
      </c>
      <c r="P96" s="179">
        <f t="shared" si="36"/>
        <v>-82.507866463547614</v>
      </c>
      <c r="Q96" s="74"/>
      <c r="R96" s="89">
        <v>78465711</v>
      </c>
      <c r="S96" s="74">
        <v>68018332.901793808</v>
      </c>
      <c r="T96" s="74">
        <v>2108682.0653999997</v>
      </c>
      <c r="U96" s="74">
        <v>-858258.26413816959</v>
      </c>
      <c r="V96" s="74">
        <v>2079940.1437295652</v>
      </c>
      <c r="W96" s="74">
        <v>7704026.344800001</v>
      </c>
      <c r="X96" s="178">
        <f t="shared" si="37"/>
        <v>587012.19158521295</v>
      </c>
      <c r="Y96" s="179">
        <f t="shared" si="38"/>
        <v>56.465197343710365</v>
      </c>
      <c r="Z96" s="74"/>
      <c r="AA96" s="84">
        <f t="shared" si="39"/>
        <v>-1444763.9713402539</v>
      </c>
      <c r="AB96" s="132">
        <f t="shared" si="40"/>
        <v>-138.97306380725797</v>
      </c>
      <c r="AD96" s="180">
        <v>1488070.7429396599</v>
      </c>
      <c r="AE96" s="187">
        <v>1318660.0750044168</v>
      </c>
      <c r="AF96" s="187">
        <v>1151402.2967293828</v>
      </c>
      <c r="AG96" s="187">
        <v>983088.57216849341</v>
      </c>
      <c r="AH96" s="188">
        <v>817000.00573454273</v>
      </c>
      <c r="AJ96" s="74">
        <f t="shared" si="41"/>
        <v>50692487.466413662</v>
      </c>
      <c r="AK96" s="74">
        <f t="shared" si="42"/>
        <v>702894.02179999975</v>
      </c>
      <c r="AL96" s="74">
        <f t="shared" si="43"/>
        <v>-6151538.1004735529</v>
      </c>
      <c r="AM96" s="74">
        <f t="shared" si="44"/>
        <v>37664359.167100355</v>
      </c>
      <c r="AN96" s="74">
        <f t="shared" si="45"/>
        <v>1488070.7429396599</v>
      </c>
      <c r="AO96" s="74">
        <f t="shared" si="46"/>
        <v>1318660.0750044168</v>
      </c>
      <c r="AP96" s="74">
        <f t="shared" si="47"/>
        <v>1151402.2967293828</v>
      </c>
      <c r="AQ96" s="74">
        <f t="shared" si="48"/>
        <v>983088.57216849341</v>
      </c>
      <c r="AR96" s="74">
        <f t="shared" si="49"/>
        <v>817000.00573454273</v>
      </c>
      <c r="AS96" s="75">
        <v>8572</v>
      </c>
      <c r="AT96" s="75"/>
      <c r="AU96" s="75"/>
      <c r="AV96" s="75">
        <v>306</v>
      </c>
      <c r="AW96" s="75">
        <v>7430.7374204844555</v>
      </c>
      <c r="AX96" s="75">
        <v>10113.733531626949</v>
      </c>
      <c r="AY96" s="75">
        <v>1456.2952059824499</v>
      </c>
      <c r="AZ96" s="316"/>
      <c r="BA96" s="74"/>
      <c r="BB96" s="74"/>
      <c r="BC96" s="74"/>
      <c r="BD96" s="74"/>
      <c r="BE96" s="74"/>
      <c r="BF96" s="74"/>
      <c r="BG96" s="74"/>
      <c r="BM96" s="316"/>
      <c r="BN96" s="74">
        <v>40801351.832899645</v>
      </c>
      <c r="BO96" s="74">
        <v>36571861.420000002</v>
      </c>
      <c r="BP96" s="74">
        <v>36012000</v>
      </c>
      <c r="BQ96" s="74">
        <v>1009181.22</v>
      </c>
      <c r="BR96" s="74">
        <v>943000</v>
      </c>
      <c r="BS96" s="406">
        <f t="shared" si="50"/>
        <v>0.74527682911024096</v>
      </c>
      <c r="BT96" s="406">
        <f t="shared" si="51"/>
        <v>0.33333333333333326</v>
      </c>
      <c r="BU96" s="74">
        <f t="shared" si="52"/>
        <v>2667950.5794860739</v>
      </c>
      <c r="BV96" s="316"/>
      <c r="BW96" s="74">
        <v>78465711</v>
      </c>
      <c r="BX96" s="74">
        <v>40801351.832899645</v>
      </c>
      <c r="BY96" s="74">
        <v>74872753.311993808</v>
      </c>
      <c r="BZ96" s="74">
        <v>23477371.823780149</v>
      </c>
      <c r="CA96" s="74">
        <f t="shared" si="53"/>
        <v>7363193.4739771672</v>
      </c>
      <c r="CB96" s="74">
        <f t="shared" si="54"/>
        <v>56.465197343709647</v>
      </c>
      <c r="CC96" s="74">
        <f t="shared" si="55"/>
        <v>-82.507866463548325</v>
      </c>
      <c r="CD96" s="74">
        <f t="shared" si="56"/>
        <v>-138.97306380725797</v>
      </c>
      <c r="CE96" s="74">
        <f t="shared" si="57"/>
        <v>126.84302375956298</v>
      </c>
      <c r="CF96" s="74">
        <f t="shared" si="58"/>
        <v>110.7543571305678</v>
      </c>
      <c r="CG96" s="74">
        <f t="shared" si="59"/>
        <v>94.564118138562279</v>
      </c>
      <c r="CH96" s="74">
        <f t="shared" si="60"/>
        <v>78.587918981775942</v>
      </c>
      <c r="CI96" s="74">
        <f t="shared" si="61"/>
        <v>1318660.0750044168</v>
      </c>
      <c r="CJ96" s="74">
        <f t="shared" si="62"/>
        <v>1151402.2967293828</v>
      </c>
      <c r="CK96" s="74">
        <f t="shared" si="63"/>
        <v>983088.57216849341</v>
      </c>
      <c r="CL96" s="74">
        <f t="shared" si="64"/>
        <v>817000.00573454273</v>
      </c>
      <c r="CM96" s="316"/>
      <c r="CN96" s="74">
        <v>75149.105591336222</v>
      </c>
      <c r="CO96" s="74">
        <v>2288.4921639999998</v>
      </c>
    </row>
    <row r="97" spans="1:93" x14ac:dyDescent="0.2">
      <c r="A97" s="74">
        <v>236</v>
      </c>
      <c r="B97" s="74" t="s">
        <v>219</v>
      </c>
      <c r="C97" s="74">
        <v>16</v>
      </c>
      <c r="D97" s="74">
        <v>4196</v>
      </c>
      <c r="E97" s="89">
        <v>12257779.07342487</v>
      </c>
      <c r="F97" s="74">
        <v>6095272.5526159061</v>
      </c>
      <c r="G97" s="74">
        <v>1141137.6890000002</v>
      </c>
      <c r="H97" s="74">
        <v>611171.88280000002</v>
      </c>
      <c r="I97" s="74">
        <v>4230420.0781471999</v>
      </c>
      <c r="J97" s="74">
        <v>852891.37138425629</v>
      </c>
      <c r="K97" s="74">
        <v>-104928.87593170683</v>
      </c>
      <c r="L97" s="74">
        <v>791784</v>
      </c>
      <c r="M97" s="75">
        <v>-174300</v>
      </c>
      <c r="N97" s="75">
        <v>33867.384287306057</v>
      </c>
      <c r="O97" s="178">
        <f t="shared" si="35"/>
        <v>1219537.0088780914</v>
      </c>
      <c r="P97" s="179">
        <f t="shared" si="36"/>
        <v>290.64275712061283</v>
      </c>
      <c r="Q97" s="74"/>
      <c r="R97" s="89">
        <v>28753700</v>
      </c>
      <c r="S97" s="74">
        <v>13429981.570837941</v>
      </c>
      <c r="T97" s="74">
        <v>916757.82420000003</v>
      </c>
      <c r="U97" s="74">
        <v>10582026.819080867</v>
      </c>
      <c r="V97" s="74">
        <v>2844507.9791572182</v>
      </c>
      <c r="W97" s="74">
        <v>1758621.6890000002</v>
      </c>
      <c r="X97" s="178">
        <f t="shared" si="37"/>
        <v>778195.88227602839</v>
      </c>
      <c r="Y97" s="179">
        <f t="shared" si="38"/>
        <v>185.46136374547865</v>
      </c>
      <c r="Z97" s="74"/>
      <c r="AA97" s="84">
        <f t="shared" si="39"/>
        <v>441341.12660206296</v>
      </c>
      <c r="AB97" s="132">
        <f t="shared" si="40"/>
        <v>105.18139337513416</v>
      </c>
      <c r="AD97" s="180">
        <v>-423861.78708387638</v>
      </c>
      <c r="AE97" s="187">
        <v>-366358.77464219491</v>
      </c>
      <c r="AF97" s="187">
        <v>-307986.81981745869</v>
      </c>
      <c r="AG97" s="187">
        <v>-250041.06262791381</v>
      </c>
      <c r="AH97" s="188">
        <v>-191197.19428978933</v>
      </c>
      <c r="AJ97" s="74">
        <f t="shared" si="41"/>
        <v>7334709.0182220349</v>
      </c>
      <c r="AK97" s="74">
        <f t="shared" si="42"/>
        <v>305585.94140000001</v>
      </c>
      <c r="AL97" s="74">
        <f t="shared" si="43"/>
        <v>6351606.7409336669</v>
      </c>
      <c r="AM97" s="74">
        <f t="shared" si="44"/>
        <v>16495920.92657513</v>
      </c>
      <c r="AN97" s="74">
        <f t="shared" si="45"/>
        <v>-423861.78708387638</v>
      </c>
      <c r="AO97" s="74">
        <f t="shared" si="46"/>
        <v>-366358.77464219491</v>
      </c>
      <c r="AP97" s="74">
        <f t="shared" si="47"/>
        <v>-307986.81981745869</v>
      </c>
      <c r="AQ97" s="74">
        <f t="shared" si="48"/>
        <v>-250041.06262791381</v>
      </c>
      <c r="AR97" s="74">
        <f t="shared" si="49"/>
        <v>-191197.19428978933</v>
      </c>
      <c r="AS97" s="75">
        <v>1524</v>
      </c>
      <c r="AT97" s="75"/>
      <c r="AU97" s="75"/>
      <c r="AV97" s="75">
        <v>22</v>
      </c>
      <c r="AW97" s="75">
        <v>4849.3778817691536</v>
      </c>
      <c r="AX97" s="75">
        <v>-1875.4378391378082</v>
      </c>
      <c r="AY97" s="75">
        <v>1991.616607772962</v>
      </c>
      <c r="AZ97" s="316"/>
      <c r="BA97" s="74"/>
      <c r="BB97" s="74"/>
      <c r="BC97" s="74"/>
      <c r="BD97" s="74"/>
      <c r="BE97" s="74"/>
      <c r="BF97" s="74"/>
      <c r="BG97" s="74"/>
      <c r="BM97" s="316"/>
      <c r="BN97" s="74">
        <v>12257779.07342487</v>
      </c>
      <c r="BO97" s="74">
        <v>15315128.029999999</v>
      </c>
      <c r="BP97" s="74">
        <v>16746000</v>
      </c>
      <c r="BQ97" s="74">
        <v>333754.44</v>
      </c>
      <c r="BR97" s="74">
        <v>491000</v>
      </c>
      <c r="BS97" s="406">
        <f t="shared" si="50"/>
        <v>0.54614438445312019</v>
      </c>
      <c r="BT97" s="406">
        <f t="shared" si="51"/>
        <v>0.33333333333333337</v>
      </c>
      <c r="BU97" s="74">
        <f t="shared" si="52"/>
        <v>8238294.4727749219</v>
      </c>
      <c r="BV97" s="316"/>
      <c r="BW97" s="74">
        <v>28753700</v>
      </c>
      <c r="BX97" s="74">
        <v>12257779.07342487</v>
      </c>
      <c r="BY97" s="74">
        <v>15487877.084037941</v>
      </c>
      <c r="BZ97" s="74">
        <v>7847582.1244159061</v>
      </c>
      <c r="CA97" s="74">
        <f t="shared" si="53"/>
        <v>-104928.87593170883</v>
      </c>
      <c r="CB97" s="74">
        <f t="shared" si="54"/>
        <v>185.46136374547831</v>
      </c>
      <c r="CC97" s="74">
        <f t="shared" si="55"/>
        <v>290.64275712061237</v>
      </c>
      <c r="CD97" s="74">
        <f t="shared" si="56"/>
        <v>105.18139337513406</v>
      </c>
      <c r="CE97" s="74">
        <f t="shared" si="57"/>
        <v>-87.311433422829055</v>
      </c>
      <c r="CF97" s="74">
        <f t="shared" si="58"/>
        <v>-73.400100051824239</v>
      </c>
      <c r="CG97" s="74">
        <f t="shared" si="59"/>
        <v>-59.590339043829751</v>
      </c>
      <c r="CH97" s="74">
        <f t="shared" si="60"/>
        <v>-45.566538200616101</v>
      </c>
      <c r="CI97" s="74">
        <f t="shared" si="61"/>
        <v>-366358.77464219072</v>
      </c>
      <c r="CJ97" s="74">
        <f t="shared" si="62"/>
        <v>-307986.8198174545</v>
      </c>
      <c r="CK97" s="74">
        <f t="shared" si="63"/>
        <v>-250041.06262790965</v>
      </c>
      <c r="CL97" s="74">
        <f t="shared" si="64"/>
        <v>-191197.19428978517</v>
      </c>
      <c r="CM97" s="316"/>
      <c r="CN97" s="74">
        <v>13711.499790129728</v>
      </c>
      <c r="CO97" s="74">
        <v>994.930972</v>
      </c>
    </row>
    <row r="98" spans="1:93" x14ac:dyDescent="0.2">
      <c r="A98" s="74">
        <v>239</v>
      </c>
      <c r="B98" s="74" t="s">
        <v>220</v>
      </c>
      <c r="C98" s="74">
        <v>11</v>
      </c>
      <c r="D98" s="74">
        <v>2095</v>
      </c>
      <c r="E98" s="89">
        <v>4799290.6681616362</v>
      </c>
      <c r="F98" s="74">
        <v>2507767.7321862462</v>
      </c>
      <c r="G98" s="74">
        <v>514825.92050000007</v>
      </c>
      <c r="H98" s="74">
        <v>699119.97199999995</v>
      </c>
      <c r="I98" s="74">
        <v>1142644.8151471829</v>
      </c>
      <c r="J98" s="74">
        <v>457325.71316834074</v>
      </c>
      <c r="K98" s="74">
        <v>195498.780700011</v>
      </c>
      <c r="L98" s="74">
        <v>-468504</v>
      </c>
      <c r="M98" s="75">
        <v>152200</v>
      </c>
      <c r="N98" s="75">
        <v>17734.896038565239</v>
      </c>
      <c r="O98" s="178">
        <f t="shared" si="35"/>
        <v>419323.16157870926</v>
      </c>
      <c r="P98" s="179">
        <f t="shared" si="36"/>
        <v>200.15425373685406</v>
      </c>
      <c r="Q98" s="74"/>
      <c r="R98" s="89">
        <v>16328288</v>
      </c>
      <c r="S98" s="74">
        <v>6159102.4023365276</v>
      </c>
      <c r="T98" s="74">
        <v>1048679.9579999999</v>
      </c>
      <c r="U98" s="74">
        <v>7519848.4045848232</v>
      </c>
      <c r="V98" s="74">
        <v>1525243.0541884638</v>
      </c>
      <c r="W98" s="74">
        <v>198521.92050000007</v>
      </c>
      <c r="X98" s="178">
        <f t="shared" si="37"/>
        <v>123107.73960981518</v>
      </c>
      <c r="Y98" s="179">
        <f t="shared" si="38"/>
        <v>58.762644205162374</v>
      </c>
      <c r="Z98" s="74"/>
      <c r="AA98" s="84">
        <f t="shared" si="39"/>
        <v>296215.42196889408</v>
      </c>
      <c r="AB98" s="132">
        <f t="shared" si="40"/>
        <v>141.39160953169167</v>
      </c>
      <c r="AD98" s="180">
        <v>-287488.24935435434</v>
      </c>
      <c r="AE98" s="187">
        <v>-258777.85586881512</v>
      </c>
      <c r="AF98" s="187">
        <v>-229633.61245656002</v>
      </c>
      <c r="AG98" s="187">
        <v>-200702.16314481158</v>
      </c>
      <c r="AH98" s="188">
        <v>-171322.30037827897</v>
      </c>
      <c r="AJ98" s="74">
        <f t="shared" si="41"/>
        <v>3651334.6701502814</v>
      </c>
      <c r="AK98" s="74">
        <f t="shared" si="42"/>
        <v>349559.98599999992</v>
      </c>
      <c r="AL98" s="74">
        <f t="shared" si="43"/>
        <v>6377203.5894376403</v>
      </c>
      <c r="AM98" s="74">
        <f t="shared" si="44"/>
        <v>11528997.331838364</v>
      </c>
      <c r="AN98" s="74">
        <f t="shared" si="45"/>
        <v>-287488.24935435434</v>
      </c>
      <c r="AO98" s="74">
        <f t="shared" si="46"/>
        <v>-258777.85586881512</v>
      </c>
      <c r="AP98" s="74">
        <f t="shared" si="47"/>
        <v>-229633.61245656002</v>
      </c>
      <c r="AQ98" s="74">
        <f t="shared" si="48"/>
        <v>-200702.16314481158</v>
      </c>
      <c r="AR98" s="74">
        <f t="shared" si="49"/>
        <v>-171322.30037827897</v>
      </c>
      <c r="AS98" s="75">
        <v>762</v>
      </c>
      <c r="AT98" s="75"/>
      <c r="AU98" s="75"/>
      <c r="AV98" s="75">
        <v>18</v>
      </c>
      <c r="AW98" s="75">
        <v>5923.9490176597701</v>
      </c>
      <c r="AX98" s="75">
        <v>-880.71143132434133</v>
      </c>
      <c r="AY98" s="75">
        <v>1067.9173410201231</v>
      </c>
      <c r="AZ98" s="316"/>
      <c r="BA98" s="74"/>
      <c r="BB98" s="74"/>
      <c r="BC98" s="74"/>
      <c r="BD98" s="74"/>
      <c r="BE98" s="74"/>
      <c r="BF98" s="74"/>
      <c r="BG98" s="74"/>
      <c r="BM98" s="316"/>
      <c r="BN98" s="74">
        <v>4799290.6681616362</v>
      </c>
      <c r="BO98" s="74">
        <v>10925001.429999996</v>
      </c>
      <c r="BP98" s="74">
        <v>10589000</v>
      </c>
      <c r="BQ98" s="74">
        <v>237310.58000000002</v>
      </c>
      <c r="BR98" s="74">
        <v>281000</v>
      </c>
      <c r="BS98" s="406">
        <f t="shared" si="50"/>
        <v>0.59283551914400789</v>
      </c>
      <c r="BT98" s="406">
        <f t="shared" si="51"/>
        <v>0.33333333333333326</v>
      </c>
      <c r="BU98" s="74">
        <f t="shared" si="52"/>
        <v>7640619.7111577746</v>
      </c>
      <c r="BV98" s="316"/>
      <c r="BW98" s="74">
        <v>16328288</v>
      </c>
      <c r="BX98" s="74">
        <v>4799290.6681616362</v>
      </c>
      <c r="BY98" s="74">
        <v>7722608.2808365272</v>
      </c>
      <c r="BZ98" s="74">
        <v>3721713.6246862463</v>
      </c>
      <c r="CA98" s="74">
        <f t="shared" si="53"/>
        <v>195498.78070000987</v>
      </c>
      <c r="CB98" s="74">
        <f t="shared" si="54"/>
        <v>58.762644205161962</v>
      </c>
      <c r="CC98" s="74">
        <f t="shared" si="55"/>
        <v>200.15425373685386</v>
      </c>
      <c r="CD98" s="74">
        <f t="shared" si="56"/>
        <v>141.3916095316919</v>
      </c>
      <c r="CE98" s="74">
        <f t="shared" si="57"/>
        <v>-123.52164957938689</v>
      </c>
      <c r="CF98" s="74">
        <f t="shared" si="58"/>
        <v>-109.61031620838207</v>
      </c>
      <c r="CG98" s="74">
        <f t="shared" si="59"/>
        <v>-95.800555200387592</v>
      </c>
      <c r="CH98" s="74">
        <f t="shared" si="60"/>
        <v>-81.776754357173928</v>
      </c>
      <c r="CI98" s="74">
        <f t="shared" si="61"/>
        <v>-258777.85586881553</v>
      </c>
      <c r="CJ98" s="74">
        <f t="shared" si="62"/>
        <v>-229633.61245656046</v>
      </c>
      <c r="CK98" s="74">
        <f t="shared" si="63"/>
        <v>-200702.16314481202</v>
      </c>
      <c r="CL98" s="74">
        <f t="shared" si="64"/>
        <v>-171322.30037827938</v>
      </c>
      <c r="CM98" s="316"/>
      <c r="CN98" s="74">
        <v>6177.5067750366552</v>
      </c>
      <c r="CO98" s="74">
        <v>1138.1022800000001</v>
      </c>
    </row>
    <row r="99" spans="1:93" x14ac:dyDescent="0.2">
      <c r="A99" s="74">
        <v>240</v>
      </c>
      <c r="B99" s="74" t="s">
        <v>221</v>
      </c>
      <c r="C99" s="74">
        <v>19</v>
      </c>
      <c r="D99" s="74">
        <v>19982</v>
      </c>
      <c r="E99" s="89">
        <v>46695893.532581434</v>
      </c>
      <c r="F99" s="74">
        <v>34428038.483540893</v>
      </c>
      <c r="G99" s="74">
        <v>6853163.1804</v>
      </c>
      <c r="H99" s="74">
        <v>3175112.4922000002</v>
      </c>
      <c r="I99" s="74">
        <v>6665522.537387928</v>
      </c>
      <c r="J99" s="74">
        <v>3184813.843092137</v>
      </c>
      <c r="K99" s="74">
        <v>-6108357.624492256</v>
      </c>
      <c r="L99" s="74">
        <v>1211424</v>
      </c>
      <c r="M99" s="75">
        <v>1474000</v>
      </c>
      <c r="N99" s="75">
        <v>210625.14709499295</v>
      </c>
      <c r="O99" s="178">
        <f t="shared" si="35"/>
        <v>4398448.5266422629</v>
      </c>
      <c r="P99" s="179">
        <f t="shared" si="36"/>
        <v>220.12053481344526</v>
      </c>
      <c r="Q99" s="74"/>
      <c r="R99" s="89">
        <v>148620000</v>
      </c>
      <c r="S99" s="74">
        <v>80356352.848171473</v>
      </c>
      <c r="T99" s="74">
        <v>4762668.7383000003</v>
      </c>
      <c r="U99" s="74">
        <v>43919431.234061748</v>
      </c>
      <c r="V99" s="74">
        <v>10621784.54696133</v>
      </c>
      <c r="W99" s="74">
        <v>9538587.180399999</v>
      </c>
      <c r="X99" s="178">
        <f t="shared" si="37"/>
        <v>578824.54789453745</v>
      </c>
      <c r="Y99" s="179">
        <f t="shared" si="38"/>
        <v>28.967297962893475</v>
      </c>
      <c r="Z99" s="74"/>
      <c r="AA99" s="84">
        <f t="shared" si="39"/>
        <v>3819623.9787477255</v>
      </c>
      <c r="AB99" s="132">
        <f t="shared" si="40"/>
        <v>191.15323685055176</v>
      </c>
      <c r="AD99" s="180">
        <v>-3736384.6645788797</v>
      </c>
      <c r="AE99" s="187">
        <v>-3462546.438980767</v>
      </c>
      <c r="AF99" s="187">
        <v>-3184570.1755613489</v>
      </c>
      <c r="AG99" s="187">
        <v>-2908623.531099603</v>
      </c>
      <c r="AH99" s="188">
        <v>-2628399.9426505077</v>
      </c>
      <c r="AJ99" s="74">
        <f t="shared" si="41"/>
        <v>45928314.36463058</v>
      </c>
      <c r="AK99" s="74">
        <f t="shared" si="42"/>
        <v>1587556.2461000001</v>
      </c>
      <c r="AL99" s="74">
        <f t="shared" si="43"/>
        <v>37253908.696673818</v>
      </c>
      <c r="AM99" s="74">
        <f t="shared" si="44"/>
        <v>101924106.46741857</v>
      </c>
      <c r="AN99" s="74">
        <f t="shared" si="45"/>
        <v>-3736384.6645788797</v>
      </c>
      <c r="AO99" s="74">
        <f t="shared" si="46"/>
        <v>-3462546.438980767</v>
      </c>
      <c r="AP99" s="74">
        <f t="shared" si="47"/>
        <v>-3184570.1755613489</v>
      </c>
      <c r="AQ99" s="74">
        <f t="shared" si="48"/>
        <v>-2908623.531099603</v>
      </c>
      <c r="AR99" s="74">
        <f t="shared" si="49"/>
        <v>-2628399.9426505077</v>
      </c>
      <c r="AS99" s="75">
        <v>5065</v>
      </c>
      <c r="AT99" s="75"/>
      <c r="AU99" s="75"/>
      <c r="AV99" s="75">
        <v>93</v>
      </c>
      <c r="AW99" s="75">
        <v>35521.153814012185</v>
      </c>
      <c r="AX99" s="75">
        <v>-1488.8096487613861</v>
      </c>
      <c r="AY99" s="75">
        <v>7436.9707038691931</v>
      </c>
      <c r="AZ99" s="316"/>
      <c r="BA99" s="74"/>
      <c r="BB99" s="74"/>
      <c r="BC99" s="74"/>
      <c r="BD99" s="74"/>
      <c r="BE99" s="74"/>
      <c r="BF99" s="74"/>
      <c r="BG99" s="74"/>
      <c r="BM99" s="316"/>
      <c r="BN99" s="74">
        <v>46695893.532581434</v>
      </c>
      <c r="BO99" s="74">
        <v>97060864.01000002</v>
      </c>
      <c r="BP99" s="74">
        <v>98715000</v>
      </c>
      <c r="BQ99" s="74">
        <v>2379614.2400000002</v>
      </c>
      <c r="BR99" s="74">
        <v>2540000</v>
      </c>
      <c r="BS99" s="406">
        <f t="shared" si="50"/>
        <v>0.5715579756514011</v>
      </c>
      <c r="BT99" s="406">
        <f t="shared" si="51"/>
        <v>0.33333333333333337</v>
      </c>
      <c r="BU99" s="74">
        <f t="shared" si="52"/>
        <v>38582521.776050754</v>
      </c>
      <c r="BV99" s="316"/>
      <c r="BW99" s="74">
        <v>148620000</v>
      </c>
      <c r="BX99" s="74">
        <v>46695893.532581434</v>
      </c>
      <c r="BY99" s="74">
        <v>91972184.766871467</v>
      </c>
      <c r="BZ99" s="74">
        <v>44456314.156140894</v>
      </c>
      <c r="CA99" s="74">
        <f t="shared" si="53"/>
        <v>-6108357.624492269</v>
      </c>
      <c r="CB99" s="74">
        <f t="shared" si="54"/>
        <v>28.967297962894222</v>
      </c>
      <c r="CC99" s="74">
        <f t="shared" si="55"/>
        <v>220.12053481344449</v>
      </c>
      <c r="CD99" s="74">
        <f t="shared" si="56"/>
        <v>191.15323685055029</v>
      </c>
      <c r="CE99" s="74">
        <f t="shared" si="57"/>
        <v>-173.28327689824528</v>
      </c>
      <c r="CF99" s="74">
        <f t="shared" si="58"/>
        <v>-159.37194352724046</v>
      </c>
      <c r="CG99" s="74">
        <f t="shared" si="59"/>
        <v>-145.56218251924597</v>
      </c>
      <c r="CH99" s="74">
        <f t="shared" si="60"/>
        <v>-131.53838167603232</v>
      </c>
      <c r="CI99" s="74">
        <f t="shared" si="61"/>
        <v>-3462546.4389807372</v>
      </c>
      <c r="CJ99" s="74">
        <f t="shared" si="62"/>
        <v>-3184570.1755613191</v>
      </c>
      <c r="CK99" s="74">
        <f t="shared" si="63"/>
        <v>-2908623.5310995728</v>
      </c>
      <c r="CL99" s="74">
        <f t="shared" si="64"/>
        <v>-2628399.9426504779</v>
      </c>
      <c r="CM99" s="316"/>
      <c r="CN99" s="74">
        <v>80337.874750972755</v>
      </c>
      <c r="CO99" s="74">
        <v>5168.7877780000008</v>
      </c>
    </row>
    <row r="100" spans="1:93" x14ac:dyDescent="0.2">
      <c r="A100" s="74">
        <v>241</v>
      </c>
      <c r="B100" s="74" t="s">
        <v>223</v>
      </c>
      <c r="C100" s="74">
        <v>19</v>
      </c>
      <c r="D100" s="74">
        <v>7904</v>
      </c>
      <c r="E100" s="89">
        <v>20826784.229494348</v>
      </c>
      <c r="F100" s="74">
        <v>13898146.794420227</v>
      </c>
      <c r="G100" s="74">
        <v>3988821.7726000003</v>
      </c>
      <c r="H100" s="74">
        <v>1131390.0967999999</v>
      </c>
      <c r="I100" s="74">
        <v>3994292.1343114018</v>
      </c>
      <c r="J100" s="74">
        <v>1176150.4663062114</v>
      </c>
      <c r="K100" s="74">
        <v>-1201596.3587326356</v>
      </c>
      <c r="L100" s="74">
        <v>-357449</v>
      </c>
      <c r="M100" s="75">
        <v>-22200</v>
      </c>
      <c r="N100" s="75">
        <v>89525.390882184685</v>
      </c>
      <c r="O100" s="178">
        <f t="shared" si="35"/>
        <v>1870297.0670930445</v>
      </c>
      <c r="P100" s="179">
        <f t="shared" si="36"/>
        <v>236.62665322533459</v>
      </c>
      <c r="Q100" s="74"/>
      <c r="R100" s="89">
        <v>54431200</v>
      </c>
      <c r="S100" s="74">
        <v>33528885.781574626</v>
      </c>
      <c r="T100" s="74">
        <v>1697085.1451999999</v>
      </c>
      <c r="U100" s="74">
        <v>12665617.271247588</v>
      </c>
      <c r="V100" s="74">
        <v>3922620.7443834133</v>
      </c>
      <c r="W100" s="74">
        <v>3609172.7726000003</v>
      </c>
      <c r="X100" s="178">
        <f t="shared" si="37"/>
        <v>992181.71500562131</v>
      </c>
      <c r="Y100" s="179">
        <f t="shared" si="38"/>
        <v>125.52906313330229</v>
      </c>
      <c r="Z100" s="74"/>
      <c r="AA100" s="84">
        <f t="shared" si="39"/>
        <v>878115.35208742321</v>
      </c>
      <c r="AB100" s="132">
        <f t="shared" si="40"/>
        <v>111.09759009203229</v>
      </c>
      <c r="AD100" s="180">
        <v>-845189.5418987103</v>
      </c>
      <c r="AE100" s="187">
        <v>-736871.18862438935</v>
      </c>
      <c r="AF100" s="187">
        <v>-626916.00965996727</v>
      </c>
      <c r="AG100" s="187">
        <v>-517763.65865277895</v>
      </c>
      <c r="AH100" s="188">
        <v>-406919.53678801819</v>
      </c>
      <c r="AJ100" s="74">
        <f t="shared" si="41"/>
        <v>19630738.987154398</v>
      </c>
      <c r="AK100" s="74">
        <f t="shared" si="42"/>
        <v>565695.04839999997</v>
      </c>
      <c r="AL100" s="74">
        <f t="shared" si="43"/>
        <v>8671325.1369361859</v>
      </c>
      <c r="AM100" s="74">
        <f t="shared" si="44"/>
        <v>33604415.770505652</v>
      </c>
      <c r="AN100" s="74">
        <f t="shared" si="45"/>
        <v>-845189.5418987103</v>
      </c>
      <c r="AO100" s="74">
        <f t="shared" si="46"/>
        <v>-736871.18862438935</v>
      </c>
      <c r="AP100" s="74">
        <f t="shared" si="47"/>
        <v>-626916.00965996727</v>
      </c>
      <c r="AQ100" s="74">
        <f t="shared" si="48"/>
        <v>-517763.65865277895</v>
      </c>
      <c r="AR100" s="74">
        <f t="shared" si="49"/>
        <v>-406919.53678801819</v>
      </c>
      <c r="AS100" s="75">
        <v>1607</v>
      </c>
      <c r="AT100" s="75"/>
      <c r="AU100" s="75"/>
      <c r="AV100" s="75">
        <v>93</v>
      </c>
      <c r="AW100" s="75">
        <v>9145.0376891036594</v>
      </c>
      <c r="AX100" s="75">
        <v>393.23228370074992</v>
      </c>
      <c r="AY100" s="75">
        <v>2746.4702780772018</v>
      </c>
      <c r="AZ100" s="316"/>
      <c r="BA100" s="74"/>
      <c r="BB100" s="74"/>
      <c r="BC100" s="74"/>
      <c r="BD100" s="74"/>
      <c r="BE100" s="74"/>
      <c r="BF100" s="74"/>
      <c r="BG100" s="74"/>
      <c r="BM100" s="316"/>
      <c r="BN100" s="74">
        <v>20826784.229494348</v>
      </c>
      <c r="BO100" s="74">
        <v>31878960.259999998</v>
      </c>
      <c r="BP100" s="74">
        <v>33709000</v>
      </c>
      <c r="BQ100" s="74">
        <v>552809.84</v>
      </c>
      <c r="BR100" s="74">
        <v>587000</v>
      </c>
      <c r="BS100" s="406">
        <f t="shared" si="50"/>
        <v>0.58548736498551412</v>
      </c>
      <c r="BT100" s="406">
        <f t="shared" si="51"/>
        <v>0.33333333333333337</v>
      </c>
      <c r="BU100" s="74">
        <f t="shared" si="52"/>
        <v>10216199.056280753</v>
      </c>
      <c r="BV100" s="316"/>
      <c r="BW100" s="74">
        <v>54431200</v>
      </c>
      <c r="BX100" s="74">
        <v>20826784.229494348</v>
      </c>
      <c r="BY100" s="74">
        <v>39214792.699374631</v>
      </c>
      <c r="BZ100" s="74">
        <v>19018358.663820226</v>
      </c>
      <c r="CA100" s="74">
        <f t="shared" si="53"/>
        <v>-1201596.358732637</v>
      </c>
      <c r="CB100" s="74">
        <f t="shared" si="54"/>
        <v>125.52906313330294</v>
      </c>
      <c r="CC100" s="74">
        <f t="shared" si="55"/>
        <v>236.62665322533405</v>
      </c>
      <c r="CD100" s="74">
        <f t="shared" si="56"/>
        <v>111.09759009203111</v>
      </c>
      <c r="CE100" s="74">
        <f t="shared" si="57"/>
        <v>-93.227630139726102</v>
      </c>
      <c r="CF100" s="74">
        <f t="shared" si="58"/>
        <v>-79.316296768721287</v>
      </c>
      <c r="CG100" s="74">
        <f t="shared" si="59"/>
        <v>-65.506535760726806</v>
      </c>
      <c r="CH100" s="74">
        <f t="shared" si="60"/>
        <v>-51.482734917513149</v>
      </c>
      <c r="CI100" s="74">
        <f t="shared" si="61"/>
        <v>-736871.18862439506</v>
      </c>
      <c r="CJ100" s="74">
        <f t="shared" si="62"/>
        <v>-626916.00965997309</v>
      </c>
      <c r="CK100" s="74">
        <f t="shared" si="63"/>
        <v>-517763.65865278465</v>
      </c>
      <c r="CL100" s="74">
        <f t="shared" si="64"/>
        <v>-406919.53678802395</v>
      </c>
      <c r="CM100" s="316"/>
      <c r="CN100" s="74">
        <v>33442.081610659094</v>
      </c>
      <c r="CO100" s="74">
        <v>1841.797832</v>
      </c>
    </row>
    <row r="101" spans="1:93" x14ac:dyDescent="0.2">
      <c r="A101" s="74">
        <v>244</v>
      </c>
      <c r="B101" s="74" t="s">
        <v>224</v>
      </c>
      <c r="C101" s="74">
        <v>17</v>
      </c>
      <c r="D101" s="74">
        <v>19116</v>
      </c>
      <c r="E101" s="89">
        <v>57547596.200200334</v>
      </c>
      <c r="F101" s="74">
        <v>28531217.103797998</v>
      </c>
      <c r="G101" s="74">
        <v>4629853.5709999995</v>
      </c>
      <c r="H101" s="74">
        <v>3294328.1517999996</v>
      </c>
      <c r="I101" s="74">
        <v>20165479.558963556</v>
      </c>
      <c r="J101" s="74">
        <v>2114879.8548179176</v>
      </c>
      <c r="K101" s="74">
        <v>-843977.50751002331</v>
      </c>
      <c r="L101" s="74">
        <v>-90146</v>
      </c>
      <c r="M101" s="75">
        <v>-244000</v>
      </c>
      <c r="N101" s="75">
        <v>200288.00945711226</v>
      </c>
      <c r="O101" s="178">
        <f t="shared" si="35"/>
        <v>210326.54212622344</v>
      </c>
      <c r="P101" s="179">
        <f t="shared" si="36"/>
        <v>11.002643969775237</v>
      </c>
      <c r="Q101" s="74"/>
      <c r="R101" s="89">
        <v>116530620</v>
      </c>
      <c r="S101" s="74">
        <v>72067922.444747731</v>
      </c>
      <c r="T101" s="74">
        <v>4941492.2276999997</v>
      </c>
      <c r="U101" s="74">
        <v>26729821.038580388</v>
      </c>
      <c r="V101" s="74">
        <v>7053410.1103927214</v>
      </c>
      <c r="W101" s="74">
        <v>4295707.5709999995</v>
      </c>
      <c r="X101" s="178">
        <f t="shared" si="37"/>
        <v>-1442266.6075791568</v>
      </c>
      <c r="Y101" s="179">
        <f t="shared" si="38"/>
        <v>-75.448138082190667</v>
      </c>
      <c r="Z101" s="74"/>
      <c r="AA101" s="84">
        <f t="shared" si="39"/>
        <v>1652593.1497053802</v>
      </c>
      <c r="AB101" s="132">
        <f t="shared" si="40"/>
        <v>86.450782051965902</v>
      </c>
      <c r="AD101" s="180">
        <v>-1572961.344598223</v>
      </c>
      <c r="AE101" s="187">
        <v>-1310990.9952571401</v>
      </c>
      <c r="AF101" s="187">
        <v>-1045061.9465370121</v>
      </c>
      <c r="AG101" s="187">
        <v>-781074.55510818947</v>
      </c>
      <c r="AH101" s="188">
        <v>-512995.57818931737</v>
      </c>
      <c r="AJ101" s="74">
        <f t="shared" si="41"/>
        <v>43536705.340949729</v>
      </c>
      <c r="AK101" s="74">
        <f t="shared" si="42"/>
        <v>1647164.0759000001</v>
      </c>
      <c r="AL101" s="74">
        <f t="shared" si="43"/>
        <v>6564341.479616832</v>
      </c>
      <c r="AM101" s="74">
        <f t="shared" si="44"/>
        <v>58983023.799799666</v>
      </c>
      <c r="AN101" s="74">
        <f t="shared" si="45"/>
        <v>-1572961.344598223</v>
      </c>
      <c r="AO101" s="74">
        <f t="shared" si="46"/>
        <v>-1310990.9952571401</v>
      </c>
      <c r="AP101" s="74">
        <f t="shared" si="47"/>
        <v>-1045061.9465370121</v>
      </c>
      <c r="AQ101" s="74">
        <f t="shared" si="48"/>
        <v>-781074.55510818947</v>
      </c>
      <c r="AR101" s="74">
        <f t="shared" si="49"/>
        <v>-512995.57818931737</v>
      </c>
      <c r="AS101" s="75">
        <v>7128</v>
      </c>
      <c r="AT101" s="75"/>
      <c r="AU101" s="75"/>
      <c r="AV101" s="75">
        <v>81</v>
      </c>
      <c r="AW101" s="75">
        <v>7901.9031777344608</v>
      </c>
      <c r="AX101" s="75">
        <v>239.32673106792552</v>
      </c>
      <c r="AY101" s="75">
        <v>4938.530255574804</v>
      </c>
      <c r="AZ101" s="316"/>
      <c r="BA101" s="74"/>
      <c r="BB101" s="74"/>
      <c r="BC101" s="74"/>
      <c r="BD101" s="74"/>
      <c r="BE101" s="74"/>
      <c r="BF101" s="74"/>
      <c r="BG101" s="74"/>
      <c r="BM101" s="316"/>
      <c r="BN101" s="74">
        <v>57547596.200200334</v>
      </c>
      <c r="BO101" s="74">
        <v>55175107.440000005</v>
      </c>
      <c r="BP101" s="74">
        <v>56424000</v>
      </c>
      <c r="BQ101" s="74">
        <v>1348777.77</v>
      </c>
      <c r="BR101" s="74">
        <v>1379000</v>
      </c>
      <c r="BS101" s="406">
        <f t="shared" si="50"/>
        <v>0.60410656869327672</v>
      </c>
      <c r="BT101" s="406">
        <f t="shared" si="51"/>
        <v>0.33333333333333337</v>
      </c>
      <c r="BU101" s="74">
        <f t="shared" si="52"/>
        <v>10658894.227681613</v>
      </c>
      <c r="BV101" s="316"/>
      <c r="BW101" s="74">
        <v>116530620</v>
      </c>
      <c r="BX101" s="74">
        <v>57547596.200200334</v>
      </c>
      <c r="BY101" s="74">
        <v>81639268.243447721</v>
      </c>
      <c r="BZ101" s="74">
        <v>36455398.826597996</v>
      </c>
      <c r="CA101" s="74">
        <f t="shared" si="53"/>
        <v>-843977.50751003355</v>
      </c>
      <c r="CB101" s="74">
        <f t="shared" si="54"/>
        <v>-75.448138082190709</v>
      </c>
      <c r="CC101" s="74">
        <f t="shared" si="55"/>
        <v>11.002643969774743</v>
      </c>
      <c r="CD101" s="74">
        <f t="shared" si="56"/>
        <v>86.450782051965447</v>
      </c>
      <c r="CE101" s="74">
        <f t="shared" si="57"/>
        <v>-68.580822099660438</v>
      </c>
      <c r="CF101" s="74">
        <f t="shared" si="58"/>
        <v>-54.669488728655622</v>
      </c>
      <c r="CG101" s="74">
        <f t="shared" si="59"/>
        <v>-40.859727720661134</v>
      </c>
      <c r="CH101" s="74">
        <f t="shared" si="60"/>
        <v>-26.835926877447484</v>
      </c>
      <c r="CI101" s="74">
        <f t="shared" si="61"/>
        <v>-1310990.9952571089</v>
      </c>
      <c r="CJ101" s="74">
        <f t="shared" si="62"/>
        <v>-1045061.9465369809</v>
      </c>
      <c r="CK101" s="74">
        <f t="shared" si="63"/>
        <v>-781074.55510815827</v>
      </c>
      <c r="CL101" s="74">
        <f t="shared" si="64"/>
        <v>-512995.57818928611</v>
      </c>
      <c r="CM101" s="316"/>
      <c r="CN101" s="74">
        <v>76791.726540177624</v>
      </c>
      <c r="CO101" s="74">
        <v>5362.8597819999995</v>
      </c>
    </row>
    <row r="102" spans="1:93" x14ac:dyDescent="0.2">
      <c r="A102" s="74">
        <v>245</v>
      </c>
      <c r="B102" s="74" t="s">
        <v>225</v>
      </c>
      <c r="C102" s="74">
        <v>32</v>
      </c>
      <c r="D102" s="74">
        <v>37232</v>
      </c>
      <c r="E102" s="89">
        <v>88789629.349231943</v>
      </c>
      <c r="F102" s="74">
        <v>53871516.519807629</v>
      </c>
      <c r="G102" s="74">
        <v>14140881.9802</v>
      </c>
      <c r="H102" s="74">
        <v>6983200.6364000002</v>
      </c>
      <c r="I102" s="74">
        <v>14299850.598476008</v>
      </c>
      <c r="J102" s="74">
        <v>4583843.522081377</v>
      </c>
      <c r="K102" s="74">
        <v>-1124612.8536957274</v>
      </c>
      <c r="L102" s="74">
        <v>-3828544</v>
      </c>
      <c r="M102" s="75">
        <v>300000</v>
      </c>
      <c r="N102" s="75">
        <v>452210.39546857227</v>
      </c>
      <c r="O102" s="178">
        <f t="shared" si="35"/>
        <v>888717.44950591028</v>
      </c>
      <c r="P102" s="179">
        <f t="shared" si="36"/>
        <v>23.869720925706659</v>
      </c>
      <c r="Q102" s="74"/>
      <c r="R102" s="89">
        <v>217203635.19999999</v>
      </c>
      <c r="S102" s="74">
        <v>152396085.38306424</v>
      </c>
      <c r="T102" s="74">
        <v>10474800.954600001</v>
      </c>
      <c r="U102" s="74">
        <v>29588950.439226996</v>
      </c>
      <c r="V102" s="74">
        <v>15287737.584455168</v>
      </c>
      <c r="W102" s="74">
        <v>10612337.9802</v>
      </c>
      <c r="X102" s="178">
        <f t="shared" si="37"/>
        <v>1156277.1415464282</v>
      </c>
      <c r="Y102" s="179">
        <f t="shared" si="38"/>
        <v>31.056004016610125</v>
      </c>
      <c r="Z102" s="74"/>
      <c r="AA102" s="84">
        <f t="shared" si="39"/>
        <v>-267559.69204051793</v>
      </c>
      <c r="AB102" s="132">
        <f t="shared" si="40"/>
        <v>-7.1862830909034683</v>
      </c>
      <c r="AD102" s="180">
        <v>422657.58740302379</v>
      </c>
      <c r="AE102" s="187">
        <v>106854.34894421994</v>
      </c>
      <c r="AF102" s="187">
        <v>66321.113013471448</v>
      </c>
      <c r="AG102" s="187">
        <v>22006.134863122137</v>
      </c>
      <c r="AH102" s="188">
        <v>-14339.712142347144</v>
      </c>
      <c r="AJ102" s="74">
        <f t="shared" si="41"/>
        <v>98524568.863256603</v>
      </c>
      <c r="AK102" s="74">
        <f t="shared" si="42"/>
        <v>3491600.3182000006</v>
      </c>
      <c r="AL102" s="74">
        <f t="shared" si="43"/>
        <v>15289099.840750989</v>
      </c>
      <c r="AM102" s="74">
        <f t="shared" si="44"/>
        <v>128414005.85076804</v>
      </c>
      <c r="AN102" s="74">
        <f t="shared" si="45"/>
        <v>422657.58740302379</v>
      </c>
      <c r="AO102" s="74">
        <f t="shared" si="46"/>
        <v>106854.34894421994</v>
      </c>
      <c r="AP102" s="74">
        <f t="shared" si="47"/>
        <v>66321.113013471448</v>
      </c>
      <c r="AQ102" s="74">
        <f t="shared" si="48"/>
        <v>22006.134863122137</v>
      </c>
      <c r="AR102" s="74">
        <f t="shared" si="49"/>
        <v>-14339.712142347144</v>
      </c>
      <c r="AS102" s="75">
        <v>17181</v>
      </c>
      <c r="AT102" s="75"/>
      <c r="AU102" s="75"/>
      <c r="AV102" s="75">
        <v>95</v>
      </c>
      <c r="AW102" s="75">
        <v>19889.436658263625</v>
      </c>
      <c r="AX102" s="75">
        <v>5601.4852846312278</v>
      </c>
      <c r="AY102" s="75">
        <v>10703.894062373791</v>
      </c>
      <c r="AZ102" s="316"/>
      <c r="BA102" s="74"/>
      <c r="BB102" s="74"/>
      <c r="BC102" s="74"/>
      <c r="BD102" s="74"/>
      <c r="BE102" s="74"/>
      <c r="BF102" s="74"/>
      <c r="BG102" s="74"/>
      <c r="BM102" s="316"/>
      <c r="BN102" s="74">
        <v>88789629.349231943</v>
      </c>
      <c r="BO102" s="74">
        <v>121120344.00999999</v>
      </c>
      <c r="BP102" s="74">
        <v>132751000</v>
      </c>
      <c r="BQ102" s="74">
        <v>2842036.89</v>
      </c>
      <c r="BR102" s="74">
        <v>2840000</v>
      </c>
      <c r="BS102" s="406">
        <f t="shared" si="50"/>
        <v>0.64650327871352031</v>
      </c>
      <c r="BT102" s="406">
        <f t="shared" si="51"/>
        <v>0.33333333333333337</v>
      </c>
      <c r="BU102" s="74">
        <f t="shared" si="52"/>
        <v>24868381.049429052</v>
      </c>
      <c r="BV102" s="316"/>
      <c r="BW102" s="74">
        <v>217203635.19999999</v>
      </c>
      <c r="BX102" s="74">
        <v>88789629.349231943</v>
      </c>
      <c r="BY102" s="74">
        <v>177011768.31786424</v>
      </c>
      <c r="BZ102" s="74">
        <v>74995599.136407629</v>
      </c>
      <c r="CA102" s="74">
        <f t="shared" si="53"/>
        <v>-1124612.8536957488</v>
      </c>
      <c r="CB102" s="74">
        <f t="shared" si="54"/>
        <v>31.056004016609776</v>
      </c>
      <c r="CC102" s="74">
        <f t="shared" si="55"/>
        <v>23.869720925706197</v>
      </c>
      <c r="CD102" s="74">
        <f t="shared" si="56"/>
        <v>-7.1862830909035793</v>
      </c>
      <c r="CE102" s="74">
        <f t="shared" si="57"/>
        <v>2.8699599523050048</v>
      </c>
      <c r="CF102" s="74">
        <f t="shared" si="58"/>
        <v>1.7812933233098263</v>
      </c>
      <c r="CG102" s="74">
        <f t="shared" si="59"/>
        <v>0.59105433130431184</v>
      </c>
      <c r="CH102" s="74">
        <f t="shared" si="60"/>
        <v>-0.38514482548203544</v>
      </c>
      <c r="CI102" s="74">
        <f t="shared" si="61"/>
        <v>106854.34894421994</v>
      </c>
      <c r="CJ102" s="74">
        <f t="shared" si="62"/>
        <v>66321.113013471448</v>
      </c>
      <c r="CK102" s="74">
        <f t="shared" si="63"/>
        <v>22006.134863122137</v>
      </c>
      <c r="CL102" s="74">
        <f t="shared" si="64"/>
        <v>-14339.712142347144</v>
      </c>
      <c r="CM102" s="316"/>
      <c r="CN102" s="74">
        <v>155475.17789832657</v>
      </c>
      <c r="CO102" s="74">
        <v>11368.001036000001</v>
      </c>
    </row>
    <row r="103" spans="1:93" x14ac:dyDescent="0.2">
      <c r="A103" s="74">
        <v>249</v>
      </c>
      <c r="B103" s="74" t="s">
        <v>226</v>
      </c>
      <c r="C103" s="74">
        <v>13</v>
      </c>
      <c r="D103" s="74">
        <v>9443</v>
      </c>
      <c r="E103" s="89">
        <v>26893616.908730529</v>
      </c>
      <c r="F103" s="74">
        <v>14034525.731163049</v>
      </c>
      <c r="G103" s="74">
        <v>2892851.0474</v>
      </c>
      <c r="H103" s="74">
        <v>2234128.1669999999</v>
      </c>
      <c r="I103" s="74">
        <v>3879565.6477277661</v>
      </c>
      <c r="J103" s="74">
        <v>1685669.250282458</v>
      </c>
      <c r="K103" s="74">
        <v>356946.7361238359</v>
      </c>
      <c r="L103" s="74">
        <v>-9609</v>
      </c>
      <c r="M103" s="75">
        <v>30500</v>
      </c>
      <c r="N103" s="75">
        <v>85206.90240865096</v>
      </c>
      <c r="O103" s="178">
        <f t="shared" si="35"/>
        <v>-1703832.4266247675</v>
      </c>
      <c r="P103" s="179">
        <f t="shared" si="36"/>
        <v>-180.43338204222889</v>
      </c>
      <c r="Q103" s="74"/>
      <c r="R103" s="89">
        <v>70367420</v>
      </c>
      <c r="S103" s="74">
        <v>32139668.520067666</v>
      </c>
      <c r="T103" s="74">
        <v>3351192.2505000001</v>
      </c>
      <c r="U103" s="74">
        <v>25472044.463345163</v>
      </c>
      <c r="V103" s="74">
        <v>5621934.7428339198</v>
      </c>
      <c r="W103" s="74">
        <v>2913742.0474</v>
      </c>
      <c r="X103" s="178">
        <f t="shared" si="37"/>
        <v>-868837.97585324943</v>
      </c>
      <c r="Y103" s="179">
        <f t="shared" si="38"/>
        <v>-92.008681123927715</v>
      </c>
      <c r="Z103" s="74"/>
      <c r="AA103" s="84">
        <f t="shared" si="39"/>
        <v>-834994.45077151805</v>
      </c>
      <c r="AB103" s="132">
        <f t="shared" si="40"/>
        <v>-88.424700918301184</v>
      </c>
      <c r="AD103" s="180">
        <v>874331.29611714976</v>
      </c>
      <c r="AE103" s="187">
        <v>720450.48260113411</v>
      </c>
      <c r="AF103" s="187">
        <v>568525.20362353267</v>
      </c>
      <c r="AG103" s="187">
        <v>415640.77682202461</v>
      </c>
      <c r="AH103" s="188">
        <v>264777.52818449109</v>
      </c>
      <c r="AJ103" s="74">
        <f t="shared" si="41"/>
        <v>18105142.788904615</v>
      </c>
      <c r="AK103" s="74">
        <f t="shared" si="42"/>
        <v>1117064.0835000002</v>
      </c>
      <c r="AL103" s="74">
        <f t="shared" si="43"/>
        <v>21592478.815617397</v>
      </c>
      <c r="AM103" s="74">
        <f t="shared" si="44"/>
        <v>43473803.091269471</v>
      </c>
      <c r="AN103" s="74">
        <f t="shared" si="45"/>
        <v>874331.29611714976</v>
      </c>
      <c r="AO103" s="74">
        <f t="shared" si="46"/>
        <v>720450.48260113411</v>
      </c>
      <c r="AP103" s="74">
        <f t="shared" si="47"/>
        <v>568525.20362353267</v>
      </c>
      <c r="AQ103" s="74">
        <f t="shared" si="48"/>
        <v>415640.77682202461</v>
      </c>
      <c r="AR103" s="74">
        <f t="shared" si="49"/>
        <v>264777.52818449109</v>
      </c>
      <c r="AS103" s="75">
        <v>4995</v>
      </c>
      <c r="AT103" s="75"/>
      <c r="AU103" s="75"/>
      <c r="AV103" s="75">
        <v>12</v>
      </c>
      <c r="AW103" s="75">
        <v>18142.61732397581</v>
      </c>
      <c r="AX103" s="75">
        <v>-2856.9283833034265</v>
      </c>
      <c r="AY103" s="75">
        <v>3936.2654925514616</v>
      </c>
      <c r="AZ103" s="316"/>
      <c r="BA103" s="74"/>
      <c r="BB103" s="74"/>
      <c r="BC103" s="74"/>
      <c r="BD103" s="74"/>
      <c r="BE103" s="74"/>
      <c r="BF103" s="74"/>
      <c r="BG103" s="74"/>
      <c r="BM103" s="316"/>
      <c r="BN103" s="74">
        <v>26893616.908730529</v>
      </c>
      <c r="BO103" s="74">
        <v>41768287.379999995</v>
      </c>
      <c r="BP103" s="74">
        <v>42804000</v>
      </c>
      <c r="BQ103" s="74">
        <v>836362.46</v>
      </c>
      <c r="BR103" s="74">
        <v>934000</v>
      </c>
      <c r="BS103" s="406">
        <f t="shared" si="50"/>
        <v>0.56332699192587998</v>
      </c>
      <c r="BT103" s="406">
        <f t="shared" si="51"/>
        <v>0.33333333333333337</v>
      </c>
      <c r="BU103" s="74">
        <f t="shared" si="52"/>
        <v>25885691.044292696</v>
      </c>
      <c r="BV103" s="316"/>
      <c r="BW103" s="74">
        <v>70367420</v>
      </c>
      <c r="BX103" s="74">
        <v>26893616.908730529</v>
      </c>
      <c r="BY103" s="74">
        <v>38383711.817967661</v>
      </c>
      <c r="BZ103" s="74">
        <v>19161504.945563048</v>
      </c>
      <c r="CA103" s="74">
        <f t="shared" si="53"/>
        <v>356946.73612383159</v>
      </c>
      <c r="CB103" s="74">
        <f t="shared" si="54"/>
        <v>-92.008681123928255</v>
      </c>
      <c r="CC103" s="74">
        <f t="shared" si="55"/>
        <v>-180.43338204222962</v>
      </c>
      <c r="CD103" s="74">
        <f t="shared" si="56"/>
        <v>-88.424700918301369</v>
      </c>
      <c r="CE103" s="74">
        <f t="shared" si="57"/>
        <v>76.294660870606378</v>
      </c>
      <c r="CF103" s="74">
        <f t="shared" si="58"/>
        <v>60.205994241611194</v>
      </c>
      <c r="CG103" s="74">
        <f t="shared" si="59"/>
        <v>44.015755249605682</v>
      </c>
      <c r="CH103" s="74">
        <f t="shared" si="60"/>
        <v>28.039556092819332</v>
      </c>
      <c r="CI103" s="74">
        <f t="shared" si="61"/>
        <v>720450.48260113609</v>
      </c>
      <c r="CJ103" s="74">
        <f t="shared" si="62"/>
        <v>568525.20362353453</v>
      </c>
      <c r="CK103" s="74">
        <f t="shared" si="63"/>
        <v>415640.77682202647</v>
      </c>
      <c r="CL103" s="74">
        <f t="shared" si="64"/>
        <v>264777.52818449296</v>
      </c>
      <c r="CM103" s="316"/>
      <c r="CN103" s="74">
        <v>32573.447844073526</v>
      </c>
      <c r="CO103" s="74">
        <v>3636.9528299999997</v>
      </c>
    </row>
    <row r="104" spans="1:93" x14ac:dyDescent="0.2">
      <c r="A104" s="74">
        <v>250</v>
      </c>
      <c r="B104" s="74" t="s">
        <v>227</v>
      </c>
      <c r="C104" s="74">
        <v>6</v>
      </c>
      <c r="D104" s="74">
        <v>1808</v>
      </c>
      <c r="E104" s="89">
        <v>4350475.3581712972</v>
      </c>
      <c r="F104" s="74">
        <v>2199189.8401313382</v>
      </c>
      <c r="G104" s="74">
        <v>549671.73250000004</v>
      </c>
      <c r="H104" s="74">
        <v>604921.01579999994</v>
      </c>
      <c r="I104" s="74">
        <v>936087.96838156658</v>
      </c>
      <c r="J104" s="74">
        <v>441410.93867513537</v>
      </c>
      <c r="K104" s="74">
        <v>197920.72461793592</v>
      </c>
      <c r="L104" s="74">
        <v>-375211</v>
      </c>
      <c r="M104" s="75">
        <v>-16880</v>
      </c>
      <c r="N104" s="75">
        <v>13519.287058006266</v>
      </c>
      <c r="O104" s="178">
        <f t="shared" si="35"/>
        <v>200155.1489926856</v>
      </c>
      <c r="P104" s="179">
        <f t="shared" si="36"/>
        <v>110.7052815225031</v>
      </c>
      <c r="Q104" s="74"/>
      <c r="R104" s="89">
        <v>13387356</v>
      </c>
      <c r="S104" s="74">
        <v>4946605.870989711</v>
      </c>
      <c r="T104" s="74">
        <v>907381.52370000002</v>
      </c>
      <c r="U104" s="74">
        <v>6168227.0906002987</v>
      </c>
      <c r="V104" s="74">
        <v>1472165.1306084224</v>
      </c>
      <c r="W104" s="74">
        <v>157580.73250000004</v>
      </c>
      <c r="X104" s="178">
        <f t="shared" si="37"/>
        <v>264604.34839843214</v>
      </c>
      <c r="Y104" s="179">
        <f t="shared" si="38"/>
        <v>146.35196260975229</v>
      </c>
      <c r="Z104" s="74"/>
      <c r="AA104" s="84">
        <f t="shared" si="39"/>
        <v>-64449.199405746534</v>
      </c>
      <c r="AB104" s="132">
        <f t="shared" si="40"/>
        <v>-35.646681087249192</v>
      </c>
      <c r="AD104" s="180">
        <v>71980.811857818029</v>
      </c>
      <c r="AE104" s="187">
        <v>42518.086999514911</v>
      </c>
      <c r="AF104" s="187">
        <v>13429.777734291631</v>
      </c>
      <c r="AG104" s="187">
        <v>1068.6262309981958</v>
      </c>
      <c r="AH104" s="188">
        <v>-696.34184447152006</v>
      </c>
      <c r="AJ104" s="74">
        <f t="shared" si="41"/>
        <v>2747416.0308583728</v>
      </c>
      <c r="AK104" s="74">
        <f t="shared" si="42"/>
        <v>302460.50790000008</v>
      </c>
      <c r="AL104" s="74">
        <f t="shared" si="43"/>
        <v>5232139.1222187318</v>
      </c>
      <c r="AM104" s="74">
        <f t="shared" si="44"/>
        <v>9036880.6418287028</v>
      </c>
      <c r="AN104" s="74">
        <f t="shared" si="45"/>
        <v>71980.811857818029</v>
      </c>
      <c r="AO104" s="74">
        <f t="shared" si="46"/>
        <v>42518.086999514911</v>
      </c>
      <c r="AP104" s="74">
        <f t="shared" si="47"/>
        <v>13429.777734291631</v>
      </c>
      <c r="AQ104" s="74">
        <f t="shared" si="48"/>
        <v>1068.6262309981958</v>
      </c>
      <c r="AR104" s="74">
        <f t="shared" si="49"/>
        <v>-696.34184447152006</v>
      </c>
      <c r="AS104" s="75">
        <v>397</v>
      </c>
      <c r="AT104" s="75"/>
      <c r="AU104" s="75"/>
      <c r="AV104" s="75">
        <v>7</v>
      </c>
      <c r="AW104" s="75">
        <v>4266.6021876604309</v>
      </c>
      <c r="AX104" s="75">
        <v>-1033.8192868723122</v>
      </c>
      <c r="AY104" s="75">
        <v>1030.7541919332871</v>
      </c>
      <c r="AZ104" s="316"/>
      <c r="BA104" s="74"/>
      <c r="BB104" s="74"/>
      <c r="BC104" s="74"/>
      <c r="BD104" s="74"/>
      <c r="BE104" s="74"/>
      <c r="BF104" s="74"/>
      <c r="BG104" s="74"/>
      <c r="BM104" s="316"/>
      <c r="BN104" s="74">
        <v>4350475.3581712972</v>
      </c>
      <c r="BO104" s="74">
        <v>8696723.0600000005</v>
      </c>
      <c r="BP104" s="74">
        <v>8884000</v>
      </c>
      <c r="BQ104" s="74">
        <v>158553.48000000001</v>
      </c>
      <c r="BR104" s="74">
        <v>161000</v>
      </c>
      <c r="BS104" s="406">
        <f t="shared" si="50"/>
        <v>0.5554143795791584</v>
      </c>
      <c r="BT104" s="406">
        <f t="shared" si="51"/>
        <v>0.33333333333333337</v>
      </c>
      <c r="BU104" s="74">
        <f t="shared" si="52"/>
        <v>6460814.0387699548</v>
      </c>
      <c r="BV104" s="316"/>
      <c r="BW104" s="74">
        <v>13387356</v>
      </c>
      <c r="BX104" s="74">
        <v>4350475.3581712972</v>
      </c>
      <c r="BY104" s="74">
        <v>6403659.1271897107</v>
      </c>
      <c r="BZ104" s="74">
        <v>3353782.5884313378</v>
      </c>
      <c r="CA104" s="74">
        <f t="shared" si="53"/>
        <v>197920.72461793412</v>
      </c>
      <c r="CB104" s="74">
        <f t="shared" si="54"/>
        <v>146.35196260975169</v>
      </c>
      <c r="CC104" s="74">
        <f t="shared" si="55"/>
        <v>110.70528152250176</v>
      </c>
      <c r="CD104" s="74">
        <f t="shared" si="56"/>
        <v>-35.646681087249931</v>
      </c>
      <c r="CE104" s="74">
        <f t="shared" si="57"/>
        <v>23.516641039554937</v>
      </c>
      <c r="CF104" s="74">
        <f t="shared" si="58"/>
        <v>7.4279744105597576</v>
      </c>
      <c r="CG104" s="74">
        <f t="shared" si="59"/>
        <v>0.59105433130431184</v>
      </c>
      <c r="CH104" s="74">
        <f t="shared" si="60"/>
        <v>-0.38514482548203544</v>
      </c>
      <c r="CI104" s="74">
        <f t="shared" si="61"/>
        <v>42518.086999515326</v>
      </c>
      <c r="CJ104" s="74">
        <f t="shared" si="62"/>
        <v>13429.777734292042</v>
      </c>
      <c r="CK104" s="74">
        <f t="shared" si="63"/>
        <v>1068.6262309981958</v>
      </c>
      <c r="CL104" s="74">
        <f t="shared" si="64"/>
        <v>-696.34184447152006</v>
      </c>
      <c r="CM104" s="316"/>
      <c r="CN104" s="74">
        <v>4969.5562728028826</v>
      </c>
      <c r="CO104" s="74">
        <v>984.75514199999986</v>
      </c>
    </row>
    <row r="105" spans="1:93" x14ac:dyDescent="0.2">
      <c r="A105" s="74">
        <v>256</v>
      </c>
      <c r="B105" s="74" t="s">
        <v>228</v>
      </c>
      <c r="C105" s="74">
        <v>13</v>
      </c>
      <c r="D105" s="74">
        <v>1581</v>
      </c>
      <c r="E105" s="89">
        <v>4974690.4382496458</v>
      </c>
      <c r="F105" s="74">
        <v>1785926.9706906036</v>
      </c>
      <c r="G105" s="74">
        <v>454480.93499999994</v>
      </c>
      <c r="H105" s="74">
        <v>525460.90300000005</v>
      </c>
      <c r="I105" s="74">
        <v>2079808.3068666116</v>
      </c>
      <c r="J105" s="74">
        <v>327873.00418790011</v>
      </c>
      <c r="K105" s="74">
        <v>-267691.33868008648</v>
      </c>
      <c r="L105" s="74">
        <v>252937</v>
      </c>
      <c r="M105" s="75">
        <v>34147</v>
      </c>
      <c r="N105" s="75">
        <v>11426.256488543344</v>
      </c>
      <c r="O105" s="178">
        <f t="shared" si="35"/>
        <v>229678.59930392634</v>
      </c>
      <c r="P105" s="179">
        <f t="shared" si="36"/>
        <v>145.27425635921969</v>
      </c>
      <c r="Q105" s="74"/>
      <c r="R105" s="89">
        <v>13353748</v>
      </c>
      <c r="S105" s="74">
        <v>4100896.9142425908</v>
      </c>
      <c r="T105" s="74">
        <v>788191.35450000002</v>
      </c>
      <c r="U105" s="74">
        <v>6464316.5852313172</v>
      </c>
      <c r="V105" s="74">
        <v>1093500.7761293733</v>
      </c>
      <c r="W105" s="74">
        <v>741564.93499999994</v>
      </c>
      <c r="X105" s="178">
        <f t="shared" si="37"/>
        <v>-165277.43489671871</v>
      </c>
      <c r="Y105" s="179">
        <f t="shared" si="38"/>
        <v>-104.53980701879742</v>
      </c>
      <c r="Z105" s="74"/>
      <c r="AA105" s="84">
        <f t="shared" si="39"/>
        <v>394956.03420064505</v>
      </c>
      <c r="AB105" s="132">
        <f t="shared" si="40"/>
        <v>249.81406337801712</v>
      </c>
      <c r="AD105" s="180">
        <v>-388370.03901993233</v>
      </c>
      <c r="AE105" s="187">
        <v>-366703.62751604803</v>
      </c>
      <c r="AF105" s="187">
        <v>-344709.8094564894</v>
      </c>
      <c r="AG105" s="187">
        <v>-322876.57730285008</v>
      </c>
      <c r="AH105" s="188">
        <v>-300704.94816972932</v>
      </c>
      <c r="AJ105" s="74">
        <f t="shared" si="41"/>
        <v>2314969.9435519874</v>
      </c>
      <c r="AK105" s="74">
        <f t="shared" si="42"/>
        <v>262730.45149999997</v>
      </c>
      <c r="AL105" s="74">
        <f t="shared" si="43"/>
        <v>4384508.2783647059</v>
      </c>
      <c r="AM105" s="74">
        <f t="shared" si="44"/>
        <v>8379057.5617503542</v>
      </c>
      <c r="AN105" s="74">
        <f t="shared" si="45"/>
        <v>-388370.03901993233</v>
      </c>
      <c r="AO105" s="74">
        <f t="shared" si="46"/>
        <v>-366703.62751604803</v>
      </c>
      <c r="AP105" s="74">
        <f t="shared" si="47"/>
        <v>-344709.8094564894</v>
      </c>
      <c r="AQ105" s="74">
        <f t="shared" si="48"/>
        <v>-322876.57730285008</v>
      </c>
      <c r="AR105" s="74">
        <f t="shared" si="49"/>
        <v>-300704.94816972932</v>
      </c>
      <c r="AS105" s="75">
        <v>964</v>
      </c>
      <c r="AT105" s="75"/>
      <c r="AU105" s="75"/>
      <c r="AV105" s="75">
        <v>10</v>
      </c>
      <c r="AW105" s="75">
        <v>3641.4594966979262</v>
      </c>
      <c r="AX105" s="75">
        <v>-960.22984129104293</v>
      </c>
      <c r="AY105" s="75">
        <v>765.62777194147327</v>
      </c>
      <c r="AZ105" s="316"/>
      <c r="BA105" s="74"/>
      <c r="BB105" s="74"/>
      <c r="BC105" s="74"/>
      <c r="BD105" s="74"/>
      <c r="BE105" s="74"/>
      <c r="BF105" s="74"/>
      <c r="BG105" s="74"/>
      <c r="BM105" s="316"/>
      <c r="BN105" s="74">
        <v>4974690.4382496458</v>
      </c>
      <c r="BO105" s="74">
        <v>8063609.5299999993</v>
      </c>
      <c r="BP105" s="74">
        <v>8067000</v>
      </c>
      <c r="BQ105" s="74">
        <v>143823.82</v>
      </c>
      <c r="BR105" s="74">
        <v>143000</v>
      </c>
      <c r="BS105" s="406">
        <f t="shared" si="50"/>
        <v>0.56450332499507549</v>
      </c>
      <c r="BT105" s="406">
        <f t="shared" si="51"/>
        <v>0.33333333333333326</v>
      </c>
      <c r="BU105" s="74">
        <f t="shared" si="52"/>
        <v>4882444.711626092</v>
      </c>
      <c r="BV105" s="316"/>
      <c r="BW105" s="74">
        <v>13353748</v>
      </c>
      <c r="BX105" s="74">
        <v>4974690.4382496458</v>
      </c>
      <c r="BY105" s="74">
        <v>5343569.2037425907</v>
      </c>
      <c r="BZ105" s="74">
        <v>2765868.8086906034</v>
      </c>
      <c r="CA105" s="74">
        <f t="shared" si="53"/>
        <v>-267691.33868008706</v>
      </c>
      <c r="CB105" s="74">
        <f t="shared" si="54"/>
        <v>-104.53980701879719</v>
      </c>
      <c r="CC105" s="74">
        <f t="shared" si="55"/>
        <v>145.27425635921921</v>
      </c>
      <c r="CD105" s="74">
        <f t="shared" si="56"/>
        <v>249.81406337801639</v>
      </c>
      <c r="CE105" s="74">
        <f t="shared" si="57"/>
        <v>-231.94410342571138</v>
      </c>
      <c r="CF105" s="74">
        <f t="shared" si="58"/>
        <v>-218.03277005470656</v>
      </c>
      <c r="CG105" s="74">
        <f t="shared" si="59"/>
        <v>-204.22300904671206</v>
      </c>
      <c r="CH105" s="74">
        <f t="shared" si="60"/>
        <v>-190.19920820349842</v>
      </c>
      <c r="CI105" s="74">
        <f t="shared" si="61"/>
        <v>-366703.62751604966</v>
      </c>
      <c r="CJ105" s="74">
        <f t="shared" si="62"/>
        <v>-344709.80945649109</v>
      </c>
      <c r="CK105" s="74">
        <f t="shared" si="63"/>
        <v>-322876.57730285177</v>
      </c>
      <c r="CL105" s="74">
        <f t="shared" si="64"/>
        <v>-300704.94816973101</v>
      </c>
      <c r="CM105" s="316"/>
      <c r="CN105" s="74">
        <v>3982.7618538488723</v>
      </c>
      <c r="CO105" s="74">
        <v>855.40147000000002</v>
      </c>
    </row>
    <row r="106" spans="1:93" x14ac:dyDescent="0.2">
      <c r="A106" s="74">
        <v>257</v>
      </c>
      <c r="B106" s="74" t="s">
        <v>229</v>
      </c>
      <c r="C106" s="74">
        <v>33</v>
      </c>
      <c r="D106" s="74">
        <v>40433</v>
      </c>
      <c r="E106" s="89">
        <v>128024130.42816205</v>
      </c>
      <c r="F106" s="74">
        <v>70721387.840203196</v>
      </c>
      <c r="G106" s="74">
        <v>12689763.547700001</v>
      </c>
      <c r="H106" s="74">
        <v>5049142.6804</v>
      </c>
      <c r="I106" s="74">
        <v>26485476.672862407</v>
      </c>
      <c r="J106" s="74">
        <v>4334727.21574522</v>
      </c>
      <c r="K106" s="74">
        <v>4717899.5307239471</v>
      </c>
      <c r="L106" s="74">
        <v>-2548784</v>
      </c>
      <c r="M106" s="75">
        <v>-809029</v>
      </c>
      <c r="N106" s="75">
        <v>555918.54822536383</v>
      </c>
      <c r="O106" s="178">
        <f t="shared" si="35"/>
        <v>-6827627.3923019171</v>
      </c>
      <c r="P106" s="179">
        <f t="shared" si="36"/>
        <v>-168.86274558657328</v>
      </c>
      <c r="Q106" s="74"/>
      <c r="R106" s="89">
        <v>252202467</v>
      </c>
      <c r="S106" s="74">
        <v>193608972.51225895</v>
      </c>
      <c r="T106" s="74">
        <v>7573714.0206000004</v>
      </c>
      <c r="U106" s="74">
        <v>23721589.443564653</v>
      </c>
      <c r="V106" s="74">
        <v>14456901.038458366</v>
      </c>
      <c r="W106" s="74">
        <v>9331950.5477000009</v>
      </c>
      <c r="X106" s="178">
        <f t="shared" si="37"/>
        <v>-3509339.4374180436</v>
      </c>
      <c r="Y106" s="179">
        <f t="shared" si="38"/>
        <v>-86.793941518513179</v>
      </c>
      <c r="Z106" s="74"/>
      <c r="AA106" s="84">
        <f t="shared" si="39"/>
        <v>-3318287.9548838735</v>
      </c>
      <c r="AB106" s="132">
        <f t="shared" si="40"/>
        <v>-82.068804068060089</v>
      </c>
      <c r="AD106" s="180">
        <v>3486720.3034870652</v>
      </c>
      <c r="AE106" s="187">
        <v>2827834.0456354227</v>
      </c>
      <c r="AF106" s="187">
        <v>2177320.9878252605</v>
      </c>
      <c r="AG106" s="187">
        <v>1522701.0546615014</v>
      </c>
      <c r="AH106" s="188">
        <v>876735.39415515901</v>
      </c>
      <c r="AJ106" s="74">
        <f t="shared" si="41"/>
        <v>122887584.67205575</v>
      </c>
      <c r="AK106" s="74">
        <f t="shared" si="42"/>
        <v>2524571.3402000004</v>
      </c>
      <c r="AL106" s="74">
        <f t="shared" si="43"/>
        <v>-2763887.2292977534</v>
      </c>
      <c r="AM106" s="74">
        <f t="shared" si="44"/>
        <v>124178336.57183795</v>
      </c>
      <c r="AN106" s="74">
        <f t="shared" si="45"/>
        <v>3486720.3034870652</v>
      </c>
      <c r="AO106" s="74">
        <f t="shared" si="46"/>
        <v>2827834.0456354227</v>
      </c>
      <c r="AP106" s="74">
        <f t="shared" si="47"/>
        <v>2177320.9878252605</v>
      </c>
      <c r="AQ106" s="74">
        <f t="shared" si="48"/>
        <v>1522701.0546615014</v>
      </c>
      <c r="AR106" s="74">
        <f t="shared" si="49"/>
        <v>876735.39415515901</v>
      </c>
      <c r="AS106" s="75">
        <v>40546</v>
      </c>
      <c r="AT106" s="75"/>
      <c r="AU106" s="75"/>
      <c r="AV106" s="75">
        <v>121</v>
      </c>
      <c r="AW106" s="75">
        <v>8487.9301391318477</v>
      </c>
      <c r="AX106" s="75">
        <v>11407.297086182427</v>
      </c>
      <c r="AY106" s="75">
        <v>10122.173822713146</v>
      </c>
      <c r="AZ106" s="316"/>
      <c r="BA106" s="74"/>
      <c r="BB106" s="74"/>
      <c r="BC106" s="74"/>
      <c r="BD106" s="74"/>
      <c r="BE106" s="74"/>
      <c r="BF106" s="74"/>
      <c r="BG106" s="74"/>
      <c r="BM106" s="316"/>
      <c r="BN106" s="74">
        <v>128024130.42816205</v>
      </c>
      <c r="BO106" s="74">
        <v>114788727.48999999</v>
      </c>
      <c r="BP106" s="74">
        <v>128239000</v>
      </c>
      <c r="BQ106" s="74">
        <v>2815934.6900000004</v>
      </c>
      <c r="BR106" s="74">
        <v>3075000</v>
      </c>
      <c r="BS106" s="406">
        <f t="shared" si="50"/>
        <v>0.63472050431069116</v>
      </c>
      <c r="BT106" s="406">
        <f t="shared" si="51"/>
        <v>0.33333333333333337</v>
      </c>
      <c r="BU106" s="74">
        <f t="shared" si="52"/>
        <v>12076186.124139335</v>
      </c>
      <c r="BV106" s="316"/>
      <c r="BW106" s="74">
        <v>252202467</v>
      </c>
      <c r="BX106" s="74">
        <v>128024130.42816205</v>
      </c>
      <c r="BY106" s="74">
        <v>213872450.08055893</v>
      </c>
      <c r="BZ106" s="74">
        <v>88460294.068303198</v>
      </c>
      <c r="CA106" s="74">
        <f t="shared" si="53"/>
        <v>4717899.5307239275</v>
      </c>
      <c r="CB106" s="74">
        <f t="shared" si="54"/>
        <v>-86.793941518512952</v>
      </c>
      <c r="CC106" s="74">
        <f t="shared" si="55"/>
        <v>-168.86274558657377</v>
      </c>
      <c r="CD106" s="74">
        <f t="shared" si="56"/>
        <v>-82.068804068060814</v>
      </c>
      <c r="CE106" s="74">
        <f t="shared" si="57"/>
        <v>69.938764020365824</v>
      </c>
      <c r="CF106" s="74">
        <f t="shared" si="58"/>
        <v>53.850097391370639</v>
      </c>
      <c r="CG106" s="74">
        <f t="shared" si="59"/>
        <v>37.659858399365127</v>
      </c>
      <c r="CH106" s="74">
        <f t="shared" si="60"/>
        <v>21.683659242578777</v>
      </c>
      <c r="CI106" s="74">
        <f t="shared" si="61"/>
        <v>2827834.0456354516</v>
      </c>
      <c r="CJ106" s="74">
        <f t="shared" si="62"/>
        <v>2177320.9878252889</v>
      </c>
      <c r="CK106" s="74">
        <f t="shared" si="63"/>
        <v>1522701.0546615303</v>
      </c>
      <c r="CL106" s="74">
        <f t="shared" si="64"/>
        <v>876735.39415518765</v>
      </c>
      <c r="CM106" s="316"/>
      <c r="CN106" s="74">
        <v>203952.59529333672</v>
      </c>
      <c r="CO106" s="74">
        <v>8219.5345960000013</v>
      </c>
    </row>
    <row r="107" spans="1:93" x14ac:dyDescent="0.2">
      <c r="A107" s="133">
        <v>260</v>
      </c>
      <c r="B107" s="133" t="s">
        <v>230</v>
      </c>
      <c r="C107" s="74">
        <v>12</v>
      </c>
      <c r="D107" s="133">
        <v>9877</v>
      </c>
      <c r="E107" s="134">
        <v>27564674.142794475</v>
      </c>
      <c r="F107" s="74">
        <v>11536292.741615012</v>
      </c>
      <c r="G107" s="74">
        <v>2919330.2420000001</v>
      </c>
      <c r="H107" s="133">
        <v>1984135.3174000001</v>
      </c>
      <c r="I107" s="74">
        <v>5837214.4160801927</v>
      </c>
      <c r="J107" s="74">
        <v>2103577.4837092487</v>
      </c>
      <c r="K107" s="74">
        <v>4309780.9450360192</v>
      </c>
      <c r="L107" s="133">
        <v>-1126957</v>
      </c>
      <c r="M107" s="75">
        <v>365700</v>
      </c>
      <c r="N107" s="75">
        <v>77205.472319339475</v>
      </c>
      <c r="O107" s="178">
        <f t="shared" si="35"/>
        <v>441605.47536534071</v>
      </c>
      <c r="P107" s="179">
        <f t="shared" si="36"/>
        <v>44.71048652073916</v>
      </c>
      <c r="Q107" s="133"/>
      <c r="R107" s="134">
        <v>74888311.790000007</v>
      </c>
      <c r="S107" s="74">
        <v>27961353.492143236</v>
      </c>
      <c r="T107" s="133">
        <v>2976202.9761000001</v>
      </c>
      <c r="U107" s="133">
        <v>38008262.799892984</v>
      </c>
      <c r="V107" s="133">
        <v>7015715.1753978645</v>
      </c>
      <c r="W107" s="133">
        <v>2158073.2420000001</v>
      </c>
      <c r="X107" s="178">
        <f t="shared" si="37"/>
        <v>3231295.8955340832</v>
      </c>
      <c r="Y107" s="179">
        <f t="shared" si="38"/>
        <v>327.15357856981706</v>
      </c>
      <c r="Z107" s="133"/>
      <c r="AA107" s="84">
        <f t="shared" si="39"/>
        <v>-2789690.4201687425</v>
      </c>
      <c r="AB107" s="132">
        <f t="shared" si="40"/>
        <v>-282.4430920490779</v>
      </c>
      <c r="AD107" s="180">
        <v>2830835.1857600482</v>
      </c>
      <c r="AE107" s="187">
        <v>2669882.014617648</v>
      </c>
      <c r="AF107" s="187">
        <v>2510974.2543230625</v>
      </c>
      <c r="AG107" s="187">
        <v>2351063.2637990238</v>
      </c>
      <c r="AH107" s="188">
        <v>2193266.3447274454</v>
      </c>
      <c r="AJ107" s="74">
        <f t="shared" si="41"/>
        <v>16425060.750528224</v>
      </c>
      <c r="AK107" s="74">
        <f t="shared" si="42"/>
        <v>992067.65870000003</v>
      </c>
      <c r="AL107" s="74">
        <f t="shared" si="43"/>
        <v>32171048.383812793</v>
      </c>
      <c r="AM107" s="74">
        <f t="shared" si="44"/>
        <v>47323637.647205532</v>
      </c>
      <c r="AN107" s="74">
        <f t="shared" si="45"/>
        <v>2830835.1857600482</v>
      </c>
      <c r="AO107" s="74">
        <f t="shared" si="46"/>
        <v>2669882.014617648</v>
      </c>
      <c r="AP107" s="74">
        <f t="shared" si="47"/>
        <v>2510974.2543230625</v>
      </c>
      <c r="AQ107" s="74">
        <f t="shared" si="48"/>
        <v>2351063.2637990238</v>
      </c>
      <c r="AR107" s="74">
        <f t="shared" si="49"/>
        <v>2193266.3447274454</v>
      </c>
      <c r="AS107" s="75">
        <v>2912</v>
      </c>
      <c r="AT107" s="75"/>
      <c r="AU107" s="75"/>
      <c r="AV107" s="75">
        <v>0</v>
      </c>
      <c r="AW107" s="75">
        <v>27168.70849676499</v>
      </c>
      <c r="AX107" s="75">
        <v>-5090.1219064357974</v>
      </c>
      <c r="AY107" s="75">
        <v>4912.1376916886156</v>
      </c>
      <c r="AZ107" s="316"/>
      <c r="BA107" s="74"/>
      <c r="BB107" s="74"/>
      <c r="BC107" s="74"/>
      <c r="BD107" s="74"/>
      <c r="BE107" s="74"/>
      <c r="BF107" s="74"/>
      <c r="BG107" s="74"/>
      <c r="BM107" s="316"/>
      <c r="BN107" s="74">
        <v>27564674.142794475</v>
      </c>
      <c r="BO107" s="74">
        <v>45290754.420000002</v>
      </c>
      <c r="BP107" s="74">
        <v>49507000</v>
      </c>
      <c r="BQ107" s="74">
        <v>892542.94</v>
      </c>
      <c r="BR107" s="74">
        <v>962000</v>
      </c>
      <c r="BS107" s="406">
        <f t="shared" si="50"/>
        <v>0.58742008877157703</v>
      </c>
      <c r="BT107" s="406">
        <f t="shared" si="51"/>
        <v>0.33333333333333337</v>
      </c>
      <c r="BU107" s="74">
        <f t="shared" si="52"/>
        <v>41392967.020537429</v>
      </c>
      <c r="BV107" s="316"/>
      <c r="BW107" s="74">
        <v>74888311.790000007</v>
      </c>
      <c r="BX107" s="74">
        <v>27564674.142794475</v>
      </c>
      <c r="BY107" s="74">
        <v>33856886.71024324</v>
      </c>
      <c r="BZ107" s="74">
        <v>16439758.301015012</v>
      </c>
      <c r="CA107" s="74">
        <f t="shared" si="53"/>
        <v>4309780.9450360192</v>
      </c>
      <c r="CB107" s="74">
        <f t="shared" si="54"/>
        <v>327.15357856981637</v>
      </c>
      <c r="CC107" s="74">
        <f t="shared" si="55"/>
        <v>44.71048652073879</v>
      </c>
      <c r="CD107" s="74">
        <f t="shared" si="56"/>
        <v>-282.44309204907756</v>
      </c>
      <c r="CE107" s="74">
        <f t="shared" si="57"/>
        <v>270.31305200138257</v>
      </c>
      <c r="CF107" s="74">
        <f t="shared" si="58"/>
        <v>254.22438537238739</v>
      </c>
      <c r="CG107" s="74">
        <f t="shared" si="59"/>
        <v>238.03414638038188</v>
      </c>
      <c r="CH107" s="74">
        <f t="shared" si="60"/>
        <v>222.05794722359553</v>
      </c>
      <c r="CI107" s="74">
        <f t="shared" si="61"/>
        <v>2669882.0146176559</v>
      </c>
      <c r="CJ107" s="74">
        <f t="shared" si="62"/>
        <v>2510974.2543230704</v>
      </c>
      <c r="CK107" s="74">
        <f t="shared" si="63"/>
        <v>2351063.2637990317</v>
      </c>
      <c r="CL107" s="74">
        <f t="shared" si="64"/>
        <v>2193266.3447274533</v>
      </c>
      <c r="CM107" s="316"/>
      <c r="CN107" s="74">
        <v>27882.438848881022</v>
      </c>
      <c r="CO107" s="74">
        <v>3229.9877259999998</v>
      </c>
    </row>
    <row r="108" spans="1:93" x14ac:dyDescent="0.2">
      <c r="A108" s="74">
        <v>261</v>
      </c>
      <c r="B108" s="74" t="s">
        <v>231</v>
      </c>
      <c r="C108" s="74">
        <v>19</v>
      </c>
      <c r="D108" s="74">
        <v>6523</v>
      </c>
      <c r="E108" s="89">
        <v>27904290.738545068</v>
      </c>
      <c r="F108" s="74">
        <v>8874648.4337430224</v>
      </c>
      <c r="G108" s="74">
        <v>7822676.2878</v>
      </c>
      <c r="H108" s="74">
        <v>3379412.6559999995</v>
      </c>
      <c r="I108" s="74">
        <v>8054801.9782903288</v>
      </c>
      <c r="J108" s="74">
        <v>1239496.7947645532</v>
      </c>
      <c r="K108" s="74">
        <v>-476562.29855948989</v>
      </c>
      <c r="L108" s="74">
        <v>221131</v>
      </c>
      <c r="M108" s="75">
        <v>2370303</v>
      </c>
      <c r="N108" s="75">
        <v>66273.955644043192</v>
      </c>
      <c r="O108" s="178">
        <f t="shared" si="35"/>
        <v>3647891.0691373907</v>
      </c>
      <c r="P108" s="179">
        <f t="shared" si="36"/>
        <v>559.23517846656307</v>
      </c>
      <c r="Q108" s="74"/>
      <c r="R108" s="89">
        <v>58242853</v>
      </c>
      <c r="S108" s="74">
        <v>22135980.69100469</v>
      </c>
      <c r="T108" s="74">
        <v>5069118.9839999992</v>
      </c>
      <c r="U108" s="74">
        <v>21356553.121707071</v>
      </c>
      <c r="V108" s="74">
        <v>4133889.3101066402</v>
      </c>
      <c r="W108" s="74">
        <v>10414110.287799999</v>
      </c>
      <c r="X108" s="178">
        <f t="shared" si="37"/>
        <v>4866799.394618392</v>
      </c>
      <c r="Y108" s="179">
        <f t="shared" si="38"/>
        <v>746.09832816470828</v>
      </c>
      <c r="Z108" s="74"/>
      <c r="AA108" s="84">
        <f t="shared" si="39"/>
        <v>-1218908.3254810013</v>
      </c>
      <c r="AB108" s="132">
        <f t="shared" si="40"/>
        <v>-186.86314969814524</v>
      </c>
      <c r="AD108" s="180">
        <v>1246081.2834593584</v>
      </c>
      <c r="AE108" s="187">
        <v>1139784.0742498941</v>
      </c>
      <c r="AF108" s="187">
        <v>1034837.7018289586</v>
      </c>
      <c r="AG108" s="187">
        <v>929228.77288410673</v>
      </c>
      <c r="AH108" s="188">
        <v>825016.02578438935</v>
      </c>
      <c r="AJ108" s="74">
        <f t="shared" si="41"/>
        <v>13261332.257261667</v>
      </c>
      <c r="AK108" s="74">
        <f t="shared" si="42"/>
        <v>1689706.3279999997</v>
      </c>
      <c r="AL108" s="74">
        <f t="shared" si="43"/>
        <v>13301751.143416742</v>
      </c>
      <c r="AM108" s="74">
        <f t="shared" si="44"/>
        <v>30338562.261454932</v>
      </c>
      <c r="AN108" s="74">
        <f t="shared" si="45"/>
        <v>1246081.2834593584</v>
      </c>
      <c r="AO108" s="74">
        <f t="shared" si="46"/>
        <v>1139784.0742498941</v>
      </c>
      <c r="AP108" s="74">
        <f t="shared" si="47"/>
        <v>1034837.7018289586</v>
      </c>
      <c r="AQ108" s="74">
        <f t="shared" si="48"/>
        <v>929228.77288410673</v>
      </c>
      <c r="AR108" s="74">
        <f t="shared" si="49"/>
        <v>825016.02578438935</v>
      </c>
      <c r="AS108" s="75">
        <v>2940</v>
      </c>
      <c r="AT108" s="75"/>
      <c r="AU108" s="75"/>
      <c r="AV108" s="75">
        <v>75</v>
      </c>
      <c r="AW108" s="75">
        <v>11039.97162779835</v>
      </c>
      <c r="AX108" s="75">
        <v>-727.99299888503435</v>
      </c>
      <c r="AY108" s="75">
        <v>2894.3925153420869</v>
      </c>
      <c r="AZ108" s="316"/>
      <c r="BA108" s="74"/>
      <c r="BB108" s="74"/>
      <c r="BC108" s="74"/>
      <c r="BD108" s="74"/>
      <c r="BE108" s="74"/>
      <c r="BF108" s="74"/>
      <c r="BG108" s="74"/>
      <c r="BM108" s="316"/>
      <c r="BN108" s="74">
        <v>27904290.738545068</v>
      </c>
      <c r="BO108" s="74">
        <v>28000759.470000006</v>
      </c>
      <c r="BP108" s="74">
        <v>28693000</v>
      </c>
      <c r="BQ108" s="74">
        <v>949663.56</v>
      </c>
      <c r="BR108" s="74">
        <v>984000</v>
      </c>
      <c r="BS108" s="406">
        <f t="shared" si="50"/>
        <v>0.59908492162041971</v>
      </c>
      <c r="BT108" s="406">
        <f t="shared" si="51"/>
        <v>0.33333333333333337</v>
      </c>
      <c r="BU108" s="74">
        <f t="shared" si="52"/>
        <v>15719581.360199336</v>
      </c>
      <c r="BV108" s="316"/>
      <c r="BW108" s="74">
        <v>58242853</v>
      </c>
      <c r="BX108" s="74">
        <v>27904290.738545068</v>
      </c>
      <c r="BY108" s="74">
        <v>35027775.96280469</v>
      </c>
      <c r="BZ108" s="74">
        <v>20076737.377543021</v>
      </c>
      <c r="CA108" s="74">
        <f t="shared" si="53"/>
        <v>-476562.29855949047</v>
      </c>
      <c r="CB108" s="74">
        <f t="shared" si="54"/>
        <v>746.09832816470964</v>
      </c>
      <c r="CC108" s="74">
        <f t="shared" si="55"/>
        <v>559.23517846656262</v>
      </c>
      <c r="CD108" s="74">
        <f t="shared" si="56"/>
        <v>-186.86314969814703</v>
      </c>
      <c r="CE108" s="74">
        <f t="shared" si="57"/>
        <v>174.73310965045204</v>
      </c>
      <c r="CF108" s="74">
        <f t="shared" si="58"/>
        <v>158.64444302145685</v>
      </c>
      <c r="CG108" s="74">
        <f t="shared" si="59"/>
        <v>142.45420402945135</v>
      </c>
      <c r="CH108" s="74">
        <f t="shared" si="60"/>
        <v>126.478004872665</v>
      </c>
      <c r="CI108" s="74">
        <f t="shared" si="61"/>
        <v>1139784.0742498985</v>
      </c>
      <c r="CJ108" s="74">
        <f t="shared" si="62"/>
        <v>1034837.701828963</v>
      </c>
      <c r="CK108" s="74">
        <f t="shared" si="63"/>
        <v>929228.77288411115</v>
      </c>
      <c r="CL108" s="74">
        <f t="shared" si="64"/>
        <v>825016.02578439377</v>
      </c>
      <c r="CM108" s="316"/>
      <c r="CN108" s="74">
        <v>23343.162299077838</v>
      </c>
      <c r="CO108" s="74">
        <v>5501.3694399999995</v>
      </c>
    </row>
    <row r="109" spans="1:93" x14ac:dyDescent="0.2">
      <c r="A109" s="74">
        <v>263</v>
      </c>
      <c r="B109" s="74" t="s">
        <v>232</v>
      </c>
      <c r="C109" s="74">
        <v>11</v>
      </c>
      <c r="D109" s="74">
        <v>7759</v>
      </c>
      <c r="E109" s="89">
        <v>21179532.330926426</v>
      </c>
      <c r="F109" s="74">
        <v>9841267.1747787837</v>
      </c>
      <c r="G109" s="74">
        <v>1730812.6335</v>
      </c>
      <c r="H109" s="74">
        <v>1659615.7278000002</v>
      </c>
      <c r="I109" s="74">
        <v>6437832.8591687875</v>
      </c>
      <c r="J109" s="74">
        <v>1721832.8065193584</v>
      </c>
      <c r="K109" s="74">
        <v>1224315.5131435227</v>
      </c>
      <c r="L109" s="74">
        <v>-354103</v>
      </c>
      <c r="M109" s="75">
        <v>586067</v>
      </c>
      <c r="N109" s="75">
        <v>57739.612768144216</v>
      </c>
      <c r="O109" s="178">
        <f t="shared" si="35"/>
        <v>1725847.9967521727</v>
      </c>
      <c r="P109" s="179">
        <f t="shared" si="36"/>
        <v>222.43175625108555</v>
      </c>
      <c r="Q109" s="74"/>
      <c r="R109" s="89">
        <v>58787978</v>
      </c>
      <c r="S109" s="74">
        <v>22037197.249793906</v>
      </c>
      <c r="T109" s="74">
        <v>2489423.5917000002</v>
      </c>
      <c r="U109" s="74">
        <v>28967073.667388652</v>
      </c>
      <c r="V109" s="74">
        <v>5742545.0898510413</v>
      </c>
      <c r="W109" s="74">
        <v>1962776.6335</v>
      </c>
      <c r="X109" s="178">
        <f t="shared" si="37"/>
        <v>2411038.2322335988</v>
      </c>
      <c r="Y109" s="179">
        <f t="shared" si="38"/>
        <v>310.74084704647493</v>
      </c>
      <c r="Z109" s="74"/>
      <c r="AA109" s="84">
        <f t="shared" si="39"/>
        <v>-685190.23548142612</v>
      </c>
      <c r="AB109" s="132">
        <f t="shared" si="40"/>
        <v>-88.309090795389366</v>
      </c>
      <c r="AD109" s="180">
        <v>717512.01701661176</v>
      </c>
      <c r="AE109" s="187">
        <v>591073.25475136074</v>
      </c>
      <c r="AF109" s="187">
        <v>466241.29037698713</v>
      </c>
      <c r="AG109" s="187">
        <v>340621.22603801638</v>
      </c>
      <c r="AH109" s="188">
        <v>216661.89678051107</v>
      </c>
      <c r="AJ109" s="74">
        <f t="shared" si="41"/>
        <v>12195930.075015122</v>
      </c>
      <c r="AK109" s="74">
        <f t="shared" si="42"/>
        <v>829807.8639</v>
      </c>
      <c r="AL109" s="74">
        <f t="shared" si="43"/>
        <v>22529240.808219865</v>
      </c>
      <c r="AM109" s="74">
        <f t="shared" si="44"/>
        <v>37608445.669073574</v>
      </c>
      <c r="AN109" s="74">
        <f t="shared" si="45"/>
        <v>717512.01701661176</v>
      </c>
      <c r="AO109" s="74">
        <f t="shared" si="46"/>
        <v>591073.25475136074</v>
      </c>
      <c r="AP109" s="74">
        <f t="shared" si="47"/>
        <v>466241.29037698713</v>
      </c>
      <c r="AQ109" s="74">
        <f t="shared" si="48"/>
        <v>340621.22603801638</v>
      </c>
      <c r="AR109" s="74">
        <f t="shared" si="49"/>
        <v>216661.89678051107</v>
      </c>
      <c r="AS109" s="75">
        <v>3693</v>
      </c>
      <c r="AT109" s="75"/>
      <c r="AU109" s="75"/>
      <c r="AV109" s="75">
        <v>4</v>
      </c>
      <c r="AW109" s="75">
        <v>18211.180780400482</v>
      </c>
      <c r="AX109" s="75">
        <v>-4452.4463816238531</v>
      </c>
      <c r="AY109" s="75">
        <v>4020.712283331683</v>
      </c>
      <c r="AZ109" s="316"/>
      <c r="BA109" s="74"/>
      <c r="BB109" s="74"/>
      <c r="BC109" s="74"/>
      <c r="BD109" s="74"/>
      <c r="BE109" s="74"/>
      <c r="BF109" s="74"/>
      <c r="BG109" s="74"/>
      <c r="BM109" s="316"/>
      <c r="BN109" s="74">
        <v>21179532.330926426</v>
      </c>
      <c r="BO109" s="74">
        <v>35412997.599999994</v>
      </c>
      <c r="BP109" s="74">
        <v>37633000</v>
      </c>
      <c r="BQ109" s="74">
        <v>856335.54999999993</v>
      </c>
      <c r="BR109" s="74">
        <v>1114000</v>
      </c>
      <c r="BS109" s="406">
        <f t="shared" si="50"/>
        <v>0.55342473622089938</v>
      </c>
      <c r="BT109" s="406">
        <f t="shared" si="51"/>
        <v>0.33333333333333326</v>
      </c>
      <c r="BU109" s="74">
        <f t="shared" si="52"/>
        <v>27774268.604695067</v>
      </c>
      <c r="BV109" s="316"/>
      <c r="BW109" s="74">
        <v>58787978</v>
      </c>
      <c r="BX109" s="74">
        <v>21179532.330926426</v>
      </c>
      <c r="BY109" s="74">
        <v>26257433.474993903</v>
      </c>
      <c r="BZ109" s="74">
        <v>13231695.536078785</v>
      </c>
      <c r="CA109" s="74">
        <f t="shared" si="53"/>
        <v>1224315.5131435217</v>
      </c>
      <c r="CB109" s="74">
        <f t="shared" si="54"/>
        <v>310.74084704647476</v>
      </c>
      <c r="CC109" s="74">
        <f t="shared" si="55"/>
        <v>222.43175625108526</v>
      </c>
      <c r="CD109" s="74">
        <f t="shared" si="56"/>
        <v>-88.309090795389494</v>
      </c>
      <c r="CE109" s="74">
        <f t="shared" si="57"/>
        <v>76.179050747694504</v>
      </c>
      <c r="CF109" s="74">
        <f t="shared" si="58"/>
        <v>60.090384118699319</v>
      </c>
      <c r="CG109" s="74">
        <f t="shared" si="59"/>
        <v>43.900145126693808</v>
      </c>
      <c r="CH109" s="74">
        <f t="shared" si="60"/>
        <v>27.923945969907457</v>
      </c>
      <c r="CI109" s="74">
        <f t="shared" si="61"/>
        <v>591073.25475136167</v>
      </c>
      <c r="CJ109" s="74">
        <f t="shared" si="62"/>
        <v>466241.29037698801</v>
      </c>
      <c r="CK109" s="74">
        <f t="shared" si="63"/>
        <v>340621.22603801725</v>
      </c>
      <c r="CL109" s="74">
        <f t="shared" si="64"/>
        <v>216661.89678051195</v>
      </c>
      <c r="CM109" s="316"/>
      <c r="CN109" s="74">
        <v>22154.053772315663</v>
      </c>
      <c r="CO109" s="74">
        <v>2701.7000220000004</v>
      </c>
    </row>
    <row r="110" spans="1:93" x14ac:dyDescent="0.2">
      <c r="A110" s="74">
        <v>265</v>
      </c>
      <c r="B110" s="74" t="s">
        <v>233</v>
      </c>
      <c r="C110" s="74">
        <v>13</v>
      </c>
      <c r="D110" s="74">
        <v>1088</v>
      </c>
      <c r="E110" s="89">
        <v>3111076.560723477</v>
      </c>
      <c r="F110" s="74">
        <v>1263624.5525296545</v>
      </c>
      <c r="G110" s="74">
        <v>529142.99099999992</v>
      </c>
      <c r="H110" s="74">
        <v>526345.3872</v>
      </c>
      <c r="I110" s="74">
        <v>1010198.7309728772</v>
      </c>
      <c r="J110" s="74">
        <v>247147.490276939</v>
      </c>
      <c r="K110" s="74">
        <v>422994.28370602295</v>
      </c>
      <c r="L110" s="74">
        <v>-292077</v>
      </c>
      <c r="M110" s="75">
        <v>-30950</v>
      </c>
      <c r="N110" s="75">
        <v>8111.6257924735037</v>
      </c>
      <c r="O110" s="178">
        <f t="shared" si="35"/>
        <v>573461.50075449003</v>
      </c>
      <c r="P110" s="179">
        <f t="shared" si="36"/>
        <v>527.07858525228858</v>
      </c>
      <c r="Q110" s="74"/>
      <c r="R110" s="89">
        <v>8777590</v>
      </c>
      <c r="S110" s="74">
        <v>2830389.8644993538</v>
      </c>
      <c r="T110" s="74">
        <v>789518.0808</v>
      </c>
      <c r="U110" s="74">
        <v>4898256.8579043206</v>
      </c>
      <c r="V110" s="74">
        <v>824270.27838308737</v>
      </c>
      <c r="W110" s="74">
        <v>206115.99099999992</v>
      </c>
      <c r="X110" s="178">
        <f t="shared" si="37"/>
        <v>770961.07258676179</v>
      </c>
      <c r="Y110" s="179">
        <f t="shared" si="38"/>
        <v>708.60392700989132</v>
      </c>
      <c r="Z110" s="74"/>
      <c r="AA110" s="84">
        <f t="shared" si="39"/>
        <v>-197499.57183227176</v>
      </c>
      <c r="AB110" s="132">
        <f t="shared" si="40"/>
        <v>-181.52534175760272</v>
      </c>
      <c r="AD110" s="180">
        <v>202031.86959103993</v>
      </c>
      <c r="AE110" s="187">
        <v>184302.08826037965</v>
      </c>
      <c r="AF110" s="187">
        <v>166797.61896803288</v>
      </c>
      <c r="AG110" s="187">
        <v>149182.63894473089</v>
      </c>
      <c r="AH110" s="188">
        <v>131800.53426214732</v>
      </c>
      <c r="AJ110" s="74">
        <f t="shared" si="41"/>
        <v>1566765.3119696993</v>
      </c>
      <c r="AK110" s="74">
        <f t="shared" si="42"/>
        <v>263172.6936</v>
      </c>
      <c r="AL110" s="74">
        <f t="shared" si="43"/>
        <v>3888058.1269314433</v>
      </c>
      <c r="AM110" s="74">
        <f t="shared" si="44"/>
        <v>5666513.439276523</v>
      </c>
      <c r="AN110" s="74">
        <f t="shared" si="45"/>
        <v>202031.86959103993</v>
      </c>
      <c r="AO110" s="74">
        <f t="shared" si="46"/>
        <v>184302.08826037965</v>
      </c>
      <c r="AP110" s="74">
        <f t="shared" si="47"/>
        <v>166797.61896803288</v>
      </c>
      <c r="AQ110" s="74">
        <f t="shared" si="48"/>
        <v>149182.63894473089</v>
      </c>
      <c r="AR110" s="74">
        <f t="shared" si="49"/>
        <v>131800.53426214732</v>
      </c>
      <c r="AS110" s="75">
        <v>557</v>
      </c>
      <c r="AT110" s="75"/>
      <c r="AU110" s="75"/>
      <c r="AV110" s="75">
        <v>0</v>
      </c>
      <c r="AW110" s="75">
        <v>3416.8605415354718</v>
      </c>
      <c r="AX110" s="75">
        <v>-556.16623220780866</v>
      </c>
      <c r="AY110" s="75">
        <v>577.12278810614839</v>
      </c>
      <c r="AZ110" s="316"/>
      <c r="BA110" s="74"/>
      <c r="BB110" s="74"/>
      <c r="BC110" s="74"/>
      <c r="BD110" s="74"/>
      <c r="BE110" s="74"/>
      <c r="BF110" s="74"/>
      <c r="BG110" s="74"/>
      <c r="BM110" s="316"/>
      <c r="BN110" s="74">
        <v>3111076.560723477</v>
      </c>
      <c r="BO110" s="74">
        <v>5394736.7599999998</v>
      </c>
      <c r="BP110" s="74">
        <v>5456000</v>
      </c>
      <c r="BQ110" s="74">
        <v>98779.950000000012</v>
      </c>
      <c r="BR110" s="74">
        <v>109000</v>
      </c>
      <c r="BS110" s="406">
        <f t="shared" si="50"/>
        <v>0.55355106079947491</v>
      </c>
      <c r="BT110" s="406">
        <f t="shared" si="51"/>
        <v>0.33333333333333337</v>
      </c>
      <c r="BU110" s="74">
        <f t="shared" si="52"/>
        <v>4888175.1987436153</v>
      </c>
      <c r="BV110" s="316"/>
      <c r="BW110" s="74">
        <v>8777590</v>
      </c>
      <c r="BX110" s="74">
        <v>3111076.560723477</v>
      </c>
      <c r="BY110" s="74">
        <v>4149050.9362993538</v>
      </c>
      <c r="BZ110" s="74">
        <v>2319112.9307296546</v>
      </c>
      <c r="CA110" s="74">
        <f t="shared" si="53"/>
        <v>422994.28370602278</v>
      </c>
      <c r="CB110" s="74">
        <f t="shared" si="54"/>
        <v>708.60392700989087</v>
      </c>
      <c r="CC110" s="74">
        <f t="shared" si="55"/>
        <v>527.07858525228858</v>
      </c>
      <c r="CD110" s="74">
        <f t="shared" si="56"/>
        <v>-181.52534175760229</v>
      </c>
      <c r="CE110" s="74">
        <f t="shared" si="57"/>
        <v>169.3953017099073</v>
      </c>
      <c r="CF110" s="74">
        <f t="shared" si="58"/>
        <v>153.30663508091212</v>
      </c>
      <c r="CG110" s="74">
        <f t="shared" si="59"/>
        <v>137.11639608890661</v>
      </c>
      <c r="CH110" s="74">
        <f t="shared" si="60"/>
        <v>121.14019693212026</v>
      </c>
      <c r="CI110" s="74">
        <f t="shared" si="61"/>
        <v>184302.08826037915</v>
      </c>
      <c r="CJ110" s="74">
        <f t="shared" si="62"/>
        <v>166797.61896803239</v>
      </c>
      <c r="CK110" s="74">
        <f t="shared" si="63"/>
        <v>149182.6389447304</v>
      </c>
      <c r="CL110" s="74">
        <f t="shared" si="64"/>
        <v>131800.53426214686</v>
      </c>
      <c r="CM110" s="316"/>
      <c r="CN110" s="74">
        <v>2802.9012748151044</v>
      </c>
      <c r="CO110" s="74">
        <v>856.84132799999998</v>
      </c>
    </row>
    <row r="111" spans="1:93" x14ac:dyDescent="0.2">
      <c r="A111" s="74">
        <v>271</v>
      </c>
      <c r="B111" s="74" t="s">
        <v>234</v>
      </c>
      <c r="C111" s="74">
        <v>4</v>
      </c>
      <c r="D111" s="74">
        <v>6951</v>
      </c>
      <c r="E111" s="89">
        <v>16193599.683900308</v>
      </c>
      <c r="F111" s="74">
        <v>10460475.049495574</v>
      </c>
      <c r="G111" s="74">
        <v>2686601.0555999996</v>
      </c>
      <c r="H111" s="74">
        <v>1105747.8981999999</v>
      </c>
      <c r="I111" s="74">
        <v>3027653.0864260043</v>
      </c>
      <c r="J111" s="74">
        <v>1395556.1204614253</v>
      </c>
      <c r="K111" s="74">
        <v>-317440.41636771831</v>
      </c>
      <c r="L111" s="74">
        <v>-526308</v>
      </c>
      <c r="M111" s="75">
        <v>36200</v>
      </c>
      <c r="N111" s="75">
        <v>61571.659516189182</v>
      </c>
      <c r="O111" s="178">
        <f t="shared" si="35"/>
        <v>1736456.7694311664</v>
      </c>
      <c r="P111" s="179">
        <f t="shared" si="36"/>
        <v>249.81395042888309</v>
      </c>
      <c r="Q111" s="74"/>
      <c r="R111" s="89">
        <v>47610289</v>
      </c>
      <c r="S111" s="74">
        <v>23797827.634170905</v>
      </c>
      <c r="T111" s="74">
        <v>1658621.8473</v>
      </c>
      <c r="U111" s="74">
        <v>16812540.422366738</v>
      </c>
      <c r="V111" s="74">
        <v>4654368.250403774</v>
      </c>
      <c r="W111" s="74">
        <v>2196493.0555999996</v>
      </c>
      <c r="X111" s="178">
        <f t="shared" si="37"/>
        <v>1509562.2098414153</v>
      </c>
      <c r="Y111" s="179">
        <f t="shared" si="38"/>
        <v>217.17194789834775</v>
      </c>
      <c r="Z111" s="74"/>
      <c r="AA111" s="84">
        <f t="shared" si="39"/>
        <v>226894.55958975106</v>
      </c>
      <c r="AB111" s="132">
        <f t="shared" si="40"/>
        <v>32.642002530535329</v>
      </c>
      <c r="AD111" s="180">
        <v>-197938.67565481964</v>
      </c>
      <c r="AE111" s="187">
        <v>-102680.46796127153</v>
      </c>
      <c r="AF111" s="187">
        <v>-5982.7896994170133</v>
      </c>
      <c r="AG111" s="187">
        <v>4108.4186568962714</v>
      </c>
      <c r="AH111" s="188">
        <v>-2677.1416819256283</v>
      </c>
      <c r="AJ111" s="74">
        <f t="shared" si="41"/>
        <v>13337352.584675331</v>
      </c>
      <c r="AK111" s="74">
        <f t="shared" si="42"/>
        <v>552873.94910000009</v>
      </c>
      <c r="AL111" s="74">
        <f t="shared" si="43"/>
        <v>13784887.335940734</v>
      </c>
      <c r="AM111" s="74">
        <f t="shared" si="44"/>
        <v>31416689.316099692</v>
      </c>
      <c r="AN111" s="74">
        <f t="shared" si="45"/>
        <v>-197938.67565481964</v>
      </c>
      <c r="AO111" s="74">
        <f t="shared" si="46"/>
        <v>-102680.46796127153</v>
      </c>
      <c r="AP111" s="74">
        <f t="shared" si="47"/>
        <v>-5982.7896994170133</v>
      </c>
      <c r="AQ111" s="74">
        <f t="shared" si="48"/>
        <v>4108.4186568962714</v>
      </c>
      <c r="AR111" s="74">
        <f t="shared" si="49"/>
        <v>-2677.1416819256283</v>
      </c>
      <c r="AS111" s="75">
        <v>2134</v>
      </c>
      <c r="AT111" s="75"/>
      <c r="AU111" s="75"/>
      <c r="AV111" s="75">
        <v>0</v>
      </c>
      <c r="AW111" s="75">
        <v>11428.162174920388</v>
      </c>
      <c r="AX111" s="75">
        <v>-2375.008472230284</v>
      </c>
      <c r="AY111" s="75">
        <v>3258.8121299423487</v>
      </c>
      <c r="AZ111" s="316"/>
      <c r="BA111" s="74"/>
      <c r="BB111" s="74"/>
      <c r="BC111" s="74"/>
      <c r="BD111" s="74"/>
      <c r="BE111" s="74"/>
      <c r="BF111" s="74"/>
      <c r="BG111" s="74"/>
      <c r="BM111" s="316"/>
      <c r="BN111" s="74">
        <v>16193599.683900308</v>
      </c>
      <c r="BO111" s="74">
        <v>29920069.139999997</v>
      </c>
      <c r="BP111" s="74">
        <v>30464000</v>
      </c>
      <c r="BQ111" s="74">
        <v>840797.79</v>
      </c>
      <c r="BR111" s="74">
        <v>683000</v>
      </c>
      <c r="BS111" s="406">
        <f t="shared" si="50"/>
        <v>0.56044412077026928</v>
      </c>
      <c r="BT111" s="406">
        <f t="shared" si="51"/>
        <v>0.33333333333333337</v>
      </c>
      <c r="BU111" s="74">
        <f t="shared" si="52"/>
        <v>16726259.049515365</v>
      </c>
      <c r="BV111" s="316"/>
      <c r="BW111" s="74">
        <v>47610289</v>
      </c>
      <c r="BX111" s="74">
        <v>16193599.683900308</v>
      </c>
      <c r="BY111" s="74">
        <v>28143050.537070904</v>
      </c>
      <c r="BZ111" s="74">
        <v>14252824.003295572</v>
      </c>
      <c r="CA111" s="74">
        <f t="shared" si="53"/>
        <v>-317440.41636772372</v>
      </c>
      <c r="CB111" s="74">
        <f t="shared" si="54"/>
        <v>217.17194789834804</v>
      </c>
      <c r="CC111" s="74">
        <f t="shared" si="55"/>
        <v>249.81395042888229</v>
      </c>
      <c r="CD111" s="74">
        <f t="shared" si="56"/>
        <v>32.642002530534256</v>
      </c>
      <c r="CE111" s="74">
        <f t="shared" si="57"/>
        <v>-14.772042578229252</v>
      </c>
      <c r="CF111" s="74">
        <f t="shared" si="58"/>
        <v>-0.86070920722443001</v>
      </c>
      <c r="CG111" s="74">
        <f t="shared" si="59"/>
        <v>0.59105433130431184</v>
      </c>
      <c r="CH111" s="74">
        <f t="shared" si="60"/>
        <v>-0.38514482548203544</v>
      </c>
      <c r="CI111" s="74">
        <f t="shared" si="61"/>
        <v>-102680.46796127153</v>
      </c>
      <c r="CJ111" s="74">
        <f t="shared" si="62"/>
        <v>-5982.7896994170133</v>
      </c>
      <c r="CK111" s="74">
        <f t="shared" si="63"/>
        <v>4108.4186568962714</v>
      </c>
      <c r="CL111" s="74">
        <f t="shared" si="64"/>
        <v>-2677.1416819256283</v>
      </c>
      <c r="CM111" s="316"/>
      <c r="CN111" s="74">
        <v>23981.158048425415</v>
      </c>
      <c r="CO111" s="74">
        <v>1800.0547179999999</v>
      </c>
    </row>
    <row r="112" spans="1:93" x14ac:dyDescent="0.2">
      <c r="A112" s="74">
        <v>272</v>
      </c>
      <c r="B112" s="74" t="s">
        <v>235</v>
      </c>
      <c r="C112" s="74">
        <v>16</v>
      </c>
      <c r="D112" s="74">
        <v>47909</v>
      </c>
      <c r="E112" s="89">
        <v>129830398.33197793</v>
      </c>
      <c r="F112" s="74">
        <v>75664395.08442001</v>
      </c>
      <c r="G112" s="74">
        <v>15506499.566</v>
      </c>
      <c r="H112" s="74">
        <v>14079057.239399999</v>
      </c>
      <c r="I112" s="74">
        <v>31670733.387388606</v>
      </c>
      <c r="J112" s="74">
        <v>7387532.0203886926</v>
      </c>
      <c r="K112" s="74">
        <v>-6039909.8979731565</v>
      </c>
      <c r="L112" s="74">
        <v>-1143709</v>
      </c>
      <c r="M112" s="75">
        <v>374500</v>
      </c>
      <c r="N112" s="75">
        <v>480804.08790991991</v>
      </c>
      <c r="O112" s="178">
        <f t="shared" si="35"/>
        <v>8149504.1555561423</v>
      </c>
      <c r="P112" s="179">
        <f t="shared" si="36"/>
        <v>170.10382507579249</v>
      </c>
      <c r="Q112" s="74"/>
      <c r="R112" s="89">
        <v>317923429</v>
      </c>
      <c r="S112" s="74">
        <v>177091614.83420369</v>
      </c>
      <c r="T112" s="74">
        <v>21118585.859099999</v>
      </c>
      <c r="U112" s="74">
        <v>85731511.154135481</v>
      </c>
      <c r="V112" s="74">
        <v>24638417.603134144</v>
      </c>
      <c r="W112" s="74">
        <v>14737290.566</v>
      </c>
      <c r="X112" s="178">
        <f t="shared" si="37"/>
        <v>5393991.0165733099</v>
      </c>
      <c r="Y112" s="179">
        <f t="shared" si="38"/>
        <v>112.58826142422738</v>
      </c>
      <c r="Z112" s="74"/>
      <c r="AA112" s="84">
        <f t="shared" si="39"/>
        <v>2755513.1389828324</v>
      </c>
      <c r="AB112" s="132">
        <f t="shared" si="40"/>
        <v>57.515563651565103</v>
      </c>
      <c r="AD112" s="180">
        <v>-2555937.9061475177</v>
      </c>
      <c r="AE112" s="187">
        <v>-1899381.2276278522</v>
      </c>
      <c r="AF112" s="187">
        <v>-1232903.157156382</v>
      </c>
      <c r="AG112" s="187">
        <v>-571291.31702437426</v>
      </c>
      <c r="AH112" s="188">
        <v>-18451.903444018837</v>
      </c>
      <c r="AJ112" s="74">
        <f t="shared" si="41"/>
        <v>101427219.74978368</v>
      </c>
      <c r="AK112" s="74">
        <f t="shared" si="42"/>
        <v>7039528.6196999997</v>
      </c>
      <c r="AL112" s="74">
        <f t="shared" si="43"/>
        <v>54060777.766746879</v>
      </c>
      <c r="AM112" s="74">
        <f t="shared" si="44"/>
        <v>188093030.66802207</v>
      </c>
      <c r="AN112" s="74">
        <f t="shared" si="45"/>
        <v>-2555937.9061475177</v>
      </c>
      <c r="AO112" s="74">
        <f t="shared" si="46"/>
        <v>-1899381.2276278522</v>
      </c>
      <c r="AP112" s="74">
        <f t="shared" si="47"/>
        <v>-1232903.157156382</v>
      </c>
      <c r="AQ112" s="74">
        <f t="shared" si="48"/>
        <v>-571291.31702437426</v>
      </c>
      <c r="AR112" s="74">
        <f t="shared" si="49"/>
        <v>-18451.903444018837</v>
      </c>
      <c r="AS112" s="75">
        <v>14610</v>
      </c>
      <c r="AT112" s="75"/>
      <c r="AU112" s="75"/>
      <c r="AV112" s="75">
        <v>188</v>
      </c>
      <c r="AW112" s="75">
        <v>47886.132637849332</v>
      </c>
      <c r="AX112" s="75">
        <v>-4924.3370200030313</v>
      </c>
      <c r="AY112" s="75">
        <v>17250.885582745454</v>
      </c>
      <c r="AZ112" s="316"/>
      <c r="BA112" s="74"/>
      <c r="BB112" s="74"/>
      <c r="BC112" s="74"/>
      <c r="BD112" s="74"/>
      <c r="BE112" s="74"/>
      <c r="BF112" s="74"/>
      <c r="BG112" s="74"/>
      <c r="BM112" s="316"/>
      <c r="BN112" s="74">
        <v>129830398.33197793</v>
      </c>
      <c r="BO112" s="74">
        <v>179925931.28</v>
      </c>
      <c r="BP112" s="74">
        <v>187803000</v>
      </c>
      <c r="BQ112" s="74">
        <v>4139248.4399999985</v>
      </c>
      <c r="BR112" s="74">
        <v>5222000</v>
      </c>
      <c r="BS112" s="406">
        <f t="shared" si="50"/>
        <v>0.57273869146623135</v>
      </c>
      <c r="BT112" s="406">
        <f t="shared" si="51"/>
        <v>0.33333333333333337</v>
      </c>
      <c r="BU112" s="74">
        <f t="shared" si="52"/>
        <v>65271753.451519169</v>
      </c>
      <c r="BV112" s="316"/>
      <c r="BW112" s="74">
        <v>317923429</v>
      </c>
      <c r="BX112" s="74">
        <v>129830398.33197793</v>
      </c>
      <c r="BY112" s="74">
        <v>213716700.25930369</v>
      </c>
      <c r="BZ112" s="74">
        <v>105249951.88982001</v>
      </c>
      <c r="CA112" s="74">
        <f t="shared" si="53"/>
        <v>-6039909.8979731807</v>
      </c>
      <c r="CB112" s="74">
        <f t="shared" si="54"/>
        <v>112.58826142422747</v>
      </c>
      <c r="CC112" s="74">
        <f t="shared" si="55"/>
        <v>170.10382507579189</v>
      </c>
      <c r="CD112" s="74">
        <f t="shared" si="56"/>
        <v>57.51556365156442</v>
      </c>
      <c r="CE112" s="74">
        <f t="shared" si="57"/>
        <v>-39.645603699259418</v>
      </c>
      <c r="CF112" s="74">
        <f t="shared" si="58"/>
        <v>-25.734270328254595</v>
      </c>
      <c r="CG112" s="74">
        <f t="shared" si="59"/>
        <v>-11.924509320260109</v>
      </c>
      <c r="CH112" s="74">
        <f t="shared" si="60"/>
        <v>-0.38514482548203544</v>
      </c>
      <c r="CI112" s="74">
        <f t="shared" si="61"/>
        <v>-1899381.2276278194</v>
      </c>
      <c r="CJ112" s="74">
        <f t="shared" si="62"/>
        <v>-1232903.1571563494</v>
      </c>
      <c r="CK112" s="74">
        <f t="shared" si="63"/>
        <v>-571291.31702434155</v>
      </c>
      <c r="CL112" s="74">
        <f t="shared" si="64"/>
        <v>-18451.903444018837</v>
      </c>
      <c r="CM112" s="316"/>
      <c r="CN112" s="74">
        <v>181741.86758911592</v>
      </c>
      <c r="CO112" s="74">
        <v>22919.395505999997</v>
      </c>
    </row>
    <row r="113" spans="1:93" x14ac:dyDescent="0.2">
      <c r="A113" s="74">
        <v>273</v>
      </c>
      <c r="B113" s="74" t="s">
        <v>236</v>
      </c>
      <c r="C113" s="74">
        <v>19</v>
      </c>
      <c r="D113" s="74">
        <v>3989</v>
      </c>
      <c r="E113" s="89">
        <v>12728154.278035901</v>
      </c>
      <c r="F113" s="74">
        <v>4781717.8793406328</v>
      </c>
      <c r="G113" s="74">
        <v>3941596.4898999999</v>
      </c>
      <c r="H113" s="74">
        <v>755448.03700000001</v>
      </c>
      <c r="I113" s="74">
        <v>4026418.5077845654</v>
      </c>
      <c r="J113" s="74">
        <v>768043.32205620874</v>
      </c>
      <c r="K113" s="74">
        <v>-814129.30658958305</v>
      </c>
      <c r="L113" s="74">
        <v>-220393</v>
      </c>
      <c r="M113" s="75">
        <v>-44500</v>
      </c>
      <c r="N113" s="75">
        <v>31996.609943997497</v>
      </c>
      <c r="O113" s="178">
        <f t="shared" si="35"/>
        <v>498044.26139992103</v>
      </c>
      <c r="P113" s="179">
        <f t="shared" si="36"/>
        <v>124.85441499120607</v>
      </c>
      <c r="Q113" s="74"/>
      <c r="R113" s="89">
        <v>32685161</v>
      </c>
      <c r="S113" s="74">
        <v>11622252.454603499</v>
      </c>
      <c r="T113" s="74">
        <v>1133172.0555</v>
      </c>
      <c r="U113" s="74">
        <v>15132686.510917818</v>
      </c>
      <c r="V113" s="74">
        <v>2561528.2686955687</v>
      </c>
      <c r="W113" s="74">
        <v>3676703.4898999999</v>
      </c>
      <c r="X113" s="178">
        <f t="shared" si="37"/>
        <v>1441181.7796168849</v>
      </c>
      <c r="Y113" s="179">
        <f t="shared" si="38"/>
        <v>361.2889896256919</v>
      </c>
      <c r="Z113" s="74"/>
      <c r="AA113" s="84">
        <f t="shared" si="39"/>
        <v>-943137.51821696386</v>
      </c>
      <c r="AB113" s="132">
        <f t="shared" si="40"/>
        <v>-236.43457463448581</v>
      </c>
      <c r="AD113" s="180">
        <v>959754.55476083176</v>
      </c>
      <c r="AE113" s="187">
        <v>894750.78846671048</v>
      </c>
      <c r="AF113" s="187">
        <v>830573.09728364868</v>
      </c>
      <c r="AG113" s="187">
        <v>765990.23394453875</v>
      </c>
      <c r="AH113" s="188">
        <v>702261.175508118</v>
      </c>
      <c r="AJ113" s="74">
        <f t="shared" si="41"/>
        <v>6840534.575262866</v>
      </c>
      <c r="AK113" s="74">
        <f t="shared" si="42"/>
        <v>377724.01850000001</v>
      </c>
      <c r="AL113" s="74">
        <f t="shared" si="43"/>
        <v>11106268.003133252</v>
      </c>
      <c r="AM113" s="74">
        <f t="shared" si="44"/>
        <v>19957006.721964099</v>
      </c>
      <c r="AN113" s="74">
        <f t="shared" si="45"/>
        <v>959754.55476083176</v>
      </c>
      <c r="AO113" s="74">
        <f t="shared" si="46"/>
        <v>894750.78846671048</v>
      </c>
      <c r="AP113" s="74">
        <f t="shared" si="47"/>
        <v>830573.09728364868</v>
      </c>
      <c r="AQ113" s="74">
        <f t="shared" si="48"/>
        <v>765990.23394453875</v>
      </c>
      <c r="AR113" s="74">
        <f t="shared" si="49"/>
        <v>702261.175508118</v>
      </c>
      <c r="AS113" s="75">
        <v>1591</v>
      </c>
      <c r="AT113" s="75"/>
      <c r="AU113" s="75"/>
      <c r="AV113" s="75">
        <v>68</v>
      </c>
      <c r="AW113" s="75">
        <v>8191.1496478449963</v>
      </c>
      <c r="AX113" s="75">
        <v>-1430.958596252802</v>
      </c>
      <c r="AY113" s="75">
        <v>1793.48494663936</v>
      </c>
      <c r="AZ113" s="316"/>
      <c r="BA113" s="74"/>
      <c r="BB113" s="74"/>
      <c r="BC113" s="74"/>
      <c r="BD113" s="74"/>
      <c r="BE113" s="74"/>
      <c r="BF113" s="74"/>
      <c r="BG113" s="74"/>
      <c r="BM113" s="316"/>
      <c r="BN113" s="74">
        <v>12728154.278035901</v>
      </c>
      <c r="BO113" s="74">
        <v>19522007.749999996</v>
      </c>
      <c r="BP113" s="74">
        <v>19880000</v>
      </c>
      <c r="BQ113" s="74">
        <v>523191</v>
      </c>
      <c r="BR113" s="74">
        <v>562000</v>
      </c>
      <c r="BS113" s="406">
        <f t="shared" si="50"/>
        <v>0.58857218959766922</v>
      </c>
      <c r="BT113" s="406">
        <f t="shared" si="51"/>
        <v>0.33333333333333337</v>
      </c>
      <c r="BU113" s="74">
        <f t="shared" si="52"/>
        <v>12085623.64318303</v>
      </c>
      <c r="BV113" s="316"/>
      <c r="BW113" s="74">
        <v>32685161</v>
      </c>
      <c r="BX113" s="74">
        <v>12728154.278035901</v>
      </c>
      <c r="BY113" s="74">
        <v>16697021.0000035</v>
      </c>
      <c r="BZ113" s="74">
        <v>9478762.4062406328</v>
      </c>
      <c r="CA113" s="74">
        <f t="shared" si="53"/>
        <v>-814129.30658958503</v>
      </c>
      <c r="CB113" s="74">
        <f t="shared" si="54"/>
        <v>361.28898962569269</v>
      </c>
      <c r="CC113" s="74">
        <f t="shared" si="55"/>
        <v>124.8544149912053</v>
      </c>
      <c r="CD113" s="74">
        <f t="shared" si="56"/>
        <v>-236.43457463448738</v>
      </c>
      <c r="CE113" s="74">
        <f t="shared" si="57"/>
        <v>224.30453458679239</v>
      </c>
      <c r="CF113" s="74">
        <f t="shared" si="58"/>
        <v>208.2158679577972</v>
      </c>
      <c r="CG113" s="74">
        <f t="shared" si="59"/>
        <v>192.0256289657917</v>
      </c>
      <c r="CH113" s="74">
        <f t="shared" si="60"/>
        <v>176.04942980900535</v>
      </c>
      <c r="CI113" s="74">
        <f t="shared" si="61"/>
        <v>894750.78846671479</v>
      </c>
      <c r="CJ113" s="74">
        <f t="shared" si="62"/>
        <v>830573.09728365298</v>
      </c>
      <c r="CK113" s="74">
        <f t="shared" si="63"/>
        <v>765990.23394454306</v>
      </c>
      <c r="CL113" s="74">
        <f t="shared" si="64"/>
        <v>702261.17550812231</v>
      </c>
      <c r="CM113" s="316"/>
      <c r="CN113" s="74">
        <v>12627.28789037199</v>
      </c>
      <c r="CO113" s="74">
        <v>1229.7991299999999</v>
      </c>
    </row>
    <row r="114" spans="1:93" x14ac:dyDescent="0.2">
      <c r="A114" s="74">
        <v>275</v>
      </c>
      <c r="B114" s="74" t="s">
        <v>237</v>
      </c>
      <c r="C114" s="74">
        <v>13</v>
      </c>
      <c r="D114" s="74">
        <v>2586</v>
      </c>
      <c r="E114" s="89">
        <v>7360183.4217093531</v>
      </c>
      <c r="F114" s="74">
        <v>3399733.576937573</v>
      </c>
      <c r="G114" s="74">
        <v>826887.69649999996</v>
      </c>
      <c r="H114" s="74">
        <v>659306.09140000003</v>
      </c>
      <c r="I114" s="74">
        <v>1520656.2879282578</v>
      </c>
      <c r="J114" s="74">
        <v>550781.57958564861</v>
      </c>
      <c r="K114" s="74">
        <v>448194.39721103443</v>
      </c>
      <c r="L114" s="74">
        <v>-20093</v>
      </c>
      <c r="M114" s="75">
        <v>121300</v>
      </c>
      <c r="N114" s="75">
        <v>19814.061395644138</v>
      </c>
      <c r="O114" s="178">
        <f t="shared" si="35"/>
        <v>166397.26924880594</v>
      </c>
      <c r="P114" s="179">
        <f t="shared" si="36"/>
        <v>64.345425076877774</v>
      </c>
      <c r="Q114" s="74"/>
      <c r="R114" s="89">
        <v>19272983</v>
      </c>
      <c r="S114" s="74">
        <v>7540023.4157113135</v>
      </c>
      <c r="T114" s="74">
        <v>988959.13710000005</v>
      </c>
      <c r="U114" s="74">
        <v>8595478.5085346065</v>
      </c>
      <c r="V114" s="74">
        <v>1836930.9978613227</v>
      </c>
      <c r="W114" s="74">
        <v>928094.69649999996</v>
      </c>
      <c r="X114" s="178">
        <f t="shared" si="37"/>
        <v>616503.75570724159</v>
      </c>
      <c r="Y114" s="179">
        <f t="shared" si="38"/>
        <v>238.40052424873997</v>
      </c>
      <c r="Z114" s="74"/>
      <c r="AA114" s="84">
        <f t="shared" si="39"/>
        <v>-450106.48645843565</v>
      </c>
      <c r="AB114" s="132">
        <f t="shared" si="40"/>
        <v>-174.0550991718622</v>
      </c>
      <c r="AD114" s="180">
        <v>460879.02506521362</v>
      </c>
      <c r="AE114" s="187">
        <v>418738.20289509639</v>
      </c>
      <c r="AF114" s="187">
        <v>377132.91099251487</v>
      </c>
      <c r="AG114" s="187">
        <v>335264.95295918861</v>
      </c>
      <c r="AH114" s="188">
        <v>293950.5019397391</v>
      </c>
      <c r="AJ114" s="74">
        <f t="shared" si="41"/>
        <v>4140289.8387737405</v>
      </c>
      <c r="AK114" s="74">
        <f t="shared" si="42"/>
        <v>329653.04570000002</v>
      </c>
      <c r="AL114" s="74">
        <f t="shared" si="43"/>
        <v>7074822.2206063485</v>
      </c>
      <c r="AM114" s="74">
        <f t="shared" si="44"/>
        <v>11912799.578290647</v>
      </c>
      <c r="AN114" s="74">
        <f t="shared" si="45"/>
        <v>460879.02506521362</v>
      </c>
      <c r="AO114" s="74">
        <f t="shared" si="46"/>
        <v>418738.20289509639</v>
      </c>
      <c r="AP114" s="74">
        <f t="shared" si="47"/>
        <v>377132.91099251487</v>
      </c>
      <c r="AQ114" s="74">
        <f t="shared" si="48"/>
        <v>335264.95295918861</v>
      </c>
      <c r="AR114" s="74">
        <f t="shared" si="49"/>
        <v>293950.5019397391</v>
      </c>
      <c r="AS114" s="75">
        <v>1115</v>
      </c>
      <c r="AT114" s="75"/>
      <c r="AU114" s="75"/>
      <c r="AV114" s="75">
        <v>132</v>
      </c>
      <c r="AW114" s="75">
        <v>5606.934490218021</v>
      </c>
      <c r="AX114" s="75">
        <v>-1317.6994465170992</v>
      </c>
      <c r="AY114" s="75">
        <v>1286.1494182756742</v>
      </c>
      <c r="AZ114" s="316"/>
      <c r="BA114" s="74"/>
      <c r="BB114" s="74"/>
      <c r="BC114" s="74"/>
      <c r="BD114" s="74"/>
      <c r="BE114" s="74"/>
      <c r="BF114" s="74"/>
      <c r="BG114" s="74"/>
      <c r="BM114" s="316"/>
      <c r="BN114" s="74">
        <v>7360183.4217093531</v>
      </c>
      <c r="BO114" s="74">
        <v>11288831.539999999</v>
      </c>
      <c r="BP114" s="74">
        <v>11485000</v>
      </c>
      <c r="BQ114" s="74">
        <v>242696.94999999998</v>
      </c>
      <c r="BR114" s="74">
        <v>257000</v>
      </c>
      <c r="BS114" s="406">
        <f t="shared" si="50"/>
        <v>0.54910835291923987</v>
      </c>
      <c r="BT114" s="406">
        <f t="shared" si="51"/>
        <v>0.33333333333333337</v>
      </c>
      <c r="BU114" s="74">
        <f t="shared" si="52"/>
        <v>8809166.0360930562</v>
      </c>
      <c r="BV114" s="316"/>
      <c r="BW114" s="74">
        <v>19272983</v>
      </c>
      <c r="BX114" s="74">
        <v>7360183.4217093531</v>
      </c>
      <c r="BY114" s="74">
        <v>9355870.249311313</v>
      </c>
      <c r="BZ114" s="74">
        <v>4885927.3648375729</v>
      </c>
      <c r="CA114" s="74">
        <f t="shared" si="53"/>
        <v>448194.39721103344</v>
      </c>
      <c r="CB114" s="74">
        <f t="shared" si="54"/>
        <v>238.4005242487404</v>
      </c>
      <c r="CC114" s="74">
        <f t="shared" si="55"/>
        <v>64.345425076876964</v>
      </c>
      <c r="CD114" s="74">
        <f t="shared" si="56"/>
        <v>-174.05509917186345</v>
      </c>
      <c r="CE114" s="74">
        <f t="shared" si="57"/>
        <v>161.92505912416846</v>
      </c>
      <c r="CF114" s="74">
        <f t="shared" si="58"/>
        <v>145.83639249517327</v>
      </c>
      <c r="CG114" s="74">
        <f t="shared" si="59"/>
        <v>129.64615350316777</v>
      </c>
      <c r="CH114" s="74">
        <f t="shared" si="60"/>
        <v>113.66995434638142</v>
      </c>
      <c r="CI114" s="74">
        <f t="shared" si="61"/>
        <v>418738.20289509965</v>
      </c>
      <c r="CJ114" s="74">
        <f t="shared" si="62"/>
        <v>377132.91099251807</v>
      </c>
      <c r="CK114" s="74">
        <f t="shared" si="63"/>
        <v>335264.95295919187</v>
      </c>
      <c r="CL114" s="74">
        <f t="shared" si="64"/>
        <v>293950.50193974236</v>
      </c>
      <c r="CM114" s="316"/>
      <c r="CN114" s="74">
        <v>7754.6885405676148</v>
      </c>
      <c r="CO114" s="74">
        <v>1073.288986</v>
      </c>
    </row>
    <row r="115" spans="1:93" x14ac:dyDescent="0.2">
      <c r="A115" s="74">
        <v>276</v>
      </c>
      <c r="B115" s="74" t="s">
        <v>238</v>
      </c>
      <c r="C115" s="74">
        <v>12</v>
      </c>
      <c r="D115" s="74">
        <v>15035</v>
      </c>
      <c r="E115" s="89">
        <v>43866919.504340574</v>
      </c>
      <c r="F115" s="74">
        <v>20882564.21408125</v>
      </c>
      <c r="G115" s="74">
        <v>3182555.7898000004</v>
      </c>
      <c r="H115" s="74">
        <v>2292343.1751999999</v>
      </c>
      <c r="I115" s="74">
        <v>15449078.571341233</v>
      </c>
      <c r="J115" s="74">
        <v>2081577.7662666803</v>
      </c>
      <c r="K115" s="74">
        <v>1817430.1323513938</v>
      </c>
      <c r="L115" s="74">
        <v>-1632645</v>
      </c>
      <c r="M115" s="75">
        <v>-774000</v>
      </c>
      <c r="N115" s="75">
        <v>143173.76665551917</v>
      </c>
      <c r="O115" s="178">
        <f t="shared" si="35"/>
        <v>-424841.0886444971</v>
      </c>
      <c r="P115" s="179">
        <f t="shared" si="36"/>
        <v>-28.256806694013775</v>
      </c>
      <c r="Q115" s="74"/>
      <c r="R115" s="89">
        <v>86015596</v>
      </c>
      <c r="S115" s="74">
        <v>52035604.117055945</v>
      </c>
      <c r="T115" s="74">
        <v>3438514.7628000001</v>
      </c>
      <c r="U115" s="74">
        <v>22812030.648967557</v>
      </c>
      <c r="V115" s="74">
        <v>6942343.1447921079</v>
      </c>
      <c r="W115" s="74">
        <v>775910.78980000038</v>
      </c>
      <c r="X115" s="178">
        <f t="shared" si="37"/>
        <v>-11192.53658439219</v>
      </c>
      <c r="Y115" s="179">
        <f t="shared" si="38"/>
        <v>-0.74443209739888194</v>
      </c>
      <c r="Z115" s="74"/>
      <c r="AA115" s="84">
        <f t="shared" si="39"/>
        <v>-413648.55206010491</v>
      </c>
      <c r="AB115" s="132">
        <f t="shared" si="40"/>
        <v>-27.512374596614894</v>
      </c>
      <c r="AD115" s="180">
        <v>476280.07485705236</v>
      </c>
      <c r="AE115" s="187">
        <v>231273.39994301068</v>
      </c>
      <c r="AF115" s="187">
        <v>26781.745115963236</v>
      </c>
      <c r="AG115" s="187">
        <v>8886.5018711603279</v>
      </c>
      <c r="AH115" s="188">
        <v>-5790.6524511224025</v>
      </c>
      <c r="AJ115" s="74">
        <f t="shared" si="41"/>
        <v>31153039.902974695</v>
      </c>
      <c r="AK115" s="74">
        <f t="shared" si="42"/>
        <v>1146171.5876000002</v>
      </c>
      <c r="AL115" s="74">
        <f t="shared" si="43"/>
        <v>7362952.0776263233</v>
      </c>
      <c r="AM115" s="74">
        <f t="shared" si="44"/>
        <v>42148676.495659426</v>
      </c>
      <c r="AN115" s="74">
        <f t="shared" si="45"/>
        <v>476280.07485705236</v>
      </c>
      <c r="AO115" s="74">
        <f t="shared" si="46"/>
        <v>231273.39994301068</v>
      </c>
      <c r="AP115" s="74">
        <f t="shared" si="47"/>
        <v>26781.745115963236</v>
      </c>
      <c r="AQ115" s="74">
        <f t="shared" si="48"/>
        <v>8886.5018711603279</v>
      </c>
      <c r="AR115" s="74">
        <f t="shared" si="49"/>
        <v>-5790.6524511224025</v>
      </c>
      <c r="AS115" s="75">
        <v>5987</v>
      </c>
      <c r="AT115" s="75"/>
      <c r="AU115" s="75"/>
      <c r="AV115" s="75">
        <v>0</v>
      </c>
      <c r="AW115" s="75">
        <v>5358.4200488020924</v>
      </c>
      <c r="AX115" s="75">
        <v>-2809.0265095150489</v>
      </c>
      <c r="AY115" s="75">
        <v>4860.7653785254279</v>
      </c>
      <c r="AZ115" s="316"/>
      <c r="BA115" s="74"/>
      <c r="BB115" s="74"/>
      <c r="BC115" s="74"/>
      <c r="BD115" s="74"/>
      <c r="BE115" s="74"/>
      <c r="BF115" s="74"/>
      <c r="BG115" s="74"/>
      <c r="BM115" s="316"/>
      <c r="BN115" s="74">
        <v>43866919.504340574</v>
      </c>
      <c r="BO115" s="74">
        <v>39743661.489999995</v>
      </c>
      <c r="BP115" s="74">
        <v>45005000</v>
      </c>
      <c r="BQ115" s="74">
        <v>1263124</v>
      </c>
      <c r="BR115" s="74">
        <v>1631000</v>
      </c>
      <c r="BS115" s="406">
        <f t="shared" si="50"/>
        <v>0.5986870034773657</v>
      </c>
      <c r="BT115" s="406">
        <f t="shared" si="51"/>
        <v>0.33333333333333337</v>
      </c>
      <c r="BU115" s="74">
        <f t="shared" si="52"/>
        <v>14041147.588503148</v>
      </c>
      <c r="BV115" s="316"/>
      <c r="BW115" s="74">
        <v>86015596</v>
      </c>
      <c r="BX115" s="74">
        <v>43866919.504340574</v>
      </c>
      <c r="BY115" s="74">
        <v>58656674.669655949</v>
      </c>
      <c r="BZ115" s="74">
        <v>26357463.17908125</v>
      </c>
      <c r="CA115" s="74">
        <f t="shared" si="53"/>
        <v>1817430.1323513885</v>
      </c>
      <c r="CB115" s="74">
        <f t="shared" si="54"/>
        <v>-0.74443209739869609</v>
      </c>
      <c r="CC115" s="74">
        <f t="shared" si="55"/>
        <v>-28.256806694014163</v>
      </c>
      <c r="CD115" s="74">
        <f t="shared" si="56"/>
        <v>-27.512374596615466</v>
      </c>
      <c r="CE115" s="74">
        <f t="shared" si="57"/>
        <v>15.38233454892047</v>
      </c>
      <c r="CF115" s="74">
        <f t="shared" si="58"/>
        <v>1.7812933233098263</v>
      </c>
      <c r="CG115" s="74">
        <f t="shared" si="59"/>
        <v>0.59105433130431184</v>
      </c>
      <c r="CH115" s="74">
        <f t="shared" si="60"/>
        <v>-0.38514482548203544</v>
      </c>
      <c r="CI115" s="74">
        <f t="shared" si="61"/>
        <v>231273.39994301926</v>
      </c>
      <c r="CJ115" s="74">
        <f t="shared" si="62"/>
        <v>26781.745115963236</v>
      </c>
      <c r="CK115" s="74">
        <f t="shared" si="63"/>
        <v>8886.5018711603279</v>
      </c>
      <c r="CL115" s="74">
        <f t="shared" si="64"/>
        <v>-5790.6524511224025</v>
      </c>
      <c r="CM115" s="316"/>
      <c r="CN115" s="74">
        <v>54507.339270720084</v>
      </c>
      <c r="CO115" s="74">
        <v>3731.7214480000002</v>
      </c>
    </row>
    <row r="116" spans="1:93" x14ac:dyDescent="0.2">
      <c r="A116" s="74">
        <v>280</v>
      </c>
      <c r="B116" s="74" t="s">
        <v>239</v>
      </c>
      <c r="C116" s="74">
        <v>15</v>
      </c>
      <c r="D116" s="74">
        <v>2050</v>
      </c>
      <c r="E116" s="89">
        <v>6863132.3766965009</v>
      </c>
      <c r="F116" s="74">
        <v>2868221.9213643288</v>
      </c>
      <c r="G116" s="74">
        <v>828931.98550000007</v>
      </c>
      <c r="H116" s="74">
        <v>479253.99740000005</v>
      </c>
      <c r="I116" s="74">
        <v>2031641.3447738744</v>
      </c>
      <c r="J116" s="74">
        <v>517235.56005127076</v>
      </c>
      <c r="K116" s="74">
        <v>-7852.4502045848512</v>
      </c>
      <c r="L116" s="74">
        <v>-259196</v>
      </c>
      <c r="M116" s="75">
        <v>-23600</v>
      </c>
      <c r="N116" s="75">
        <v>15998.768104028108</v>
      </c>
      <c r="O116" s="178">
        <f t="shared" si="35"/>
        <v>-412497.24970758334</v>
      </c>
      <c r="P116" s="179">
        <f t="shared" si="36"/>
        <v>-201.21817058906504</v>
      </c>
      <c r="Q116" s="74"/>
      <c r="R116" s="89">
        <v>15455190</v>
      </c>
      <c r="S116" s="74">
        <v>6237828.6995752659</v>
      </c>
      <c r="T116" s="74">
        <v>718880.99610000011</v>
      </c>
      <c r="U116" s="74">
        <v>6063293.7948427089</v>
      </c>
      <c r="V116" s="74">
        <v>1725050.4894682902</v>
      </c>
      <c r="W116" s="74">
        <v>546135.98550000007</v>
      </c>
      <c r="X116" s="178">
        <f t="shared" si="37"/>
        <v>-164000.03451373614</v>
      </c>
      <c r="Y116" s="179">
        <f t="shared" si="38"/>
        <v>-80.00001683596885</v>
      </c>
      <c r="Z116" s="74"/>
      <c r="AA116" s="84">
        <f t="shared" si="39"/>
        <v>-248497.21519384719</v>
      </c>
      <c r="AB116" s="132">
        <f t="shared" si="40"/>
        <v>-121.21815375309619</v>
      </c>
      <c r="AD116" s="180">
        <v>257036.93064005551</v>
      </c>
      <c r="AE116" s="187">
        <v>223630.63309607244</v>
      </c>
      <c r="AF116" s="187">
        <v>190648.86650663233</v>
      </c>
      <c r="AG116" s="187">
        <v>157458.87657302103</v>
      </c>
      <c r="AH116" s="188">
        <v>124707.66830160901</v>
      </c>
      <c r="AJ116" s="74">
        <f t="shared" si="41"/>
        <v>3369606.778210937</v>
      </c>
      <c r="AK116" s="74">
        <f t="shared" si="42"/>
        <v>239626.99870000005</v>
      </c>
      <c r="AL116" s="74">
        <f t="shared" si="43"/>
        <v>4031652.4500688342</v>
      </c>
      <c r="AM116" s="74">
        <f t="shared" si="44"/>
        <v>8592057.6233034991</v>
      </c>
      <c r="AN116" s="74">
        <f t="shared" si="45"/>
        <v>257036.93064005551</v>
      </c>
      <c r="AO116" s="74">
        <f t="shared" si="46"/>
        <v>223630.63309607244</v>
      </c>
      <c r="AP116" s="74">
        <f t="shared" si="47"/>
        <v>190648.86650663233</v>
      </c>
      <c r="AQ116" s="74">
        <f t="shared" si="48"/>
        <v>157458.87657302103</v>
      </c>
      <c r="AR116" s="74">
        <f t="shared" si="49"/>
        <v>124707.66830160901</v>
      </c>
      <c r="AS116" s="75">
        <v>1439</v>
      </c>
      <c r="AT116" s="75"/>
      <c r="AU116" s="75"/>
      <c r="AV116" s="75">
        <v>86</v>
      </c>
      <c r="AW116" s="75">
        <v>2784.4117669897919</v>
      </c>
      <c r="AX116" s="75">
        <v>-994.39789491380793</v>
      </c>
      <c r="AY116" s="75">
        <v>1207.8149294170196</v>
      </c>
      <c r="AZ116" s="316"/>
      <c r="BA116" s="74"/>
      <c r="BB116" s="74"/>
      <c r="BC116" s="74"/>
      <c r="BD116" s="74"/>
      <c r="BE116" s="74"/>
      <c r="BF116" s="74"/>
      <c r="BG116" s="74"/>
      <c r="BM116" s="316"/>
      <c r="BN116" s="74">
        <v>6863132.3766965009</v>
      </c>
      <c r="BO116" s="74">
        <v>7892900.7199999997</v>
      </c>
      <c r="BP116" s="74">
        <v>8336000</v>
      </c>
      <c r="BQ116" s="74">
        <v>164503.62</v>
      </c>
      <c r="BR116" s="74">
        <v>168000</v>
      </c>
      <c r="BS116" s="406">
        <f t="shared" si="50"/>
        <v>0.54018905303385034</v>
      </c>
      <c r="BT116" s="406">
        <f t="shared" si="51"/>
        <v>0.33333333333333337</v>
      </c>
      <c r="BU116" s="74">
        <f t="shared" si="52"/>
        <v>5231614.9292812692</v>
      </c>
      <c r="BV116" s="316"/>
      <c r="BW116" s="74">
        <v>15455190</v>
      </c>
      <c r="BX116" s="74">
        <v>6863132.3766965009</v>
      </c>
      <c r="BY116" s="74">
        <v>7785641.6811752664</v>
      </c>
      <c r="BZ116" s="74">
        <v>4176407.904264329</v>
      </c>
      <c r="CA116" s="74">
        <f t="shared" si="53"/>
        <v>-7852.450204585266</v>
      </c>
      <c r="CB116" s="74">
        <f t="shared" si="54"/>
        <v>-80.00001683596868</v>
      </c>
      <c r="CC116" s="74">
        <f t="shared" si="55"/>
        <v>-201.21817058906532</v>
      </c>
      <c r="CD116" s="74">
        <f t="shared" si="56"/>
        <v>-121.21815375309664</v>
      </c>
      <c r="CE116" s="74">
        <f t="shared" si="57"/>
        <v>109.08811370540165</v>
      </c>
      <c r="CF116" s="74">
        <f t="shared" si="58"/>
        <v>92.999447076406469</v>
      </c>
      <c r="CG116" s="74">
        <f t="shared" si="59"/>
        <v>76.80920808440095</v>
      </c>
      <c r="CH116" s="74">
        <f t="shared" si="60"/>
        <v>60.833008927614607</v>
      </c>
      <c r="CI116" s="74">
        <f t="shared" si="61"/>
        <v>223630.63309607338</v>
      </c>
      <c r="CJ116" s="74">
        <f t="shared" si="62"/>
        <v>190648.86650663326</v>
      </c>
      <c r="CK116" s="74">
        <f t="shared" si="63"/>
        <v>157458.87657302196</v>
      </c>
      <c r="CL116" s="74">
        <f t="shared" si="64"/>
        <v>124707.66830160994</v>
      </c>
      <c r="CM116" s="316"/>
      <c r="CN116" s="74">
        <v>6261.0503180648457</v>
      </c>
      <c r="CO116" s="74">
        <v>780.18092600000011</v>
      </c>
    </row>
    <row r="117" spans="1:93" x14ac:dyDescent="0.2">
      <c r="A117" s="74">
        <v>284</v>
      </c>
      <c r="B117" s="74" t="s">
        <v>503</v>
      </c>
      <c r="C117" s="74">
        <v>2</v>
      </c>
      <c r="D117" s="74">
        <v>2271</v>
      </c>
      <c r="E117" s="89">
        <v>6692103.392522078</v>
      </c>
      <c r="F117" s="74">
        <v>2578434.8259594636</v>
      </c>
      <c r="G117" s="74">
        <v>531533.47849999997</v>
      </c>
      <c r="H117" s="74">
        <v>361067.5944</v>
      </c>
      <c r="I117" s="74">
        <v>1144331.7726184572</v>
      </c>
      <c r="J117" s="74">
        <v>479448.94998191204</v>
      </c>
      <c r="K117" s="74">
        <v>1028817.6081680136</v>
      </c>
      <c r="L117" s="74">
        <v>876845</v>
      </c>
      <c r="M117" s="75">
        <v>21600</v>
      </c>
      <c r="N117" s="75">
        <v>18634.499724249141</v>
      </c>
      <c r="O117" s="178">
        <f t="shared" si="35"/>
        <v>348610.33683001716</v>
      </c>
      <c r="P117" s="179">
        <f t="shared" si="36"/>
        <v>153.50521216645404</v>
      </c>
      <c r="Q117" s="74"/>
      <c r="R117" s="89">
        <v>15939519</v>
      </c>
      <c r="S117" s="74">
        <v>6601741.3109161891</v>
      </c>
      <c r="T117" s="74">
        <v>541601.39159999997</v>
      </c>
      <c r="U117" s="74">
        <v>6941522.6810172275</v>
      </c>
      <c r="V117" s="74">
        <v>1599027.0385883208</v>
      </c>
      <c r="W117" s="74">
        <v>1429978.4785</v>
      </c>
      <c r="X117" s="178">
        <f t="shared" si="37"/>
        <v>1174351.9006217346</v>
      </c>
      <c r="Y117" s="179">
        <f t="shared" si="38"/>
        <v>517.10783823061843</v>
      </c>
      <c r="Z117" s="74"/>
      <c r="AA117" s="84">
        <f t="shared" si="39"/>
        <v>-825741.5637917174</v>
      </c>
      <c r="AB117" s="132">
        <f t="shared" si="40"/>
        <v>-363.60262606416444</v>
      </c>
      <c r="AD117" s="180">
        <v>835201.90222017828</v>
      </c>
      <c r="AE117" s="187">
        <v>798194.24284340488</v>
      </c>
      <c r="AF117" s="187">
        <v>761656.88092895679</v>
      </c>
      <c r="AG117" s="187">
        <v>724888.84817811218</v>
      </c>
      <c r="AH117" s="188">
        <v>688606.89989305043</v>
      </c>
      <c r="AJ117" s="74">
        <f t="shared" si="41"/>
        <v>4023306.4849567255</v>
      </c>
      <c r="AK117" s="74">
        <f t="shared" si="42"/>
        <v>180533.79719999997</v>
      </c>
      <c r="AL117" s="74">
        <f t="shared" si="43"/>
        <v>5797190.9083987698</v>
      </c>
      <c r="AM117" s="74">
        <f t="shared" si="44"/>
        <v>9247415.607477922</v>
      </c>
      <c r="AN117" s="74">
        <f t="shared" si="45"/>
        <v>835201.90222017828</v>
      </c>
      <c r="AO117" s="74">
        <f t="shared" si="46"/>
        <v>798194.24284340488</v>
      </c>
      <c r="AP117" s="74">
        <f t="shared" si="47"/>
        <v>761656.88092895679</v>
      </c>
      <c r="AQ117" s="74">
        <f t="shared" si="48"/>
        <v>724888.84817811218</v>
      </c>
      <c r="AR117" s="74">
        <f t="shared" si="49"/>
        <v>688606.89989305043</v>
      </c>
      <c r="AS117" s="75">
        <v>720</v>
      </c>
      <c r="AT117" s="75"/>
      <c r="AU117" s="75"/>
      <c r="AV117" s="75">
        <v>83</v>
      </c>
      <c r="AW117" s="75">
        <v>4760.4902642729703</v>
      </c>
      <c r="AX117" s="75">
        <v>-897.82276060465369</v>
      </c>
      <c r="AY117" s="75">
        <v>1119.5780886064088</v>
      </c>
      <c r="AZ117" s="316"/>
      <c r="BA117" s="74"/>
      <c r="BB117" s="74"/>
      <c r="BC117" s="74"/>
      <c r="BD117" s="74"/>
      <c r="BE117" s="74"/>
      <c r="BF117" s="74"/>
      <c r="BG117" s="74"/>
      <c r="BM117" s="316"/>
      <c r="BN117" s="74">
        <v>6692103.392522078</v>
      </c>
      <c r="BO117" s="74">
        <v>8892999.0199999996</v>
      </c>
      <c r="BP117" s="74">
        <v>10622000</v>
      </c>
      <c r="BQ117" s="74">
        <v>157714.73000000001</v>
      </c>
      <c r="BR117" s="74">
        <v>191000</v>
      </c>
      <c r="BS117" s="406">
        <f t="shared" si="50"/>
        <v>0.60943110241294374</v>
      </c>
      <c r="BT117" s="406">
        <f t="shared" si="51"/>
        <v>0.33333333333333326</v>
      </c>
      <c r="BU117" s="74">
        <f t="shared" si="52"/>
        <v>7945586.6051731929</v>
      </c>
      <c r="BV117" s="316"/>
      <c r="BW117" s="74">
        <v>15939519</v>
      </c>
      <c r="BX117" s="74">
        <v>6692103.392522078</v>
      </c>
      <c r="BY117" s="74">
        <v>7674876.181016189</v>
      </c>
      <c r="BZ117" s="74">
        <v>3471035.8988594636</v>
      </c>
      <c r="CA117" s="74">
        <f t="shared" si="53"/>
        <v>1028817.6081680132</v>
      </c>
      <c r="CB117" s="74">
        <f t="shared" si="54"/>
        <v>517.10783823061956</v>
      </c>
      <c r="CC117" s="74">
        <f t="shared" si="55"/>
        <v>153.50521216645404</v>
      </c>
      <c r="CD117" s="74">
        <f t="shared" si="56"/>
        <v>-363.60262606416552</v>
      </c>
      <c r="CE117" s="74">
        <f t="shared" si="57"/>
        <v>351.47258601647053</v>
      </c>
      <c r="CF117" s="74">
        <f t="shared" si="58"/>
        <v>335.38391938747537</v>
      </c>
      <c r="CG117" s="74">
        <f t="shared" si="59"/>
        <v>319.19368039546981</v>
      </c>
      <c r="CH117" s="74">
        <f t="shared" si="60"/>
        <v>303.21748123868349</v>
      </c>
      <c r="CI117" s="74">
        <f t="shared" si="61"/>
        <v>798194.24284340453</v>
      </c>
      <c r="CJ117" s="74">
        <f t="shared" si="62"/>
        <v>761656.88092895655</v>
      </c>
      <c r="CK117" s="74">
        <f t="shared" si="63"/>
        <v>724888.84817811195</v>
      </c>
      <c r="CL117" s="74">
        <f t="shared" si="64"/>
        <v>688606.8998930502</v>
      </c>
      <c r="CM117" s="316"/>
      <c r="CN117" s="74">
        <v>6590.6584546293334</v>
      </c>
      <c r="CO117" s="74">
        <v>587.78445599999998</v>
      </c>
    </row>
    <row r="118" spans="1:93" x14ac:dyDescent="0.2">
      <c r="A118" s="74">
        <v>285</v>
      </c>
      <c r="B118" s="74" t="s">
        <v>241</v>
      </c>
      <c r="C118" s="74">
        <v>8</v>
      </c>
      <c r="D118" s="74">
        <v>51241</v>
      </c>
      <c r="E118" s="89">
        <v>143630183.66343158</v>
      </c>
      <c r="F118" s="74">
        <v>93547343.911027968</v>
      </c>
      <c r="G118" s="74">
        <v>16533051.175000001</v>
      </c>
      <c r="H118" s="74">
        <v>10675984.916999999</v>
      </c>
      <c r="I118" s="74">
        <v>13798111.907590996</v>
      </c>
      <c r="J118" s="74">
        <v>7645492.9875690974</v>
      </c>
      <c r="K118" s="74">
        <v>-810784.20997074631</v>
      </c>
      <c r="L118" s="74">
        <v>-1563440</v>
      </c>
      <c r="M118" s="75">
        <v>2895983</v>
      </c>
      <c r="N118" s="75">
        <v>561879.01706064423</v>
      </c>
      <c r="O118" s="178">
        <f t="shared" si="35"/>
        <v>-346560.95815360546</v>
      </c>
      <c r="P118" s="179">
        <f t="shared" si="36"/>
        <v>-6.763352747869976</v>
      </c>
      <c r="Q118" s="74"/>
      <c r="R118" s="89">
        <v>380388744.22999996</v>
      </c>
      <c r="S118" s="74">
        <v>214966156.33441156</v>
      </c>
      <c r="T118" s="74">
        <v>16013977.375499999</v>
      </c>
      <c r="U118" s="74">
        <v>108265772.89713505</v>
      </c>
      <c r="V118" s="74">
        <v>25498752.288270961</v>
      </c>
      <c r="W118" s="74">
        <v>17865594.175000001</v>
      </c>
      <c r="X118" s="178">
        <f t="shared" si="37"/>
        <v>2221508.8403176069</v>
      </c>
      <c r="Y118" s="179">
        <f t="shared" si="38"/>
        <v>43.354127365149139</v>
      </c>
      <c r="Z118" s="74"/>
      <c r="AA118" s="84">
        <f t="shared" si="39"/>
        <v>-2568069.7984712124</v>
      </c>
      <c r="AB118" s="132">
        <f t="shared" si="40"/>
        <v>-50.117480113019113</v>
      </c>
      <c r="AD118" s="180">
        <v>2781525.1931927842</v>
      </c>
      <c r="AE118" s="187">
        <v>1946514.4163873028</v>
      </c>
      <c r="AF118" s="187">
        <v>1122115.0496509611</v>
      </c>
      <c r="AG118" s="187">
        <v>292511.01346160646</v>
      </c>
      <c r="AH118" s="188">
        <v>-19735.206002524978</v>
      </c>
      <c r="AJ118" s="74">
        <f t="shared" si="41"/>
        <v>121418812.42338359</v>
      </c>
      <c r="AK118" s="74">
        <f t="shared" si="42"/>
        <v>5337992.4584999997</v>
      </c>
      <c r="AL118" s="74">
        <f t="shared" si="43"/>
        <v>94467660.989544049</v>
      </c>
      <c r="AM118" s="74">
        <f t="shared" si="44"/>
        <v>236758560.56656837</v>
      </c>
      <c r="AN118" s="74">
        <f t="shared" si="45"/>
        <v>2781525.1931927842</v>
      </c>
      <c r="AO118" s="74">
        <f t="shared" si="46"/>
        <v>1946514.4163873028</v>
      </c>
      <c r="AP118" s="74">
        <f t="shared" si="47"/>
        <v>1122115.0496509611</v>
      </c>
      <c r="AQ118" s="74">
        <f t="shared" si="48"/>
        <v>292511.01346160646</v>
      </c>
      <c r="AR118" s="74">
        <f t="shared" si="49"/>
        <v>-19735.206002524978</v>
      </c>
      <c r="AS118" s="75">
        <v>21120</v>
      </c>
      <c r="AT118" s="75"/>
      <c r="AU118" s="75"/>
      <c r="AV118" s="75">
        <v>1010</v>
      </c>
      <c r="AW118" s="75">
        <v>90758.463719318621</v>
      </c>
      <c r="AX118" s="75">
        <v>-622.83560624293762</v>
      </c>
      <c r="AY118" s="75">
        <v>17853.259300701866</v>
      </c>
      <c r="AZ118" s="316"/>
      <c r="BA118" s="74"/>
      <c r="BB118" s="74"/>
      <c r="BC118" s="74"/>
      <c r="BD118" s="74"/>
      <c r="BE118" s="74"/>
      <c r="BF118" s="74"/>
      <c r="BG118" s="74"/>
      <c r="BM118" s="316"/>
      <c r="BN118" s="74">
        <v>143630183.66343158</v>
      </c>
      <c r="BO118" s="74">
        <v>227031570.18000004</v>
      </c>
      <c r="BP118" s="74">
        <v>250305000</v>
      </c>
      <c r="BQ118" s="74">
        <v>6227941.7999999989</v>
      </c>
      <c r="BR118" s="74">
        <v>5450000</v>
      </c>
      <c r="BS118" s="406">
        <f t="shared" si="50"/>
        <v>0.56482757329715993</v>
      </c>
      <c r="BT118" s="406">
        <f t="shared" si="51"/>
        <v>0.33333333333333337</v>
      </c>
      <c r="BU118" s="74">
        <f t="shared" si="52"/>
        <v>111510136.08027518</v>
      </c>
      <c r="BV118" s="316"/>
      <c r="BW118" s="74">
        <v>380388744.22999996</v>
      </c>
      <c r="BX118" s="74">
        <v>143630183.66343158</v>
      </c>
      <c r="BY118" s="74">
        <v>247513184.88491157</v>
      </c>
      <c r="BZ118" s="74">
        <v>120756380.00302796</v>
      </c>
      <c r="CA118" s="74">
        <f t="shared" si="53"/>
        <v>-810784.20997075306</v>
      </c>
      <c r="CB118" s="74">
        <f t="shared" si="54"/>
        <v>43.354127365149139</v>
      </c>
      <c r="CC118" s="74">
        <f t="shared" si="55"/>
        <v>-6.7633527478704902</v>
      </c>
      <c r="CD118" s="74">
        <f t="shared" si="56"/>
        <v>-50.117480113019631</v>
      </c>
      <c r="CE118" s="74">
        <f t="shared" si="57"/>
        <v>37.987440065324634</v>
      </c>
      <c r="CF118" s="74">
        <f t="shared" si="58"/>
        <v>21.898773436329456</v>
      </c>
      <c r="CG118" s="74">
        <f t="shared" si="59"/>
        <v>5.7085344443239432</v>
      </c>
      <c r="CH118" s="74">
        <f t="shared" si="60"/>
        <v>-0.38514482548203544</v>
      </c>
      <c r="CI118" s="74">
        <f t="shared" si="61"/>
        <v>1946514.4163872995</v>
      </c>
      <c r="CJ118" s="74">
        <f t="shared" si="62"/>
        <v>1122115.0496509576</v>
      </c>
      <c r="CK118" s="74">
        <f t="shared" si="63"/>
        <v>292511.0134616032</v>
      </c>
      <c r="CL118" s="74">
        <f t="shared" si="64"/>
        <v>-19735.206002524978</v>
      </c>
      <c r="CM118" s="316"/>
      <c r="CN118" s="74">
        <v>216352.574571351</v>
      </c>
      <c r="CO118" s="74">
        <v>17379.510329999997</v>
      </c>
    </row>
    <row r="119" spans="1:93" x14ac:dyDescent="0.2">
      <c r="A119" s="74">
        <v>286</v>
      </c>
      <c r="B119" s="74" t="s">
        <v>242</v>
      </c>
      <c r="C119" s="74">
        <v>8</v>
      </c>
      <c r="D119" s="74">
        <v>80454</v>
      </c>
      <c r="E119" s="89">
        <v>193897950.87140179</v>
      </c>
      <c r="F119" s="74">
        <v>132615802.56256722</v>
      </c>
      <c r="G119" s="74">
        <v>30614046.773999996</v>
      </c>
      <c r="H119" s="74">
        <v>19462923.675999999</v>
      </c>
      <c r="I119" s="74">
        <v>14797631.149179706</v>
      </c>
      <c r="J119" s="74">
        <v>12991898.080662593</v>
      </c>
      <c r="K119" s="74">
        <v>-4301015.2112129303</v>
      </c>
      <c r="L119" s="74">
        <v>-6781361</v>
      </c>
      <c r="M119" s="75">
        <v>10185000</v>
      </c>
      <c r="N119" s="75">
        <v>865034.02680522751</v>
      </c>
      <c r="O119" s="178">
        <f t="shared" si="35"/>
        <v>16552009.186600029</v>
      </c>
      <c r="P119" s="179">
        <f t="shared" si="36"/>
        <v>205.73258242722585</v>
      </c>
      <c r="Q119" s="74"/>
      <c r="R119" s="89">
        <v>550863012</v>
      </c>
      <c r="S119" s="74">
        <v>318031242.49987549</v>
      </c>
      <c r="T119" s="74">
        <v>29194385.513999999</v>
      </c>
      <c r="U119" s="74">
        <v>142099829.51896521</v>
      </c>
      <c r="V119" s="74">
        <v>43329735.760912478</v>
      </c>
      <c r="W119" s="74">
        <v>34017685.773999996</v>
      </c>
      <c r="X119" s="178">
        <f t="shared" si="37"/>
        <v>15809867.067753196</v>
      </c>
      <c r="Y119" s="179">
        <f t="shared" si="38"/>
        <v>196.50815456973172</v>
      </c>
      <c r="Z119" s="74"/>
      <c r="AA119" s="84">
        <f t="shared" si="39"/>
        <v>742142.11884683371</v>
      </c>
      <c r="AB119" s="132">
        <f t="shared" si="40"/>
        <v>9.2244278574941418</v>
      </c>
      <c r="AD119" s="180">
        <v>-406993.69615939644</v>
      </c>
      <c r="AE119" s="187">
        <v>230899.75800274685</v>
      </c>
      <c r="AF119" s="187">
        <v>143312.17303356878</v>
      </c>
      <c r="AG119" s="187">
        <v>47552.685170757104</v>
      </c>
      <c r="AH119" s="188">
        <v>-30986.441789331679</v>
      </c>
      <c r="AJ119" s="74">
        <f t="shared" si="41"/>
        <v>185415439.93730825</v>
      </c>
      <c r="AK119" s="74">
        <f t="shared" si="42"/>
        <v>9731461.8379999995</v>
      </c>
      <c r="AL119" s="74">
        <f t="shared" si="43"/>
        <v>127302198.3697855</v>
      </c>
      <c r="AM119" s="74">
        <f t="shared" si="44"/>
        <v>356965061.12859821</v>
      </c>
      <c r="AN119" s="74">
        <f t="shared" si="45"/>
        <v>-406993.69615939644</v>
      </c>
      <c r="AO119" s="74">
        <f t="shared" si="46"/>
        <v>230899.75800274685</v>
      </c>
      <c r="AP119" s="74">
        <f t="shared" si="47"/>
        <v>143312.17303356878</v>
      </c>
      <c r="AQ119" s="74">
        <f t="shared" si="48"/>
        <v>47552.685170757104</v>
      </c>
      <c r="AR119" s="74">
        <f t="shared" si="49"/>
        <v>-30986.441789331679</v>
      </c>
      <c r="AS119" s="75">
        <v>26659</v>
      </c>
      <c r="AT119" s="75"/>
      <c r="AU119" s="75"/>
      <c r="AV119" s="75">
        <v>0</v>
      </c>
      <c r="AW119" s="75">
        <v>123122.17816409591</v>
      </c>
      <c r="AX119" s="75">
        <v>-2089.723870557023</v>
      </c>
      <c r="AY119" s="75">
        <v>30337.837680249886</v>
      </c>
      <c r="AZ119" s="316"/>
      <c r="BA119" s="74"/>
      <c r="BB119" s="74"/>
      <c r="BC119" s="74"/>
      <c r="BD119" s="74"/>
      <c r="BE119" s="74"/>
      <c r="BF119" s="74"/>
      <c r="BG119" s="74"/>
      <c r="BM119" s="316"/>
      <c r="BN119" s="74">
        <v>193897950.87140179</v>
      </c>
      <c r="BO119" s="74">
        <v>341676618.13999999</v>
      </c>
      <c r="BP119" s="74">
        <v>365463000</v>
      </c>
      <c r="BQ119" s="74">
        <v>7852496.4499999993</v>
      </c>
      <c r="BR119" s="74">
        <v>9182000</v>
      </c>
      <c r="BS119" s="406">
        <f t="shared" si="50"/>
        <v>0.58301014227361914</v>
      </c>
      <c r="BT119" s="406">
        <f t="shared" si="51"/>
        <v>0.33333333333333337</v>
      </c>
      <c r="BU119" s="74">
        <f t="shared" si="52"/>
        <v>153339020.83882245</v>
      </c>
      <c r="BV119" s="316"/>
      <c r="BW119" s="74">
        <v>550863012</v>
      </c>
      <c r="BX119" s="74">
        <v>193897950.87140179</v>
      </c>
      <c r="BY119" s="74">
        <v>377839674.78787547</v>
      </c>
      <c r="BZ119" s="74">
        <v>182692773.01256722</v>
      </c>
      <c r="CA119" s="74">
        <f t="shared" si="53"/>
        <v>-4301015.2112129759</v>
      </c>
      <c r="CB119" s="74">
        <f t="shared" si="54"/>
        <v>196.50815456973143</v>
      </c>
      <c r="CC119" s="74">
        <f t="shared" si="55"/>
        <v>205.73258242722522</v>
      </c>
      <c r="CD119" s="74">
        <f t="shared" si="56"/>
        <v>9.2244278574937937</v>
      </c>
      <c r="CE119" s="74">
        <f t="shared" si="57"/>
        <v>2.8699599523050048</v>
      </c>
      <c r="CF119" s="74">
        <f t="shared" si="58"/>
        <v>1.7812933233098263</v>
      </c>
      <c r="CG119" s="74">
        <f t="shared" si="59"/>
        <v>0.59105433130431184</v>
      </c>
      <c r="CH119" s="74">
        <f t="shared" si="60"/>
        <v>-0.38514482548203544</v>
      </c>
      <c r="CI119" s="74">
        <f t="shared" si="61"/>
        <v>230899.75800274685</v>
      </c>
      <c r="CJ119" s="74">
        <f t="shared" si="62"/>
        <v>143312.17303356878</v>
      </c>
      <c r="CK119" s="74">
        <f t="shared" si="63"/>
        <v>47552.685170757104</v>
      </c>
      <c r="CL119" s="74">
        <f t="shared" si="64"/>
        <v>-30986.441789331679</v>
      </c>
      <c r="CM119" s="316"/>
      <c r="CN119" s="74">
        <v>317267.56089917541</v>
      </c>
      <c r="CO119" s="74">
        <v>31683.829239999999</v>
      </c>
    </row>
    <row r="120" spans="1:93" x14ac:dyDescent="0.2">
      <c r="A120" s="74">
        <v>287</v>
      </c>
      <c r="B120" s="74" t="s">
        <v>575</v>
      </c>
      <c r="C120" s="74">
        <v>15</v>
      </c>
      <c r="D120" s="74">
        <v>6380</v>
      </c>
      <c r="E120" s="89">
        <v>18943823.116606809</v>
      </c>
      <c r="F120" s="74">
        <v>9651908.086787736</v>
      </c>
      <c r="G120" s="74">
        <v>2930838.7522</v>
      </c>
      <c r="H120" s="74">
        <v>1160123.1698</v>
      </c>
      <c r="I120" s="74">
        <v>3193707.6437865947</v>
      </c>
      <c r="J120" s="74">
        <v>1398120.9107224341</v>
      </c>
      <c r="K120" s="74">
        <v>1606930.1544386714</v>
      </c>
      <c r="L120" s="74">
        <v>171574</v>
      </c>
      <c r="M120" s="75">
        <v>-344500</v>
      </c>
      <c r="N120" s="75">
        <v>59010.47355699179</v>
      </c>
      <c r="O120" s="178">
        <f t="shared" si="35"/>
        <v>883890.07468561828</v>
      </c>
      <c r="P120" s="179">
        <f t="shared" si="36"/>
        <v>138.54076405730694</v>
      </c>
      <c r="Q120" s="74"/>
      <c r="R120" s="89">
        <v>48452262</v>
      </c>
      <c r="S120" s="74">
        <v>22384283.620079387</v>
      </c>
      <c r="T120" s="74">
        <v>1740184.7546999999</v>
      </c>
      <c r="U120" s="74">
        <v>18836866.576298434</v>
      </c>
      <c r="V120" s="74">
        <v>4662922.1725175167</v>
      </c>
      <c r="W120" s="74">
        <v>2757912.7522</v>
      </c>
      <c r="X120" s="178">
        <f t="shared" si="37"/>
        <v>1929907.8757953346</v>
      </c>
      <c r="Y120" s="179">
        <f t="shared" si="38"/>
        <v>302.49339746008377</v>
      </c>
      <c r="Z120" s="74"/>
      <c r="AA120" s="84">
        <f t="shared" si="39"/>
        <v>-1046017.8011097163</v>
      </c>
      <c r="AB120" s="132">
        <f t="shared" si="40"/>
        <v>-163.95263340277685</v>
      </c>
      <c r="AD120" s="180">
        <v>1072595.0618642573</v>
      </c>
      <c r="AE120" s="187">
        <v>968628.14560542209</v>
      </c>
      <c r="AF120" s="187">
        <v>865982.45251243282</v>
      </c>
      <c r="AG120" s="187">
        <v>762688.72774343763</v>
      </c>
      <c r="AH120" s="188">
        <v>660760.5771231408</v>
      </c>
      <c r="AJ120" s="74">
        <f t="shared" si="41"/>
        <v>12732375.533291651</v>
      </c>
      <c r="AK120" s="74">
        <f t="shared" si="42"/>
        <v>580061.5848999999</v>
      </c>
      <c r="AL120" s="74">
        <f t="shared" si="43"/>
        <v>15643158.93251184</v>
      </c>
      <c r="AM120" s="74">
        <f t="shared" si="44"/>
        <v>29508438.883393191</v>
      </c>
      <c r="AN120" s="74">
        <f t="shared" si="45"/>
        <v>1072595.0618642573</v>
      </c>
      <c r="AO120" s="74">
        <f t="shared" si="46"/>
        <v>968628.14560542209</v>
      </c>
      <c r="AP120" s="74">
        <f t="shared" si="47"/>
        <v>865982.45251243282</v>
      </c>
      <c r="AQ120" s="74">
        <f t="shared" si="48"/>
        <v>762688.72774343763</v>
      </c>
      <c r="AR120" s="74">
        <f t="shared" si="49"/>
        <v>660760.5771231408</v>
      </c>
      <c r="AS120" s="75">
        <v>3089</v>
      </c>
      <c r="AT120" s="75"/>
      <c r="AU120" s="75"/>
      <c r="AV120" s="75">
        <v>49</v>
      </c>
      <c r="AW120" s="75">
        <v>13925.41309668985</v>
      </c>
      <c r="AX120" s="75">
        <v>-1745.7827714824675</v>
      </c>
      <c r="AY120" s="75">
        <v>3264.8012617950826</v>
      </c>
      <c r="AZ120" s="316"/>
      <c r="BA120" s="74"/>
      <c r="BB120" s="74"/>
      <c r="BC120" s="74"/>
      <c r="BD120" s="74"/>
      <c r="BE120" s="74"/>
      <c r="BF120" s="74"/>
      <c r="BG120" s="74"/>
      <c r="BM120" s="316"/>
      <c r="BN120" s="74">
        <v>18943823.116606809</v>
      </c>
      <c r="BO120" s="74">
        <v>27455534.759999998</v>
      </c>
      <c r="BP120" s="74">
        <v>31896000</v>
      </c>
      <c r="BQ120" s="74">
        <v>498762.48000000004</v>
      </c>
      <c r="BR120" s="74">
        <v>504000</v>
      </c>
      <c r="BS120" s="406">
        <f t="shared" si="50"/>
        <v>0.56880871192457194</v>
      </c>
      <c r="BT120" s="406">
        <f t="shared" si="51"/>
        <v>0.33333333333333326</v>
      </c>
      <c r="BU120" s="74">
        <f t="shared" si="52"/>
        <v>20514890.348745592</v>
      </c>
      <c r="BV120" s="316"/>
      <c r="BW120" s="74">
        <v>48452262</v>
      </c>
      <c r="BX120" s="74">
        <v>18943823.116606809</v>
      </c>
      <c r="BY120" s="74">
        <v>27055307.126979388</v>
      </c>
      <c r="BZ120" s="74">
        <v>13742870.008787736</v>
      </c>
      <c r="CA120" s="74">
        <f t="shared" si="53"/>
        <v>1606930.1544386684</v>
      </c>
      <c r="CB120" s="74">
        <f t="shared" si="54"/>
        <v>302.49339746008451</v>
      </c>
      <c r="CC120" s="74">
        <f t="shared" si="55"/>
        <v>138.5407640573066</v>
      </c>
      <c r="CD120" s="74">
        <f t="shared" si="56"/>
        <v>-163.95263340277791</v>
      </c>
      <c r="CE120" s="74">
        <f t="shared" si="57"/>
        <v>151.82259335508292</v>
      </c>
      <c r="CF120" s="74">
        <f t="shared" si="58"/>
        <v>135.73392672608773</v>
      </c>
      <c r="CG120" s="74">
        <f t="shared" si="59"/>
        <v>119.54368773408221</v>
      </c>
      <c r="CH120" s="74">
        <f t="shared" si="60"/>
        <v>103.56748857729588</v>
      </c>
      <c r="CI120" s="74">
        <f t="shared" si="61"/>
        <v>968628.14560542896</v>
      </c>
      <c r="CJ120" s="74">
        <f t="shared" si="62"/>
        <v>865982.45251243969</v>
      </c>
      <c r="CK120" s="74">
        <f t="shared" si="63"/>
        <v>762688.7277434445</v>
      </c>
      <c r="CL120" s="74">
        <f t="shared" si="64"/>
        <v>660760.57712314767</v>
      </c>
      <c r="CM120" s="316"/>
      <c r="CN120" s="74">
        <v>22147.753137082895</v>
      </c>
      <c r="CO120" s="74">
        <v>1888.572602</v>
      </c>
    </row>
    <row r="121" spans="1:93" x14ac:dyDescent="0.2">
      <c r="A121" s="74">
        <v>288</v>
      </c>
      <c r="B121" s="74" t="s">
        <v>244</v>
      </c>
      <c r="C121" s="74">
        <v>15</v>
      </c>
      <c r="D121" s="74">
        <v>6442</v>
      </c>
      <c r="E121" s="89">
        <v>17268206.090468146</v>
      </c>
      <c r="F121" s="74">
        <v>9851683.3709703647</v>
      </c>
      <c r="G121" s="74">
        <v>1903831.1625000001</v>
      </c>
      <c r="H121" s="74">
        <v>1835196.7076000001</v>
      </c>
      <c r="I121" s="74">
        <v>5975155.2510838648</v>
      </c>
      <c r="J121" s="74">
        <v>1302481.6885770825</v>
      </c>
      <c r="K121" s="74">
        <v>-483541.52055936662</v>
      </c>
      <c r="L121" s="74">
        <v>132865</v>
      </c>
      <c r="M121" s="75">
        <v>-194300</v>
      </c>
      <c r="N121" s="75">
        <v>57574.872778605648</v>
      </c>
      <c r="O121" s="178">
        <f t="shared" si="35"/>
        <v>3112740.4424824044</v>
      </c>
      <c r="P121" s="179">
        <f t="shared" si="36"/>
        <v>483.19472873058123</v>
      </c>
      <c r="Q121" s="74"/>
      <c r="R121" s="89">
        <v>43538644.100000001</v>
      </c>
      <c r="S121" s="74">
        <v>21922658.523750171</v>
      </c>
      <c r="T121" s="74">
        <v>2752795.0614</v>
      </c>
      <c r="U121" s="74">
        <v>15141120.441350652</v>
      </c>
      <c r="V121" s="74">
        <v>4343952.4424435617</v>
      </c>
      <c r="W121" s="74">
        <v>1842396.1625000001</v>
      </c>
      <c r="X121" s="178">
        <f t="shared" si="37"/>
        <v>2464278.5314443782</v>
      </c>
      <c r="Y121" s="179">
        <f t="shared" si="38"/>
        <v>382.53314676255485</v>
      </c>
      <c r="Z121" s="74"/>
      <c r="AA121" s="84">
        <f t="shared" si="39"/>
        <v>648461.91103802621</v>
      </c>
      <c r="AB121" s="132">
        <f t="shared" si="40"/>
        <v>100.66158196802643</v>
      </c>
      <c r="AD121" s="180">
        <v>-621626.37596266542</v>
      </c>
      <c r="AE121" s="187">
        <v>-533343.62902526977</v>
      </c>
      <c r="AF121" s="187">
        <v>-443726.81944925676</v>
      </c>
      <c r="AG121" s="187">
        <v>-354764.33903575625</v>
      </c>
      <c r="AH121" s="188">
        <v>-264423.01400377392</v>
      </c>
      <c r="AJ121" s="74">
        <f t="shared" si="41"/>
        <v>12070975.152779806</v>
      </c>
      <c r="AK121" s="74">
        <f t="shared" si="42"/>
        <v>917598.35379999992</v>
      </c>
      <c r="AL121" s="74">
        <f t="shared" si="43"/>
        <v>9165965.190266788</v>
      </c>
      <c r="AM121" s="74">
        <f t="shared" si="44"/>
        <v>26270438.009531856</v>
      </c>
      <c r="AN121" s="74">
        <f t="shared" si="45"/>
        <v>-621626.37596266542</v>
      </c>
      <c r="AO121" s="74">
        <f t="shared" si="46"/>
        <v>-533343.62902526977</v>
      </c>
      <c r="AP121" s="74">
        <f t="shared" si="47"/>
        <v>-443726.81944925676</v>
      </c>
      <c r="AQ121" s="74">
        <f t="shared" si="48"/>
        <v>-354764.33903575625</v>
      </c>
      <c r="AR121" s="74">
        <f t="shared" si="49"/>
        <v>-264423.01400377392</v>
      </c>
      <c r="AS121" s="75">
        <v>1359</v>
      </c>
      <c r="AT121" s="75"/>
      <c r="AU121" s="75"/>
      <c r="AV121" s="75">
        <v>33</v>
      </c>
      <c r="AW121" s="75">
        <v>7676.7201001894791</v>
      </c>
      <c r="AX121" s="75">
        <v>-1818.1408532937776</v>
      </c>
      <c r="AY121" s="75">
        <v>3041.4707538664793</v>
      </c>
      <c r="AZ121" s="316"/>
      <c r="BA121" s="74"/>
      <c r="BB121" s="74"/>
      <c r="BC121" s="74"/>
      <c r="BD121" s="74"/>
      <c r="BE121" s="74"/>
      <c r="BF121" s="74"/>
      <c r="BG121" s="74"/>
      <c r="BM121" s="316"/>
      <c r="BN121" s="74">
        <v>17268206.090468146</v>
      </c>
      <c r="BO121" s="74">
        <v>24386480.390000001</v>
      </c>
      <c r="BP121" s="74">
        <v>25285000</v>
      </c>
      <c r="BQ121" s="74">
        <v>595101.54</v>
      </c>
      <c r="BR121" s="74">
        <v>980000</v>
      </c>
      <c r="BS121" s="406">
        <f t="shared" si="50"/>
        <v>0.55061639261053008</v>
      </c>
      <c r="BT121" s="406">
        <f t="shared" si="51"/>
        <v>0.33333333333333326</v>
      </c>
      <c r="BU121" s="74">
        <f t="shared" si="52"/>
        <v>11723894.4235739</v>
      </c>
      <c r="BV121" s="316"/>
      <c r="BW121" s="74">
        <v>43538644.100000001</v>
      </c>
      <c r="BX121" s="74">
        <v>17268206.090468146</v>
      </c>
      <c r="BY121" s="74">
        <v>26579284.747650173</v>
      </c>
      <c r="BZ121" s="74">
        <v>13590711.241070364</v>
      </c>
      <c r="CA121" s="74">
        <f t="shared" si="53"/>
        <v>-483541.52055936801</v>
      </c>
      <c r="CB121" s="74">
        <f t="shared" si="54"/>
        <v>382.53314676255565</v>
      </c>
      <c r="CC121" s="74">
        <f t="shared" si="55"/>
        <v>483.19472873058112</v>
      </c>
      <c r="CD121" s="74">
        <f t="shared" si="56"/>
        <v>100.66158196802547</v>
      </c>
      <c r="CE121" s="74">
        <f t="shared" si="57"/>
        <v>-82.791622015720463</v>
      </c>
      <c r="CF121" s="74">
        <f t="shared" si="58"/>
        <v>-68.880288644715648</v>
      </c>
      <c r="CG121" s="74">
        <f t="shared" si="59"/>
        <v>-55.07052763672116</v>
      </c>
      <c r="CH121" s="74">
        <f t="shared" si="60"/>
        <v>-41.04672679350751</v>
      </c>
      <c r="CI121" s="74">
        <f t="shared" si="61"/>
        <v>-533343.62902527128</v>
      </c>
      <c r="CJ121" s="74">
        <f t="shared" si="62"/>
        <v>-443726.81944925821</v>
      </c>
      <c r="CK121" s="74">
        <f t="shared" si="63"/>
        <v>-354764.3390357577</v>
      </c>
      <c r="CL121" s="74">
        <f t="shared" si="64"/>
        <v>-264423.01400377537</v>
      </c>
      <c r="CM121" s="316"/>
      <c r="CN121" s="74">
        <v>22055.730197415298</v>
      </c>
      <c r="CO121" s="74">
        <v>2987.529524</v>
      </c>
    </row>
    <row r="122" spans="1:93" x14ac:dyDescent="0.2">
      <c r="A122" s="74">
        <v>290</v>
      </c>
      <c r="B122" s="74" t="s">
        <v>245</v>
      </c>
      <c r="C122" s="74">
        <v>18</v>
      </c>
      <c r="D122" s="74">
        <v>7928</v>
      </c>
      <c r="E122" s="89">
        <v>23570303.578453302</v>
      </c>
      <c r="F122" s="74">
        <v>11274303.188099943</v>
      </c>
      <c r="G122" s="74">
        <v>2279153.2293999996</v>
      </c>
      <c r="H122" s="74">
        <v>2634613.3970000003</v>
      </c>
      <c r="I122" s="74">
        <v>5828779.4597724127</v>
      </c>
      <c r="J122" s="74">
        <v>1655993.7843601024</v>
      </c>
      <c r="K122" s="74">
        <v>-65082.62521018627</v>
      </c>
      <c r="L122" s="74">
        <v>-597259</v>
      </c>
      <c r="M122" s="75">
        <v>1243000</v>
      </c>
      <c r="N122" s="75">
        <v>68026.717170506527</v>
      </c>
      <c r="O122" s="178">
        <f t="shared" si="35"/>
        <v>751224.57213947549</v>
      </c>
      <c r="P122" s="179">
        <f t="shared" si="36"/>
        <v>94.755874386916688</v>
      </c>
      <c r="Q122" s="74"/>
      <c r="R122" s="89">
        <v>67695587</v>
      </c>
      <c r="S122" s="74">
        <v>25303448.400628153</v>
      </c>
      <c r="T122" s="74">
        <v>3951920.0955000003</v>
      </c>
      <c r="U122" s="74">
        <v>31263413.156140309</v>
      </c>
      <c r="V122" s="74">
        <v>5522963.0537847672</v>
      </c>
      <c r="W122" s="74">
        <v>2924894.2293999996</v>
      </c>
      <c r="X122" s="178">
        <f t="shared" si="37"/>
        <v>1271051.9354532361</v>
      </c>
      <c r="Y122" s="179">
        <f t="shared" si="38"/>
        <v>160.32441163638194</v>
      </c>
      <c r="Z122" s="74"/>
      <c r="AA122" s="84">
        <f t="shared" si="39"/>
        <v>-519827.36331376061</v>
      </c>
      <c r="AB122" s="132">
        <f t="shared" si="40"/>
        <v>-65.568537249465265</v>
      </c>
      <c r="AD122" s="180">
        <v>552853.15065888327</v>
      </c>
      <c r="AE122" s="187">
        <v>423660.40581561596</v>
      </c>
      <c r="AF122" s="187">
        <v>296109.45678094222</v>
      </c>
      <c r="AG122" s="187">
        <v>167753.24205232252</v>
      </c>
      <c r="AH122" s="188">
        <v>41093.935137320346</v>
      </c>
      <c r="AJ122" s="74">
        <f t="shared" si="41"/>
        <v>14029145.21252821</v>
      </c>
      <c r="AK122" s="74">
        <f t="shared" si="42"/>
        <v>1317306.6984999999</v>
      </c>
      <c r="AL122" s="74">
        <f t="shared" si="43"/>
        <v>25434633.696367897</v>
      </c>
      <c r="AM122" s="74">
        <f t="shared" si="44"/>
        <v>44125283.421546698</v>
      </c>
      <c r="AN122" s="74">
        <f t="shared" si="45"/>
        <v>552853.15065888327</v>
      </c>
      <c r="AO122" s="74">
        <f t="shared" si="46"/>
        <v>423660.40581561596</v>
      </c>
      <c r="AP122" s="74">
        <f t="shared" si="47"/>
        <v>296109.45678094222</v>
      </c>
      <c r="AQ122" s="74">
        <f t="shared" si="48"/>
        <v>167753.24205232252</v>
      </c>
      <c r="AR122" s="74">
        <f t="shared" si="49"/>
        <v>41093.935137320346</v>
      </c>
      <c r="AS122" s="75">
        <v>2336</v>
      </c>
      <c r="AT122" s="75"/>
      <c r="AU122" s="75"/>
      <c r="AV122" s="75">
        <v>0</v>
      </c>
      <c r="AW122" s="75">
        <v>21629.823323817189</v>
      </c>
      <c r="AX122" s="75">
        <v>-3245.0341603801535</v>
      </c>
      <c r="AY122" s="75">
        <v>3866.9692694246651</v>
      </c>
      <c r="AZ122" s="316"/>
      <c r="BA122" s="74"/>
      <c r="BB122" s="74"/>
      <c r="BC122" s="74"/>
      <c r="BD122" s="74"/>
      <c r="BE122" s="74"/>
      <c r="BF122" s="74"/>
      <c r="BG122" s="74"/>
      <c r="BM122" s="316"/>
      <c r="BN122" s="74">
        <v>23570303.578453302</v>
      </c>
      <c r="BO122" s="74">
        <v>40808538.090000004</v>
      </c>
      <c r="BP122" s="74">
        <v>41489000</v>
      </c>
      <c r="BQ122" s="74">
        <v>1094942.52</v>
      </c>
      <c r="BR122" s="74">
        <v>1183000</v>
      </c>
      <c r="BS122" s="406">
        <f t="shared" si="50"/>
        <v>0.55443609860622556</v>
      </c>
      <c r="BT122" s="406">
        <f t="shared" si="51"/>
        <v>0.33333333333333326</v>
      </c>
      <c r="BU122" s="74">
        <f t="shared" si="52"/>
        <v>29236520.340582378</v>
      </c>
      <c r="BV122" s="316"/>
      <c r="BW122" s="74">
        <v>67695587</v>
      </c>
      <c r="BX122" s="74">
        <v>23570303.578453302</v>
      </c>
      <c r="BY122" s="74">
        <v>31534521.725528151</v>
      </c>
      <c r="BZ122" s="74">
        <v>16188069.814499943</v>
      </c>
      <c r="CA122" s="74">
        <f t="shared" si="53"/>
        <v>-65082.625210191691</v>
      </c>
      <c r="CB122" s="74">
        <f t="shared" si="54"/>
        <v>160.32441163638055</v>
      </c>
      <c r="CC122" s="74">
        <f t="shared" si="55"/>
        <v>94.755874386915991</v>
      </c>
      <c r="CD122" s="74">
        <f t="shared" si="56"/>
        <v>-65.568537249464555</v>
      </c>
      <c r="CE122" s="74">
        <f t="shared" si="57"/>
        <v>53.438497201769557</v>
      </c>
      <c r="CF122" s="74">
        <f t="shared" si="58"/>
        <v>37.34983057277438</v>
      </c>
      <c r="CG122" s="74">
        <f t="shared" si="59"/>
        <v>21.159591580768868</v>
      </c>
      <c r="CH122" s="74">
        <f t="shared" si="60"/>
        <v>5.1833924239825198</v>
      </c>
      <c r="CI122" s="74">
        <f t="shared" si="61"/>
        <v>423660.40581562906</v>
      </c>
      <c r="CJ122" s="74">
        <f t="shared" si="62"/>
        <v>296109.45678095531</v>
      </c>
      <c r="CK122" s="74">
        <f t="shared" si="63"/>
        <v>167753.24205233558</v>
      </c>
      <c r="CL122" s="74">
        <f t="shared" si="64"/>
        <v>41093.935137333414</v>
      </c>
      <c r="CM122" s="316"/>
      <c r="CN122" s="74">
        <v>24866.933112994113</v>
      </c>
      <c r="CO122" s="74">
        <v>4288.90553</v>
      </c>
    </row>
    <row r="123" spans="1:93" x14ac:dyDescent="0.2">
      <c r="A123" s="74">
        <v>291</v>
      </c>
      <c r="B123" s="74" t="s">
        <v>246</v>
      </c>
      <c r="C123" s="74">
        <v>6</v>
      </c>
      <c r="D123" s="74">
        <v>2158</v>
      </c>
      <c r="E123" s="89">
        <v>7017810.9228050932</v>
      </c>
      <c r="F123" s="74">
        <v>2872277.2970694979</v>
      </c>
      <c r="G123" s="74">
        <v>1576212.6770000001</v>
      </c>
      <c r="H123" s="74">
        <v>842584.19160000002</v>
      </c>
      <c r="I123" s="74">
        <v>-27719.61557899079</v>
      </c>
      <c r="J123" s="74">
        <v>445684.92340888514</v>
      </c>
      <c r="K123" s="74">
        <v>962215.81022848887</v>
      </c>
      <c r="L123" s="74">
        <v>-106050</v>
      </c>
      <c r="M123" s="75">
        <v>95080</v>
      </c>
      <c r="N123" s="75">
        <v>18247.964435651222</v>
      </c>
      <c r="O123" s="178">
        <f t="shared" si="35"/>
        <v>-339277.67464156076</v>
      </c>
      <c r="P123" s="179">
        <f t="shared" si="36"/>
        <v>-157.21857026949061</v>
      </c>
      <c r="Q123" s="74"/>
      <c r="R123" s="89">
        <v>18255470</v>
      </c>
      <c r="S123" s="74">
        <v>6567625.2558521777</v>
      </c>
      <c r="T123" s="74">
        <v>1263876.2874</v>
      </c>
      <c r="U123" s="74">
        <v>7927784.0291286195</v>
      </c>
      <c r="V123" s="74">
        <v>1486419.4472609826</v>
      </c>
      <c r="W123" s="74">
        <v>1565242.6770000001</v>
      </c>
      <c r="X123" s="178">
        <f t="shared" si="37"/>
        <v>555477.69664178044</v>
      </c>
      <c r="Y123" s="179">
        <f t="shared" si="38"/>
        <v>257.40393727607989</v>
      </c>
      <c r="Z123" s="74"/>
      <c r="AA123" s="84">
        <f t="shared" si="39"/>
        <v>-894755.3712833412</v>
      </c>
      <c r="AB123" s="132">
        <f t="shared" si="40"/>
        <v>-414.6225075455705</v>
      </c>
      <c r="AD123" s="180">
        <v>903744.98393354402</v>
      </c>
      <c r="AE123" s="187">
        <v>868578.74486041453</v>
      </c>
      <c r="AF123" s="187">
        <v>833859.40227504296</v>
      </c>
      <c r="AG123" s="187">
        <v>798920.866530295</v>
      </c>
      <c r="AH123" s="188">
        <v>764444.22874995007</v>
      </c>
      <c r="AJ123" s="74">
        <f t="shared" si="41"/>
        <v>3695347.9587826799</v>
      </c>
      <c r="AK123" s="74">
        <f t="shared" si="42"/>
        <v>421292.09580000001</v>
      </c>
      <c r="AL123" s="74">
        <f t="shared" si="43"/>
        <v>7955503.6447076099</v>
      </c>
      <c r="AM123" s="74">
        <f t="shared" si="44"/>
        <v>11237659.077194907</v>
      </c>
      <c r="AN123" s="74">
        <f t="shared" si="45"/>
        <v>903744.98393354402</v>
      </c>
      <c r="AO123" s="74">
        <f t="shared" si="46"/>
        <v>868578.74486041453</v>
      </c>
      <c r="AP123" s="74">
        <f t="shared" si="47"/>
        <v>833859.40227504296</v>
      </c>
      <c r="AQ123" s="74">
        <f t="shared" si="48"/>
        <v>798920.866530295</v>
      </c>
      <c r="AR123" s="74">
        <f t="shared" si="49"/>
        <v>764444.22874995007</v>
      </c>
      <c r="AS123" s="75">
        <v>1195</v>
      </c>
      <c r="AT123" s="75"/>
      <c r="AU123" s="75"/>
      <c r="AV123" s="75">
        <v>0</v>
      </c>
      <c r="AW123" s="75">
        <v>6854.2730992969036</v>
      </c>
      <c r="AX123" s="75">
        <v>-848.88863064818452</v>
      </c>
      <c r="AY123" s="75">
        <v>1040.7345238520975</v>
      </c>
      <c r="AZ123" s="316"/>
      <c r="BA123" s="74"/>
      <c r="BB123" s="74"/>
      <c r="BC123" s="74"/>
      <c r="BD123" s="74"/>
      <c r="BE123" s="74"/>
      <c r="BF123" s="74"/>
      <c r="BG123" s="74"/>
      <c r="BM123" s="316"/>
      <c r="BN123" s="74">
        <v>7017810.9228050932</v>
      </c>
      <c r="BO123" s="74">
        <v>10498785.790000001</v>
      </c>
      <c r="BP123" s="74">
        <v>10590000</v>
      </c>
      <c r="BQ123" s="74">
        <v>170479.2</v>
      </c>
      <c r="BR123" s="74">
        <v>208000</v>
      </c>
      <c r="BS123" s="406">
        <f t="shared" si="50"/>
        <v>0.56266120779194684</v>
      </c>
      <c r="BT123" s="406">
        <f t="shared" si="51"/>
        <v>0.33333333333333337</v>
      </c>
      <c r="BU123" s="74">
        <f t="shared" si="52"/>
        <v>9958453.978788197</v>
      </c>
      <c r="BV123" s="316"/>
      <c r="BW123" s="74">
        <v>18255470</v>
      </c>
      <c r="BX123" s="74">
        <v>7017810.9228050932</v>
      </c>
      <c r="BY123" s="74">
        <v>9407714.2202521786</v>
      </c>
      <c r="BZ123" s="74">
        <v>5291074.165669499</v>
      </c>
      <c r="CA123" s="74">
        <f t="shared" si="53"/>
        <v>962215.81022848689</v>
      </c>
      <c r="CB123" s="74">
        <f t="shared" si="54"/>
        <v>257.4039372760796</v>
      </c>
      <c r="CC123" s="74">
        <f t="shared" si="55"/>
        <v>-157.21857026949164</v>
      </c>
      <c r="CD123" s="74">
        <f t="shared" si="56"/>
        <v>-414.62250754557124</v>
      </c>
      <c r="CE123" s="74">
        <f t="shared" si="57"/>
        <v>402.49246749787625</v>
      </c>
      <c r="CF123" s="74">
        <f t="shared" si="58"/>
        <v>386.40380086888109</v>
      </c>
      <c r="CG123" s="74">
        <f t="shared" si="59"/>
        <v>370.21356187687553</v>
      </c>
      <c r="CH123" s="74">
        <f t="shared" si="60"/>
        <v>354.23736272008921</v>
      </c>
      <c r="CI123" s="74">
        <f t="shared" si="61"/>
        <v>868578.74486041698</v>
      </c>
      <c r="CJ123" s="74">
        <f t="shared" si="62"/>
        <v>833859.4022750454</v>
      </c>
      <c r="CK123" s="74">
        <f t="shared" si="63"/>
        <v>798920.86653029744</v>
      </c>
      <c r="CL123" s="74">
        <f t="shared" si="64"/>
        <v>764444.22874995251</v>
      </c>
      <c r="CM123" s="316"/>
      <c r="CN123" s="74">
        <v>6641.1732428101977</v>
      </c>
      <c r="CO123" s="74">
        <v>1371.648684</v>
      </c>
    </row>
    <row r="124" spans="1:93" x14ac:dyDescent="0.2">
      <c r="A124" s="74">
        <v>297</v>
      </c>
      <c r="B124" s="74" t="s">
        <v>247</v>
      </c>
      <c r="C124" s="74">
        <v>11</v>
      </c>
      <c r="D124" s="74">
        <v>121543</v>
      </c>
      <c r="E124" s="89">
        <v>311137114.74202406</v>
      </c>
      <c r="F124" s="74">
        <v>181714918.74909046</v>
      </c>
      <c r="G124" s="74">
        <v>47287466.105000004</v>
      </c>
      <c r="H124" s="74">
        <v>23823010.027000003</v>
      </c>
      <c r="I124" s="74">
        <v>35219554.178598173</v>
      </c>
      <c r="J124" s="74">
        <v>18815597.355230443</v>
      </c>
      <c r="K124" s="74">
        <v>-11805262.822869556</v>
      </c>
      <c r="L124" s="74">
        <v>-1775798</v>
      </c>
      <c r="M124" s="75">
        <v>10513000</v>
      </c>
      <c r="N124" s="75">
        <v>1231706.3994669644</v>
      </c>
      <c r="O124" s="178">
        <f t="shared" si="35"/>
        <v>-6112922.7505075932</v>
      </c>
      <c r="P124" s="179">
        <f t="shared" si="36"/>
        <v>-50.294321766844597</v>
      </c>
      <c r="Q124" s="74"/>
      <c r="R124" s="89">
        <v>797723400</v>
      </c>
      <c r="S124" s="74">
        <v>447669578.88578397</v>
      </c>
      <c r="T124" s="74">
        <v>35734515.0405</v>
      </c>
      <c r="U124" s="74">
        <v>183987469.40352798</v>
      </c>
      <c r="V124" s="74">
        <v>62752559.827984698</v>
      </c>
      <c r="W124" s="74">
        <v>56024668.105000004</v>
      </c>
      <c r="X124" s="178">
        <f t="shared" si="37"/>
        <v>-11554608.73720336</v>
      </c>
      <c r="Y124" s="179">
        <f t="shared" si="38"/>
        <v>-95.066015625773261</v>
      </c>
      <c r="Z124" s="74"/>
      <c r="AA124" s="84">
        <f t="shared" si="39"/>
        <v>5441685.9866957664</v>
      </c>
      <c r="AB124" s="132">
        <f t="shared" si="40"/>
        <v>44.771693858928664</v>
      </c>
      <c r="AD124" s="180">
        <v>-4935372.506462412</v>
      </c>
      <c r="AE124" s="187">
        <v>-3269717.444212819</v>
      </c>
      <c r="AF124" s="187">
        <v>-1578892.25230078</v>
      </c>
      <c r="AG124" s="187">
        <v>71838.516589719977</v>
      </c>
      <c r="AH124" s="188">
        <v>-46811.65752356303</v>
      </c>
      <c r="AJ124" s="74">
        <f t="shared" si="41"/>
        <v>265954660.13669351</v>
      </c>
      <c r="AK124" s="74">
        <f t="shared" si="42"/>
        <v>11911505.013499998</v>
      </c>
      <c r="AL124" s="74">
        <f t="shared" si="43"/>
        <v>148767915.22492981</v>
      </c>
      <c r="AM124" s="74">
        <f t="shared" si="44"/>
        <v>486586285.25797594</v>
      </c>
      <c r="AN124" s="74">
        <f t="shared" si="45"/>
        <v>-4935372.506462412</v>
      </c>
      <c r="AO124" s="74">
        <f t="shared" si="46"/>
        <v>-3269717.444212819</v>
      </c>
      <c r="AP124" s="74">
        <f t="shared" si="47"/>
        <v>-1578892.25230078</v>
      </c>
      <c r="AQ124" s="74">
        <f t="shared" si="48"/>
        <v>71838.516589719977</v>
      </c>
      <c r="AR124" s="74">
        <f t="shared" si="49"/>
        <v>-46811.65752356303</v>
      </c>
      <c r="AS124" s="75">
        <v>48773</v>
      </c>
      <c r="AT124" s="75"/>
      <c r="AU124" s="75"/>
      <c r="AV124" s="75">
        <v>1639</v>
      </c>
      <c r="AW124" s="75">
        <v>137039.44066243886</v>
      </c>
      <c r="AX124" s="75">
        <v>-9352.7168434440446</v>
      </c>
      <c r="AY124" s="75">
        <v>43936.962472754254</v>
      </c>
      <c r="AZ124" s="316"/>
      <c r="BA124" s="74"/>
      <c r="BB124" s="74"/>
      <c r="BC124" s="74"/>
      <c r="BD124" s="74"/>
      <c r="BE124" s="74"/>
      <c r="BF124" s="74"/>
      <c r="BG124" s="74"/>
      <c r="BM124" s="316"/>
      <c r="BN124" s="74">
        <v>311137114.74202406</v>
      </c>
      <c r="BO124" s="74">
        <v>456573870.26999998</v>
      </c>
      <c r="BP124" s="74">
        <v>499464000</v>
      </c>
      <c r="BQ124" s="74">
        <v>7630322.379999999</v>
      </c>
      <c r="BR124" s="74">
        <v>14728000</v>
      </c>
      <c r="BS124" s="406">
        <f t="shared" si="50"/>
        <v>0.59408696208179856</v>
      </c>
      <c r="BT124" s="406">
        <f t="shared" si="51"/>
        <v>0.33333333333333326</v>
      </c>
      <c r="BU124" s="74">
        <f t="shared" si="52"/>
        <v>180899614.87481448</v>
      </c>
      <c r="BV124" s="316"/>
      <c r="BW124" s="74">
        <v>797723400</v>
      </c>
      <c r="BX124" s="74">
        <v>311137114.74202406</v>
      </c>
      <c r="BY124" s="74">
        <v>530691560.03128397</v>
      </c>
      <c r="BZ124" s="74">
        <v>252825394.88109046</v>
      </c>
      <c r="CA124" s="74">
        <f t="shared" si="53"/>
        <v>-11805262.822869653</v>
      </c>
      <c r="CB124" s="74">
        <f t="shared" si="54"/>
        <v>-95.066015625773389</v>
      </c>
      <c r="CC124" s="74">
        <f t="shared" si="55"/>
        <v>-50.294321766845187</v>
      </c>
      <c r="CD124" s="74">
        <f t="shared" si="56"/>
        <v>44.771693858928202</v>
      </c>
      <c r="CE124" s="74">
        <f t="shared" si="57"/>
        <v>-26.901733906623196</v>
      </c>
      <c r="CF124" s="74">
        <f t="shared" si="58"/>
        <v>-12.990400535618376</v>
      </c>
      <c r="CG124" s="74">
        <f t="shared" si="59"/>
        <v>0.59105433130431184</v>
      </c>
      <c r="CH124" s="74">
        <f t="shared" si="60"/>
        <v>-0.38514482548203544</v>
      </c>
      <c r="CI124" s="74">
        <f t="shared" si="61"/>
        <v>-3269717.444212703</v>
      </c>
      <c r="CJ124" s="74">
        <f t="shared" si="62"/>
        <v>-1578892.2523006643</v>
      </c>
      <c r="CK124" s="74">
        <f t="shared" si="63"/>
        <v>71838.516589719977</v>
      </c>
      <c r="CL124" s="74">
        <f t="shared" si="64"/>
        <v>-46811.65752356303</v>
      </c>
      <c r="CM124" s="316"/>
      <c r="CN124" s="74">
        <v>464608.00538316229</v>
      </c>
      <c r="CO124" s="74">
        <v>38781.644230000005</v>
      </c>
    </row>
    <row r="125" spans="1:93" x14ac:dyDescent="0.2">
      <c r="A125" s="74">
        <v>300</v>
      </c>
      <c r="B125" s="74" t="s">
        <v>248</v>
      </c>
      <c r="C125" s="74">
        <v>14</v>
      </c>
      <c r="D125" s="74">
        <v>3528</v>
      </c>
      <c r="E125" s="89">
        <v>10917302.094901744</v>
      </c>
      <c r="F125" s="74">
        <v>4328838.5792953661</v>
      </c>
      <c r="G125" s="74">
        <v>954598.7757</v>
      </c>
      <c r="H125" s="74">
        <v>565197.16859999998</v>
      </c>
      <c r="I125" s="74">
        <v>2280888.7207430862</v>
      </c>
      <c r="J125" s="74">
        <v>755358.15013484308</v>
      </c>
      <c r="K125" s="74">
        <v>1325560.2991796143</v>
      </c>
      <c r="L125" s="74">
        <v>819198</v>
      </c>
      <c r="M125" s="75">
        <v>-18100</v>
      </c>
      <c r="N125" s="75">
        <v>27318.731621669318</v>
      </c>
      <c r="O125" s="178">
        <f t="shared" si="35"/>
        <v>121556.33037283458</v>
      </c>
      <c r="P125" s="179">
        <f t="shared" si="36"/>
        <v>34.4547421691708</v>
      </c>
      <c r="Q125" s="74"/>
      <c r="R125" s="89">
        <v>26988900</v>
      </c>
      <c r="S125" s="74">
        <v>10209195.059421154</v>
      </c>
      <c r="T125" s="74">
        <v>847795.75289999996</v>
      </c>
      <c r="U125" s="74">
        <v>12492929.500815267</v>
      </c>
      <c r="V125" s="74">
        <v>2519221.5061253919</v>
      </c>
      <c r="W125" s="74">
        <v>1755696.7757000001</v>
      </c>
      <c r="X125" s="178">
        <f t="shared" si="37"/>
        <v>835938.59496181458</v>
      </c>
      <c r="Y125" s="179">
        <f t="shared" si="38"/>
        <v>236.94404619099052</v>
      </c>
      <c r="Z125" s="74"/>
      <c r="AA125" s="84">
        <f t="shared" si="39"/>
        <v>-714382.26458898</v>
      </c>
      <c r="AB125" s="132">
        <f t="shared" si="40"/>
        <v>-202.48930402181972</v>
      </c>
      <c r="AD125" s="180">
        <v>729078.90658615821</v>
      </c>
      <c r="AE125" s="187">
        <v>671587.48330070835</v>
      </c>
      <c r="AF125" s="187">
        <v>614826.66743361333</v>
      </c>
      <c r="AG125" s="187">
        <v>557707.50426981796</v>
      </c>
      <c r="AH125" s="188">
        <v>501343.47364467569</v>
      </c>
      <c r="AJ125" s="74">
        <f t="shared" si="41"/>
        <v>5880356.4801257877</v>
      </c>
      <c r="AK125" s="74">
        <f t="shared" si="42"/>
        <v>282598.58429999999</v>
      </c>
      <c r="AL125" s="74">
        <f t="shared" si="43"/>
        <v>10212040.780072181</v>
      </c>
      <c r="AM125" s="74">
        <f t="shared" si="44"/>
        <v>16071597.905098256</v>
      </c>
      <c r="AN125" s="74">
        <f t="shared" si="45"/>
        <v>729078.90658615821</v>
      </c>
      <c r="AO125" s="74">
        <f t="shared" si="46"/>
        <v>671587.48330070835</v>
      </c>
      <c r="AP125" s="74">
        <f t="shared" si="47"/>
        <v>614826.66743361333</v>
      </c>
      <c r="AQ125" s="74">
        <f t="shared" si="48"/>
        <v>557707.50426981796</v>
      </c>
      <c r="AR125" s="74">
        <f t="shared" si="49"/>
        <v>501343.47364467569</v>
      </c>
      <c r="AS125" s="75">
        <v>1060</v>
      </c>
      <c r="AT125" s="75"/>
      <c r="AU125" s="75"/>
      <c r="AV125" s="75">
        <v>12</v>
      </c>
      <c r="AW125" s="75">
        <v>8661.3034389300392</v>
      </c>
      <c r="AX125" s="75">
        <v>-1721.5925677646803</v>
      </c>
      <c r="AY125" s="75">
        <v>1763.8633559905488</v>
      </c>
      <c r="AZ125" s="316"/>
      <c r="BA125" s="74"/>
      <c r="BB125" s="74"/>
      <c r="BC125" s="74"/>
      <c r="BD125" s="74"/>
      <c r="BE125" s="74"/>
      <c r="BF125" s="74"/>
      <c r="BG125" s="74"/>
      <c r="BM125" s="316"/>
      <c r="BN125" s="74">
        <v>10917302.094901744</v>
      </c>
      <c r="BO125" s="74">
        <v>15284192.66</v>
      </c>
      <c r="BP125" s="74">
        <v>15134000</v>
      </c>
      <c r="BQ125" s="74">
        <v>295625.83</v>
      </c>
      <c r="BR125" s="74">
        <v>363000</v>
      </c>
      <c r="BS125" s="406">
        <f t="shared" si="50"/>
        <v>0.57598629920380762</v>
      </c>
      <c r="BT125" s="406">
        <f t="shared" si="51"/>
        <v>0.33333333333333337</v>
      </c>
      <c r="BU125" s="74">
        <f t="shared" si="52"/>
        <v>13301464.435242344</v>
      </c>
      <c r="BV125" s="316"/>
      <c r="BW125" s="74">
        <v>26988900</v>
      </c>
      <c r="BX125" s="74">
        <v>10917302.094901744</v>
      </c>
      <c r="BY125" s="74">
        <v>12011589.588021154</v>
      </c>
      <c r="BZ125" s="74">
        <v>5848634.5235953666</v>
      </c>
      <c r="CA125" s="74">
        <f t="shared" si="53"/>
        <v>1325560.2991796129</v>
      </c>
      <c r="CB125" s="74">
        <f t="shared" si="54"/>
        <v>236.94404619098961</v>
      </c>
      <c r="CC125" s="74">
        <f t="shared" si="55"/>
        <v>34.454742169170586</v>
      </c>
      <c r="CD125" s="74">
        <f t="shared" si="56"/>
        <v>-202.48930402181901</v>
      </c>
      <c r="CE125" s="74">
        <f t="shared" si="57"/>
        <v>190.35926397412402</v>
      </c>
      <c r="CF125" s="74">
        <f t="shared" si="58"/>
        <v>174.27059734512883</v>
      </c>
      <c r="CG125" s="74">
        <f t="shared" si="59"/>
        <v>158.08035835312333</v>
      </c>
      <c r="CH125" s="74">
        <f t="shared" si="60"/>
        <v>142.10415919633698</v>
      </c>
      <c r="CI125" s="74">
        <f t="shared" si="61"/>
        <v>671587.48330070951</v>
      </c>
      <c r="CJ125" s="74">
        <f t="shared" si="62"/>
        <v>614826.66743361449</v>
      </c>
      <c r="CK125" s="74">
        <f t="shared" si="63"/>
        <v>557707.50426981912</v>
      </c>
      <c r="CL125" s="74">
        <f t="shared" si="64"/>
        <v>501343.47364467685</v>
      </c>
      <c r="CM125" s="316"/>
      <c r="CN125" s="74">
        <v>10341.457397048209</v>
      </c>
      <c r="CO125" s="74">
        <v>920.08841399999994</v>
      </c>
    </row>
    <row r="126" spans="1:93" x14ac:dyDescent="0.2">
      <c r="A126" s="74">
        <v>301</v>
      </c>
      <c r="B126" s="74" t="s">
        <v>249</v>
      </c>
      <c r="C126" s="74">
        <v>14</v>
      </c>
      <c r="D126" s="74">
        <v>20197</v>
      </c>
      <c r="E126" s="89">
        <v>42712765.988914847</v>
      </c>
      <c r="F126" s="74">
        <v>26238506.717745151</v>
      </c>
      <c r="G126" s="74">
        <v>4972916.9084000001</v>
      </c>
      <c r="H126" s="74">
        <v>3444986.2197999996</v>
      </c>
      <c r="I126" s="74">
        <v>13812781.026709503</v>
      </c>
      <c r="J126" s="74">
        <v>4280330.8656062763</v>
      </c>
      <c r="K126" s="74">
        <v>463551.83119081572</v>
      </c>
      <c r="L126" s="74">
        <v>-2461173</v>
      </c>
      <c r="M126" s="75">
        <v>8478000</v>
      </c>
      <c r="N126" s="75">
        <v>165786.23065833177</v>
      </c>
      <c r="O126" s="178">
        <f t="shared" si="35"/>
        <v>16682920.811195232</v>
      </c>
      <c r="P126" s="179">
        <f t="shared" si="36"/>
        <v>826.00984360029861</v>
      </c>
      <c r="Q126" s="74"/>
      <c r="R126" s="89">
        <v>137446522</v>
      </c>
      <c r="S126" s="74">
        <v>61916472.164910264</v>
      </c>
      <c r="T126" s="74">
        <v>5167479.3296999997</v>
      </c>
      <c r="U126" s="74">
        <v>60892361.58981882</v>
      </c>
      <c r="V126" s="74">
        <v>14275481.859886859</v>
      </c>
      <c r="W126" s="74">
        <v>10989743.908399999</v>
      </c>
      <c r="X126" s="178">
        <f t="shared" si="37"/>
        <v>15795016.852715939</v>
      </c>
      <c r="Y126" s="179">
        <f t="shared" si="38"/>
        <v>782.0476730561935</v>
      </c>
      <c r="Z126" s="74"/>
      <c r="AA126" s="84">
        <f t="shared" si="39"/>
        <v>887903.95847929269</v>
      </c>
      <c r="AB126" s="132">
        <f t="shared" si="40"/>
        <v>43.962170544105199</v>
      </c>
      <c r="AD126" s="180">
        <v>-803769.01561730565</v>
      </c>
      <c r="AE126" s="187">
        <v>-526984.3773225866</v>
      </c>
      <c r="AF126" s="187">
        <v>-246017.17722840226</v>
      </c>
      <c r="AG126" s="187">
        <v>11937.524329353186</v>
      </c>
      <c r="AH126" s="188">
        <v>-7778.7700402606697</v>
      </c>
      <c r="AJ126" s="74">
        <f t="shared" si="41"/>
        <v>35677965.447165117</v>
      </c>
      <c r="AK126" s="74">
        <f t="shared" si="42"/>
        <v>1722493.1099</v>
      </c>
      <c r="AL126" s="74">
        <f t="shared" si="43"/>
        <v>47079580.563109316</v>
      </c>
      <c r="AM126" s="74">
        <f t="shared" si="44"/>
        <v>94733756.011085153</v>
      </c>
      <c r="AN126" s="74">
        <f t="shared" si="45"/>
        <v>-803769.01561730565</v>
      </c>
      <c r="AO126" s="74">
        <f t="shared" si="46"/>
        <v>-526984.3773225866</v>
      </c>
      <c r="AP126" s="74">
        <f t="shared" si="47"/>
        <v>-246017.17722840226</v>
      </c>
      <c r="AQ126" s="74">
        <f t="shared" si="48"/>
        <v>11937.524329353186</v>
      </c>
      <c r="AR126" s="74">
        <f t="shared" si="49"/>
        <v>-7778.7700402606697</v>
      </c>
      <c r="AS126" s="75">
        <v>7056</v>
      </c>
      <c r="AT126" s="75"/>
      <c r="AU126" s="75"/>
      <c r="AV126" s="75">
        <v>0</v>
      </c>
      <c r="AW126" s="75">
        <v>39083.328154937321</v>
      </c>
      <c r="AX126" s="75">
        <v>-9201.9534023483739</v>
      </c>
      <c r="AY126" s="75">
        <v>9995.1509942805824</v>
      </c>
      <c r="AZ126" s="316"/>
      <c r="BA126" s="74"/>
      <c r="BB126" s="74"/>
      <c r="BC126" s="74"/>
      <c r="BD126" s="74"/>
      <c r="BE126" s="74"/>
      <c r="BF126" s="74"/>
      <c r="BG126" s="74"/>
      <c r="BM126" s="316"/>
      <c r="BN126" s="74">
        <v>42712765.988914847</v>
      </c>
      <c r="BO126" s="74">
        <v>93382236.939999998</v>
      </c>
      <c r="BP126" s="74">
        <v>97820000</v>
      </c>
      <c r="BQ126" s="74">
        <v>2058262.51</v>
      </c>
      <c r="BR126" s="74">
        <v>2139000</v>
      </c>
      <c r="BS126" s="406">
        <f t="shared" si="50"/>
        <v>0.57622736243982553</v>
      </c>
      <c r="BT126" s="406">
        <f t="shared" si="51"/>
        <v>0.33333333333333337</v>
      </c>
      <c r="BU126" s="74">
        <f t="shared" si="52"/>
        <v>57538283.388580717</v>
      </c>
      <c r="BV126" s="316"/>
      <c r="BW126" s="74">
        <v>137446522</v>
      </c>
      <c r="BX126" s="74">
        <v>42712765.988914847</v>
      </c>
      <c r="BY126" s="74">
        <v>72056868.403010264</v>
      </c>
      <c r="BZ126" s="74">
        <v>34656409.84594515</v>
      </c>
      <c r="CA126" s="74">
        <f t="shared" si="53"/>
        <v>463551.83119080582</v>
      </c>
      <c r="CB126" s="74">
        <f t="shared" si="54"/>
        <v>782.04767305619293</v>
      </c>
      <c r="CC126" s="74">
        <f t="shared" si="55"/>
        <v>826.00984360029804</v>
      </c>
      <c r="CD126" s="74">
        <f t="shared" si="56"/>
        <v>43.962170544105106</v>
      </c>
      <c r="CE126" s="74">
        <f t="shared" si="57"/>
        <v>-26.0922105918001</v>
      </c>
      <c r="CF126" s="74">
        <f t="shared" si="58"/>
        <v>-12.18087722079528</v>
      </c>
      <c r="CG126" s="74">
        <f t="shared" si="59"/>
        <v>0.59105433130431184</v>
      </c>
      <c r="CH126" s="74">
        <f t="shared" si="60"/>
        <v>-0.38514482548203544</v>
      </c>
      <c r="CI126" s="74">
        <f t="shared" si="61"/>
        <v>-526984.3773225866</v>
      </c>
      <c r="CJ126" s="74">
        <f t="shared" si="62"/>
        <v>-246017.17722840226</v>
      </c>
      <c r="CK126" s="74">
        <f t="shared" si="63"/>
        <v>11937.524329353186</v>
      </c>
      <c r="CL126" s="74">
        <f t="shared" si="64"/>
        <v>-7778.7700402606697</v>
      </c>
      <c r="CM126" s="316"/>
      <c r="CN126" s="74">
        <v>62057.660788320623</v>
      </c>
      <c r="CO126" s="74">
        <v>5608.1171019999992</v>
      </c>
    </row>
    <row r="127" spans="1:93" x14ac:dyDescent="0.2">
      <c r="A127" s="74">
        <v>304</v>
      </c>
      <c r="B127" s="74" t="s">
        <v>250</v>
      </c>
      <c r="C127" s="74">
        <v>2</v>
      </c>
      <c r="D127" s="74">
        <v>971</v>
      </c>
      <c r="E127" s="89">
        <v>2595306.8959642239</v>
      </c>
      <c r="F127" s="74">
        <v>979752.47235815832</v>
      </c>
      <c r="G127" s="74">
        <v>1520900.7283999999</v>
      </c>
      <c r="H127" s="74">
        <v>208105.74980000002</v>
      </c>
      <c r="I127" s="74">
        <v>202125.71057899194</v>
      </c>
      <c r="J127" s="74">
        <v>179073.87417113589</v>
      </c>
      <c r="K127" s="74">
        <v>-369578.77209693141</v>
      </c>
      <c r="L127" s="74">
        <v>-188510</v>
      </c>
      <c r="M127" s="75">
        <v>-16100</v>
      </c>
      <c r="N127" s="75">
        <v>10156.612949255858</v>
      </c>
      <c r="O127" s="178">
        <f t="shared" si="35"/>
        <v>-69380.519803613424</v>
      </c>
      <c r="P127" s="179">
        <f t="shared" si="36"/>
        <v>-71.452646553669851</v>
      </c>
      <c r="Q127" s="74"/>
      <c r="R127" s="89">
        <v>7522758</v>
      </c>
      <c r="S127" s="74">
        <v>3166975.4180156006</v>
      </c>
      <c r="T127" s="74">
        <v>312158.62470000004</v>
      </c>
      <c r="U127" s="74">
        <v>1964368.4872953182</v>
      </c>
      <c r="V127" s="74">
        <v>597235.5695329227</v>
      </c>
      <c r="W127" s="74">
        <v>1316290.7283999999</v>
      </c>
      <c r="X127" s="178">
        <f t="shared" si="37"/>
        <v>-165729.172056159</v>
      </c>
      <c r="Y127" s="179">
        <f t="shared" si="38"/>
        <v>-170.67885896617818</v>
      </c>
      <c r="Z127" s="74"/>
      <c r="AA127" s="84">
        <f t="shared" si="39"/>
        <v>96348.65225254558</v>
      </c>
      <c r="AB127" s="132">
        <f t="shared" si="40"/>
        <v>99.226212412508318</v>
      </c>
      <c r="AD127" s="180">
        <v>-92303.7431314391</v>
      </c>
      <c r="AE127" s="187">
        <v>-78996.921138857419</v>
      </c>
      <c r="AF127" s="187">
        <v>-65489.016435611753</v>
      </c>
      <c r="AG127" s="187">
        <v>-52079.738496849102</v>
      </c>
      <c r="AH127" s="188">
        <v>-38462.62787808865</v>
      </c>
      <c r="AJ127" s="74">
        <f t="shared" si="41"/>
        <v>2187222.9456574423</v>
      </c>
      <c r="AK127" s="74">
        <f t="shared" si="42"/>
        <v>104052.87490000002</v>
      </c>
      <c r="AL127" s="74">
        <f t="shared" si="43"/>
        <v>1762242.7767163261</v>
      </c>
      <c r="AM127" s="74">
        <f t="shared" si="44"/>
        <v>4927451.1040357761</v>
      </c>
      <c r="AN127" s="74">
        <f t="shared" si="45"/>
        <v>-92303.7431314391</v>
      </c>
      <c r="AO127" s="74">
        <f t="shared" si="46"/>
        <v>-78996.921138857419</v>
      </c>
      <c r="AP127" s="74">
        <f t="shared" si="47"/>
        <v>-65489.016435611753</v>
      </c>
      <c r="AQ127" s="74">
        <f t="shared" si="48"/>
        <v>-52079.738496849102</v>
      </c>
      <c r="AR127" s="74">
        <f t="shared" si="49"/>
        <v>-38462.62787808865</v>
      </c>
      <c r="AS127" s="75">
        <v>507</v>
      </c>
      <c r="AT127" s="75"/>
      <c r="AU127" s="75"/>
      <c r="AV127" s="75">
        <v>22</v>
      </c>
      <c r="AW127" s="75">
        <v>1606.5254235238106</v>
      </c>
      <c r="AX127" s="75">
        <v>-6.1014263611966415</v>
      </c>
      <c r="AY127" s="75">
        <v>418.16169536178683</v>
      </c>
      <c r="AZ127" s="316"/>
      <c r="BA127" s="74"/>
      <c r="BB127" s="74"/>
      <c r="BC127" s="74"/>
      <c r="BD127" s="74"/>
      <c r="BE127" s="74"/>
      <c r="BF127" s="74"/>
      <c r="BG127" s="74"/>
      <c r="BM127" s="316"/>
      <c r="BN127" s="74">
        <v>2595306.8959642239</v>
      </c>
      <c r="BO127" s="74">
        <v>4767375.83</v>
      </c>
      <c r="BP127" s="74">
        <v>4965000</v>
      </c>
      <c r="BQ127" s="74">
        <v>96069.3</v>
      </c>
      <c r="BR127" s="74">
        <v>82000</v>
      </c>
      <c r="BS127" s="406">
        <f t="shared" si="50"/>
        <v>0.6906346456670438</v>
      </c>
      <c r="BT127" s="406">
        <f t="shared" si="51"/>
        <v>0.33333333333333337</v>
      </c>
      <c r="BU127" s="74">
        <f t="shared" si="52"/>
        <v>1810825.6999811814</v>
      </c>
      <c r="BV127" s="316"/>
      <c r="BW127" s="74">
        <v>7522758</v>
      </c>
      <c r="BX127" s="74">
        <v>2595306.8959642239</v>
      </c>
      <c r="BY127" s="74">
        <v>5000034.7711156011</v>
      </c>
      <c r="BZ127" s="74">
        <v>2708758.9505581581</v>
      </c>
      <c r="CA127" s="74">
        <f t="shared" si="53"/>
        <v>-369578.77209693164</v>
      </c>
      <c r="CB127" s="74">
        <f t="shared" si="54"/>
        <v>-170.67885896617722</v>
      </c>
      <c r="CC127" s="74">
        <f t="shared" si="55"/>
        <v>-71.452646553670036</v>
      </c>
      <c r="CD127" s="74">
        <f t="shared" si="56"/>
        <v>99.226212412507181</v>
      </c>
      <c r="CE127" s="74">
        <f t="shared" si="57"/>
        <v>-81.356252460202171</v>
      </c>
      <c r="CF127" s="74">
        <f t="shared" si="58"/>
        <v>-67.444919089197356</v>
      </c>
      <c r="CG127" s="74">
        <f t="shared" si="59"/>
        <v>-53.635158081202867</v>
      </c>
      <c r="CH127" s="74">
        <f t="shared" si="60"/>
        <v>-39.611357237989218</v>
      </c>
      <c r="CI127" s="74">
        <f t="shared" si="61"/>
        <v>-78996.921138856313</v>
      </c>
      <c r="CJ127" s="74">
        <f t="shared" si="62"/>
        <v>-65489.016435610632</v>
      </c>
      <c r="CK127" s="74">
        <f t="shared" si="63"/>
        <v>-52079.738496847982</v>
      </c>
      <c r="CL127" s="74">
        <f t="shared" si="64"/>
        <v>-38462.627878087529</v>
      </c>
      <c r="CM127" s="316"/>
      <c r="CN127" s="74">
        <v>3593.1768798913508</v>
      </c>
      <c r="CO127" s="74">
        <v>338.77680200000003</v>
      </c>
    </row>
    <row r="128" spans="1:93" x14ac:dyDescent="0.2">
      <c r="A128" s="74">
        <v>305</v>
      </c>
      <c r="B128" s="74" t="s">
        <v>251</v>
      </c>
      <c r="C128" s="74">
        <v>17</v>
      </c>
      <c r="D128" s="74">
        <v>15165</v>
      </c>
      <c r="E128" s="89">
        <v>41838394.222836263</v>
      </c>
      <c r="F128" s="74">
        <v>17579173.058676787</v>
      </c>
      <c r="G128" s="74">
        <v>7956275.8050000006</v>
      </c>
      <c r="H128" s="74">
        <v>3485436.2165999999</v>
      </c>
      <c r="I128" s="74">
        <v>10846690.863683803</v>
      </c>
      <c r="J128" s="74">
        <v>2754225.6847997084</v>
      </c>
      <c r="K128" s="74">
        <v>1936547.7977629702</v>
      </c>
      <c r="L128" s="74">
        <v>-742261</v>
      </c>
      <c r="M128" s="75">
        <v>-690000</v>
      </c>
      <c r="N128" s="75">
        <v>128932.23341246101</v>
      </c>
      <c r="O128" s="178">
        <f t="shared" si="35"/>
        <v>1416626.4370994642</v>
      </c>
      <c r="P128" s="179">
        <f t="shared" si="36"/>
        <v>93.414206205042149</v>
      </c>
      <c r="Q128" s="74"/>
      <c r="R128" s="89">
        <v>108096159.93000001</v>
      </c>
      <c r="S128" s="74">
        <v>44922855.149380602</v>
      </c>
      <c r="T128" s="74">
        <v>5228154.3248999994</v>
      </c>
      <c r="U128" s="74">
        <v>45973795.057155117</v>
      </c>
      <c r="V128" s="74">
        <v>9185714.8514671233</v>
      </c>
      <c r="W128" s="74">
        <v>6524014.8050000006</v>
      </c>
      <c r="X128" s="178">
        <f t="shared" si="37"/>
        <v>3738374.2579028308</v>
      </c>
      <c r="Y128" s="179">
        <f t="shared" si="38"/>
        <v>246.51330418086587</v>
      </c>
      <c r="Z128" s="74"/>
      <c r="AA128" s="84">
        <f t="shared" si="39"/>
        <v>-2321747.8208033666</v>
      </c>
      <c r="AB128" s="132">
        <f t="shared" si="40"/>
        <v>-153.09909797582372</v>
      </c>
      <c r="AD128" s="180">
        <v>2384920.8865310643</v>
      </c>
      <c r="AE128" s="187">
        <v>2137795.7634800868</v>
      </c>
      <c r="AF128" s="187">
        <v>1893811.1340513749</v>
      </c>
      <c r="AG128" s="187">
        <v>1648286.1597376112</v>
      </c>
      <c r="AH128" s="188">
        <v>1406007.0995249464</v>
      </c>
      <c r="AJ128" s="74">
        <f t="shared" si="41"/>
        <v>27343682.090703815</v>
      </c>
      <c r="AK128" s="74">
        <f t="shared" si="42"/>
        <v>1742718.1082999995</v>
      </c>
      <c r="AL128" s="74">
        <f t="shared" si="43"/>
        <v>35127104.193471313</v>
      </c>
      <c r="AM128" s="74">
        <f t="shared" si="44"/>
        <v>66257765.707163744</v>
      </c>
      <c r="AN128" s="74">
        <f t="shared" si="45"/>
        <v>2384920.8865310643</v>
      </c>
      <c r="AO128" s="74">
        <f t="shared" si="46"/>
        <v>2137795.7634800868</v>
      </c>
      <c r="AP128" s="74">
        <f t="shared" si="47"/>
        <v>1893811.1340513749</v>
      </c>
      <c r="AQ128" s="74">
        <f t="shared" si="48"/>
        <v>1648286.1597376112</v>
      </c>
      <c r="AR128" s="74">
        <f t="shared" si="49"/>
        <v>1406007.0995249464</v>
      </c>
      <c r="AS128" s="75">
        <v>8182</v>
      </c>
      <c r="AT128" s="75"/>
      <c r="AU128" s="75"/>
      <c r="AV128" s="75">
        <v>60</v>
      </c>
      <c r="AW128" s="75">
        <v>28693.76206615565</v>
      </c>
      <c r="AX128" s="75">
        <v>-5409.2055167887092</v>
      </c>
      <c r="AY128" s="75">
        <v>6431.4891666674148</v>
      </c>
      <c r="AZ128" s="316"/>
      <c r="BA128" s="74"/>
      <c r="BB128" s="74"/>
      <c r="BC128" s="74"/>
      <c r="BD128" s="74"/>
      <c r="BE128" s="74"/>
      <c r="BF128" s="74"/>
      <c r="BG128" s="74"/>
      <c r="BM128" s="316"/>
      <c r="BN128" s="74">
        <v>41838394.222836263</v>
      </c>
      <c r="BO128" s="74">
        <v>63471362.550000034</v>
      </c>
      <c r="BP128" s="74">
        <v>66571000</v>
      </c>
      <c r="BQ128" s="74">
        <v>1054700.1599999999</v>
      </c>
      <c r="BR128" s="74">
        <v>1072000</v>
      </c>
      <c r="BS128" s="406">
        <f t="shared" si="50"/>
        <v>0.60868085965993712</v>
      </c>
      <c r="BT128" s="406">
        <f t="shared" si="51"/>
        <v>0.33333333333333326</v>
      </c>
      <c r="BU128" s="74">
        <f t="shared" si="52"/>
        <v>43495141.157901697</v>
      </c>
      <c r="BV128" s="316"/>
      <c r="BW128" s="74">
        <v>108096159.93000001</v>
      </c>
      <c r="BX128" s="74">
        <v>41838394.222836263</v>
      </c>
      <c r="BY128" s="74">
        <v>58107285.279280603</v>
      </c>
      <c r="BZ128" s="74">
        <v>29020885.080276787</v>
      </c>
      <c r="CA128" s="74">
        <f t="shared" si="53"/>
        <v>1936547.7977629581</v>
      </c>
      <c r="CB128" s="74">
        <f t="shared" si="54"/>
        <v>246.5133041808663</v>
      </c>
      <c r="CC128" s="74">
        <f t="shared" si="55"/>
        <v>93.414206205041509</v>
      </c>
      <c r="CD128" s="74">
        <f t="shared" si="56"/>
        <v>-153.0990979758248</v>
      </c>
      <c r="CE128" s="74">
        <f t="shared" si="57"/>
        <v>140.96905792812981</v>
      </c>
      <c r="CF128" s="74">
        <f t="shared" si="58"/>
        <v>124.88039129913463</v>
      </c>
      <c r="CG128" s="74">
        <f t="shared" si="59"/>
        <v>108.69015230712911</v>
      </c>
      <c r="CH128" s="74">
        <f t="shared" si="60"/>
        <v>92.713953150342775</v>
      </c>
      <c r="CI128" s="74">
        <f t="shared" si="61"/>
        <v>2137795.7634800887</v>
      </c>
      <c r="CJ128" s="74">
        <f t="shared" si="62"/>
        <v>1893811.1340513767</v>
      </c>
      <c r="CK128" s="74">
        <f t="shared" si="63"/>
        <v>1648286.1597376131</v>
      </c>
      <c r="CL128" s="74">
        <f t="shared" si="64"/>
        <v>1406007.0995249483</v>
      </c>
      <c r="CM128" s="316"/>
      <c r="CN128" s="74">
        <v>46079.963299526782</v>
      </c>
      <c r="CO128" s="74">
        <v>5673.9659339999998</v>
      </c>
    </row>
    <row r="129" spans="1:93" x14ac:dyDescent="0.2">
      <c r="A129" s="74">
        <v>309</v>
      </c>
      <c r="B129" s="74" t="s">
        <v>311</v>
      </c>
      <c r="C129" s="74">
        <v>12</v>
      </c>
      <c r="D129" s="74">
        <v>6506</v>
      </c>
      <c r="E129" s="89">
        <v>15355378.266276915</v>
      </c>
      <c r="F129" s="74">
        <v>8413341.5278500579</v>
      </c>
      <c r="G129" s="74">
        <v>1599857.0360000001</v>
      </c>
      <c r="H129" s="74">
        <v>907728.66700000002</v>
      </c>
      <c r="I129" s="74">
        <v>4452337.8202078752</v>
      </c>
      <c r="J129" s="74">
        <v>1244502.1556274421</v>
      </c>
      <c r="K129" s="74">
        <v>-532927.13107197662</v>
      </c>
      <c r="L129" s="74">
        <v>-657464</v>
      </c>
      <c r="M129" s="75">
        <v>957070</v>
      </c>
      <c r="N129" s="75">
        <v>50802.708046573185</v>
      </c>
      <c r="O129" s="178">
        <f t="shared" si="35"/>
        <v>1079870.5173830576</v>
      </c>
      <c r="P129" s="179">
        <f t="shared" si="36"/>
        <v>165.98071278559141</v>
      </c>
      <c r="Q129" s="74"/>
      <c r="R129" s="89">
        <v>47010572</v>
      </c>
      <c r="S129" s="74">
        <v>19420287.717259731</v>
      </c>
      <c r="T129" s="74">
        <v>1361593.0005000001</v>
      </c>
      <c r="U129" s="74">
        <v>20710121.096599966</v>
      </c>
      <c r="V129" s="74">
        <v>4150582.8649844904</v>
      </c>
      <c r="W129" s="74">
        <v>1899463.0360000001</v>
      </c>
      <c r="X129" s="178">
        <f t="shared" si="37"/>
        <v>531475.7153441906</v>
      </c>
      <c r="Y129" s="179">
        <f t="shared" si="38"/>
        <v>81.690088432860534</v>
      </c>
      <c r="Z129" s="74"/>
      <c r="AA129" s="84">
        <f t="shared" si="39"/>
        <v>548394.80203886703</v>
      </c>
      <c r="AB129" s="132">
        <f t="shared" si="40"/>
        <v>84.290624352730873</v>
      </c>
      <c r="AD129" s="180">
        <v>-521292.66121300374</v>
      </c>
      <c r="AE129" s="187">
        <v>-432132.84258917632</v>
      </c>
      <c r="AF129" s="187">
        <v>-341625.70767741901</v>
      </c>
      <c r="AG129" s="187">
        <v>-251779.40255940682</v>
      </c>
      <c r="AH129" s="188">
        <v>-160540.55427345884</v>
      </c>
      <c r="AJ129" s="74">
        <f t="shared" si="41"/>
        <v>11006946.189409673</v>
      </c>
      <c r="AK129" s="74">
        <f t="shared" si="42"/>
        <v>453864.33350000007</v>
      </c>
      <c r="AL129" s="74">
        <f t="shared" si="43"/>
        <v>16257783.276392091</v>
      </c>
      <c r="AM129" s="74">
        <f t="shared" si="44"/>
        <v>31655193.733723085</v>
      </c>
      <c r="AN129" s="74">
        <f t="shared" si="45"/>
        <v>-521292.66121300374</v>
      </c>
      <c r="AO129" s="74">
        <f t="shared" si="46"/>
        <v>-432132.84258917632</v>
      </c>
      <c r="AP129" s="74">
        <f t="shared" si="47"/>
        <v>-341625.70767741901</v>
      </c>
      <c r="AQ129" s="74">
        <f t="shared" si="48"/>
        <v>-251779.40255940682</v>
      </c>
      <c r="AR129" s="74">
        <f t="shared" si="49"/>
        <v>-160540.55427345884</v>
      </c>
      <c r="AS129" s="75">
        <v>2378</v>
      </c>
      <c r="AT129" s="75"/>
      <c r="AU129" s="75"/>
      <c r="AV129" s="75">
        <v>12</v>
      </c>
      <c r="AW129" s="75">
        <v>13137.565714839544</v>
      </c>
      <c r="AX129" s="75">
        <v>-3316.1502418696973</v>
      </c>
      <c r="AY129" s="75">
        <v>2906.0807093570484</v>
      </c>
      <c r="AZ129" s="316"/>
      <c r="BA129" s="74"/>
      <c r="BB129" s="74"/>
      <c r="BC129" s="74"/>
      <c r="BD129" s="74"/>
      <c r="BE129" s="74"/>
      <c r="BF129" s="74"/>
      <c r="BG129" s="74"/>
      <c r="BM129" s="316"/>
      <c r="BN129" s="74">
        <v>15355378.266276915</v>
      </c>
      <c r="BO129" s="74">
        <v>30033413.589999996</v>
      </c>
      <c r="BP129" s="74">
        <v>33090000</v>
      </c>
      <c r="BQ129" s="74">
        <v>579952</v>
      </c>
      <c r="BR129" s="74">
        <v>601000</v>
      </c>
      <c r="BS129" s="406">
        <f t="shared" si="50"/>
        <v>0.56677564975658301</v>
      </c>
      <c r="BT129" s="406">
        <f t="shared" si="51"/>
        <v>0.33333333333333337</v>
      </c>
      <c r="BU129" s="74">
        <f t="shared" si="52"/>
        <v>18630936.854677163</v>
      </c>
      <c r="BV129" s="316"/>
      <c r="BW129" s="74">
        <v>47010572</v>
      </c>
      <c r="BX129" s="74">
        <v>15355378.266276915</v>
      </c>
      <c r="BY129" s="74">
        <v>22381737.753759731</v>
      </c>
      <c r="BZ129" s="74">
        <v>10920927.230850058</v>
      </c>
      <c r="CA129" s="74">
        <f t="shared" si="53"/>
        <v>-532927.13107198186</v>
      </c>
      <c r="CB129" s="74">
        <f t="shared" si="54"/>
        <v>81.690088432860279</v>
      </c>
      <c r="CC129" s="74">
        <f t="shared" si="55"/>
        <v>165.98071278559061</v>
      </c>
      <c r="CD129" s="74">
        <f t="shared" si="56"/>
        <v>84.290624352730333</v>
      </c>
      <c r="CE129" s="74">
        <f t="shared" si="57"/>
        <v>-66.420664400425323</v>
      </c>
      <c r="CF129" s="74">
        <f t="shared" si="58"/>
        <v>-52.509331029420508</v>
      </c>
      <c r="CG129" s="74">
        <f t="shared" si="59"/>
        <v>-38.69957002142602</v>
      </c>
      <c r="CH129" s="74">
        <f t="shared" si="60"/>
        <v>-24.67576917821237</v>
      </c>
      <c r="CI129" s="74">
        <f t="shared" si="61"/>
        <v>-432132.84258916718</v>
      </c>
      <c r="CJ129" s="74">
        <f t="shared" si="62"/>
        <v>-341625.70767740981</v>
      </c>
      <c r="CK129" s="74">
        <f t="shared" si="63"/>
        <v>-251779.40255939768</v>
      </c>
      <c r="CL129" s="74">
        <f t="shared" si="64"/>
        <v>-160540.55427344967</v>
      </c>
      <c r="CM129" s="316"/>
      <c r="CN129" s="74">
        <v>19632.958683595036</v>
      </c>
      <c r="CO129" s="74">
        <v>1477.6978300000001</v>
      </c>
    </row>
    <row r="130" spans="1:93" x14ac:dyDescent="0.2">
      <c r="A130" s="74">
        <v>312</v>
      </c>
      <c r="B130" s="74" t="s">
        <v>252</v>
      </c>
      <c r="C130" s="74">
        <v>13</v>
      </c>
      <c r="D130" s="74">
        <v>1232</v>
      </c>
      <c r="E130" s="89">
        <v>3298315.5788615514</v>
      </c>
      <c r="F130" s="74">
        <v>1636273.0611249527</v>
      </c>
      <c r="G130" s="74">
        <v>454629.62149999995</v>
      </c>
      <c r="H130" s="74">
        <v>742629.47039999999</v>
      </c>
      <c r="I130" s="74">
        <v>1059827.7075008859</v>
      </c>
      <c r="J130" s="74">
        <v>285349.89050204074</v>
      </c>
      <c r="K130" s="74">
        <v>61286.43494559903</v>
      </c>
      <c r="L130" s="74">
        <v>-284203</v>
      </c>
      <c r="M130" s="75">
        <v>713850</v>
      </c>
      <c r="N130" s="75">
        <v>9771.0121052816739</v>
      </c>
      <c r="O130" s="178">
        <f t="shared" si="35"/>
        <v>1381098.6192172086</v>
      </c>
      <c r="P130" s="179">
        <f t="shared" si="36"/>
        <v>1121.0216065074744</v>
      </c>
      <c r="Q130" s="74"/>
      <c r="R130" s="89">
        <v>9471859</v>
      </c>
      <c r="S130" s="74">
        <v>3469244.7244576719</v>
      </c>
      <c r="T130" s="74">
        <v>1113944.2056</v>
      </c>
      <c r="U130" s="74">
        <v>4391218.0173845962</v>
      </c>
      <c r="V130" s="74">
        <v>951680.44562031853</v>
      </c>
      <c r="W130" s="74">
        <v>884276.62149999989</v>
      </c>
      <c r="X130" s="178">
        <f t="shared" si="37"/>
        <v>1338505.0145625863</v>
      </c>
      <c r="Y130" s="179">
        <f t="shared" si="38"/>
        <v>1086.4488754566448</v>
      </c>
      <c r="Z130" s="74"/>
      <c r="AA130" s="84">
        <f t="shared" si="39"/>
        <v>42593.604654622264</v>
      </c>
      <c r="AB130" s="132">
        <f t="shared" si="40"/>
        <v>34.572731050829759</v>
      </c>
      <c r="AD130" s="180">
        <v>-37461.443957193434</v>
      </c>
      <c r="AE130" s="187">
        <v>-20577.813993382286</v>
      </c>
      <c r="AF130" s="187">
        <v>-3439.0512803043471</v>
      </c>
      <c r="AG130" s="187">
        <v>728.17893616691219</v>
      </c>
      <c r="AH130" s="188">
        <v>-474.49842499386767</v>
      </c>
      <c r="AJ130" s="74">
        <f t="shared" si="41"/>
        <v>1832971.6633327191</v>
      </c>
      <c r="AK130" s="74">
        <f t="shared" si="42"/>
        <v>371314.7352</v>
      </c>
      <c r="AL130" s="74">
        <f t="shared" si="43"/>
        <v>3331390.30988371</v>
      </c>
      <c r="AM130" s="74">
        <f t="shared" si="44"/>
        <v>6173543.4211384486</v>
      </c>
      <c r="AN130" s="74">
        <f t="shared" si="45"/>
        <v>-37461.443957193434</v>
      </c>
      <c r="AO130" s="74">
        <f t="shared" si="46"/>
        <v>-20577.813993382286</v>
      </c>
      <c r="AP130" s="74">
        <f t="shared" si="47"/>
        <v>-3439.0512803043471</v>
      </c>
      <c r="AQ130" s="74">
        <f t="shared" si="48"/>
        <v>728.17893616691219</v>
      </c>
      <c r="AR130" s="74">
        <f t="shared" si="49"/>
        <v>-474.49842499386767</v>
      </c>
      <c r="AS130" s="75">
        <v>363</v>
      </c>
      <c r="AT130" s="75"/>
      <c r="AU130" s="75"/>
      <c r="AV130" s="75">
        <v>0</v>
      </c>
      <c r="AW130" s="75">
        <v>2733.4798726296181</v>
      </c>
      <c r="AX130" s="75">
        <v>-681.89616920608171</v>
      </c>
      <c r="AY130" s="75">
        <v>666.33055511827774</v>
      </c>
      <c r="AZ130" s="316"/>
      <c r="BA130" s="74"/>
      <c r="BB130" s="74"/>
      <c r="BC130" s="74"/>
      <c r="BD130" s="74"/>
      <c r="BE130" s="74"/>
      <c r="BF130" s="74"/>
      <c r="BG130" s="74"/>
      <c r="BM130" s="316"/>
      <c r="BN130" s="74">
        <v>3298315.5788615514</v>
      </c>
      <c r="BO130" s="74">
        <v>5929820.0500000007</v>
      </c>
      <c r="BP130" s="74">
        <v>6316000</v>
      </c>
      <c r="BQ130" s="74">
        <v>120960.4</v>
      </c>
      <c r="BR130" s="74">
        <v>125000</v>
      </c>
      <c r="BS130" s="406">
        <f t="shared" si="50"/>
        <v>0.52834890845564597</v>
      </c>
      <c r="BT130" s="406">
        <f t="shared" si="51"/>
        <v>0.33333333333333337</v>
      </c>
      <c r="BU130" s="74">
        <f t="shared" si="52"/>
        <v>4059007.2999475878</v>
      </c>
      <c r="BV130" s="316"/>
      <c r="BW130" s="74">
        <v>9471859</v>
      </c>
      <c r="BX130" s="74">
        <v>3298315.5788615514</v>
      </c>
      <c r="BY130" s="74">
        <v>5037818.5515576722</v>
      </c>
      <c r="BZ130" s="74">
        <v>2833532.1530249529</v>
      </c>
      <c r="CA130" s="74">
        <f t="shared" si="53"/>
        <v>61286.434945598849</v>
      </c>
      <c r="CB130" s="74">
        <f t="shared" si="54"/>
        <v>1086.4488754566448</v>
      </c>
      <c r="CC130" s="74">
        <f t="shared" si="55"/>
        <v>1121.0216065074744</v>
      </c>
      <c r="CD130" s="74">
        <f t="shared" si="56"/>
        <v>34.572731050829589</v>
      </c>
      <c r="CE130" s="74">
        <f t="shared" si="57"/>
        <v>-16.702771098524583</v>
      </c>
      <c r="CF130" s="74">
        <f t="shared" si="58"/>
        <v>-2.7914377275197624</v>
      </c>
      <c r="CG130" s="74">
        <f t="shared" si="59"/>
        <v>0.59105433130431184</v>
      </c>
      <c r="CH130" s="74">
        <f t="shared" si="60"/>
        <v>-0.38514482548203544</v>
      </c>
      <c r="CI130" s="74">
        <f t="shared" si="61"/>
        <v>-20577.813993382286</v>
      </c>
      <c r="CJ130" s="74">
        <f t="shared" si="62"/>
        <v>-3439.0512803043471</v>
      </c>
      <c r="CK130" s="74">
        <f t="shared" si="63"/>
        <v>728.17893616691219</v>
      </c>
      <c r="CL130" s="74">
        <f t="shared" si="64"/>
        <v>-474.49842499386767</v>
      </c>
      <c r="CM130" s="316"/>
      <c r="CN130" s="74">
        <v>3577.3956967730492</v>
      </c>
      <c r="CO130" s="74">
        <v>1208.9316960000001</v>
      </c>
    </row>
    <row r="131" spans="1:93" x14ac:dyDescent="0.2">
      <c r="A131" s="74">
        <v>316</v>
      </c>
      <c r="B131" s="74" t="s">
        <v>253</v>
      </c>
      <c r="C131" s="74">
        <v>7</v>
      </c>
      <c r="D131" s="74">
        <v>4245</v>
      </c>
      <c r="E131" s="89">
        <v>10733913.573921602</v>
      </c>
      <c r="F131" s="74">
        <v>6853386.9390912233</v>
      </c>
      <c r="G131" s="74">
        <v>1205030.3475000001</v>
      </c>
      <c r="H131" s="74">
        <v>503602.72160000005</v>
      </c>
      <c r="I131" s="74">
        <v>2025826.7135206393</v>
      </c>
      <c r="J131" s="74">
        <v>825898.36162042292</v>
      </c>
      <c r="K131" s="74">
        <v>-110788.76585552718</v>
      </c>
      <c r="L131" s="74">
        <v>-1102722</v>
      </c>
      <c r="M131" s="75">
        <v>71550</v>
      </c>
      <c r="N131" s="75">
        <v>39117.412301179902</v>
      </c>
      <c r="O131" s="178">
        <f t="shared" si="35"/>
        <v>-423011.8441436626</v>
      </c>
      <c r="P131" s="179">
        <f t="shared" si="36"/>
        <v>-99.649433249390484</v>
      </c>
      <c r="Q131" s="74"/>
      <c r="R131" s="89">
        <v>27385303</v>
      </c>
      <c r="S131" s="74">
        <v>15426257.87960567</v>
      </c>
      <c r="T131" s="74">
        <v>755404.08240000007</v>
      </c>
      <c r="U131" s="74">
        <v>7681674.5636950918</v>
      </c>
      <c r="V131" s="74">
        <v>2754482.6438908121</v>
      </c>
      <c r="W131" s="74">
        <v>173858.34750000015</v>
      </c>
      <c r="X131" s="178">
        <f t="shared" si="37"/>
        <v>-593625.48290842772</v>
      </c>
      <c r="Y131" s="179">
        <f t="shared" si="38"/>
        <v>-139.84110315864021</v>
      </c>
      <c r="Z131" s="74"/>
      <c r="AA131" s="84">
        <f t="shared" si="39"/>
        <v>170613.63876476511</v>
      </c>
      <c r="AB131" s="132">
        <f t="shared" si="40"/>
        <v>40.191669909249732</v>
      </c>
      <c r="AD131" s="180">
        <v>-152930.17921883051</v>
      </c>
      <c r="AE131" s="187">
        <v>-94755.658767224726</v>
      </c>
      <c r="AF131" s="187">
        <v>-35702.048607309262</v>
      </c>
      <c r="AG131" s="187">
        <v>2509.0256363868039</v>
      </c>
      <c r="AH131" s="188">
        <v>-1634.9397841712405</v>
      </c>
      <c r="AJ131" s="74">
        <f t="shared" si="41"/>
        <v>8572870.9405144453</v>
      </c>
      <c r="AK131" s="74">
        <f t="shared" si="42"/>
        <v>251801.36080000002</v>
      </c>
      <c r="AL131" s="74">
        <f t="shared" si="43"/>
        <v>5655847.8501744522</v>
      </c>
      <c r="AM131" s="74">
        <f t="shared" si="44"/>
        <v>16651389.426078398</v>
      </c>
      <c r="AN131" s="74">
        <f t="shared" si="45"/>
        <v>-152930.17921883051</v>
      </c>
      <c r="AO131" s="74">
        <f t="shared" si="46"/>
        <v>-94755.658767224726</v>
      </c>
      <c r="AP131" s="74">
        <f t="shared" si="47"/>
        <v>-35702.048607309262</v>
      </c>
      <c r="AQ131" s="74">
        <f t="shared" si="48"/>
        <v>2509.0256363868039</v>
      </c>
      <c r="AR131" s="74">
        <f t="shared" si="49"/>
        <v>-1634.9397841712405</v>
      </c>
      <c r="AS131" s="75">
        <v>1082</v>
      </c>
      <c r="AT131" s="75"/>
      <c r="AU131" s="75"/>
      <c r="AV131" s="75">
        <v>0</v>
      </c>
      <c r="AW131" s="75">
        <v>4599.6992839691848</v>
      </c>
      <c r="AX131" s="75">
        <v>-1154.7447237405447</v>
      </c>
      <c r="AY131" s="75">
        <v>1928.5842822703892</v>
      </c>
      <c r="AZ131" s="316"/>
      <c r="BA131" s="74"/>
      <c r="BB131" s="74"/>
      <c r="BC131" s="74"/>
      <c r="BD131" s="74"/>
      <c r="BE131" s="74"/>
      <c r="BF131" s="74"/>
      <c r="BG131" s="74"/>
      <c r="BM131" s="316"/>
      <c r="BN131" s="74">
        <v>10733913.573921602</v>
      </c>
      <c r="BO131" s="74">
        <v>15452455.620000003</v>
      </c>
      <c r="BP131" s="74">
        <v>16976000</v>
      </c>
      <c r="BQ131" s="74">
        <v>432491</v>
      </c>
      <c r="BR131" s="74">
        <v>445000</v>
      </c>
      <c r="BS131" s="406">
        <f t="shared" si="50"/>
        <v>0.55573237575966083</v>
      </c>
      <c r="BT131" s="406">
        <f t="shared" si="51"/>
        <v>0.33333333333333337</v>
      </c>
      <c r="BU131" s="74">
        <f t="shared" si="52"/>
        <v>7473643.3665893152</v>
      </c>
      <c r="BV131" s="316"/>
      <c r="BW131" s="74">
        <v>27385303</v>
      </c>
      <c r="BX131" s="74">
        <v>10733913.573921602</v>
      </c>
      <c r="BY131" s="74">
        <v>17386692.309505671</v>
      </c>
      <c r="BZ131" s="74">
        <v>8562020.0081912242</v>
      </c>
      <c r="CA131" s="74">
        <f t="shared" si="53"/>
        <v>-110788.76585552782</v>
      </c>
      <c r="CB131" s="74">
        <f t="shared" si="54"/>
        <v>-139.84110315864001</v>
      </c>
      <c r="CC131" s="74">
        <f t="shared" si="55"/>
        <v>-99.649433249390967</v>
      </c>
      <c r="CD131" s="74">
        <f t="shared" si="56"/>
        <v>40.191669909249043</v>
      </c>
      <c r="CE131" s="74">
        <f t="shared" si="57"/>
        <v>-22.321709956944037</v>
      </c>
      <c r="CF131" s="74">
        <f t="shared" si="58"/>
        <v>-8.4103765859392166</v>
      </c>
      <c r="CG131" s="74">
        <f t="shared" si="59"/>
        <v>0.59105433130431184</v>
      </c>
      <c r="CH131" s="74">
        <f t="shared" si="60"/>
        <v>-0.38514482548203544</v>
      </c>
      <c r="CI131" s="74">
        <f t="shared" si="61"/>
        <v>-94755.658767227433</v>
      </c>
      <c r="CJ131" s="74">
        <f t="shared" si="62"/>
        <v>-35702.048607311976</v>
      </c>
      <c r="CK131" s="74">
        <f t="shared" si="63"/>
        <v>2509.0256363868039</v>
      </c>
      <c r="CL131" s="74">
        <f t="shared" si="64"/>
        <v>-1634.9397841712405</v>
      </c>
      <c r="CM131" s="316"/>
      <c r="CN131" s="74">
        <v>15834.568643614923</v>
      </c>
      <c r="CO131" s="74">
        <v>819.81838400000004</v>
      </c>
    </row>
    <row r="132" spans="1:93" x14ac:dyDescent="0.2">
      <c r="A132" s="74">
        <v>317</v>
      </c>
      <c r="B132" s="74" t="s">
        <v>254</v>
      </c>
      <c r="C132" s="74">
        <v>17</v>
      </c>
      <c r="D132" s="74">
        <v>2533</v>
      </c>
      <c r="E132" s="89">
        <v>8704887.6924673412</v>
      </c>
      <c r="F132" s="74">
        <v>2862651.7114975825</v>
      </c>
      <c r="G132" s="74">
        <v>643826.43540000019</v>
      </c>
      <c r="H132" s="74">
        <v>696855.24800000002</v>
      </c>
      <c r="I132" s="74">
        <v>3187716.5128484229</v>
      </c>
      <c r="J132" s="74">
        <v>570211.06901134038</v>
      </c>
      <c r="K132" s="74">
        <v>848028.36924636201</v>
      </c>
      <c r="L132" s="74">
        <v>45173</v>
      </c>
      <c r="M132" s="75">
        <v>140000</v>
      </c>
      <c r="N132" s="75">
        <v>17413.223539168652</v>
      </c>
      <c r="O132" s="178">
        <f t="shared" si="35"/>
        <v>306987.87707553431</v>
      </c>
      <c r="P132" s="179">
        <f t="shared" si="36"/>
        <v>121.19537192085839</v>
      </c>
      <c r="Q132" s="74"/>
      <c r="R132" s="89">
        <v>20006416.260000002</v>
      </c>
      <c r="S132" s="74">
        <v>6442551.203298728</v>
      </c>
      <c r="T132" s="74">
        <v>1045282.872</v>
      </c>
      <c r="U132" s="74">
        <v>10521235.124705408</v>
      </c>
      <c r="V132" s="74">
        <v>1901730.9707026838</v>
      </c>
      <c r="W132" s="74">
        <v>828999.43540000019</v>
      </c>
      <c r="X132" s="178">
        <f t="shared" si="37"/>
        <v>733383.34610681608</v>
      </c>
      <c r="Y132" s="179">
        <f t="shared" si="38"/>
        <v>289.53152234773631</v>
      </c>
      <c r="Z132" s="74"/>
      <c r="AA132" s="84">
        <f t="shared" si="39"/>
        <v>-426395.46903128177</v>
      </c>
      <c r="AB132" s="132">
        <f t="shared" si="40"/>
        <v>-168.33615042687791</v>
      </c>
      <c r="AD132" s="180">
        <v>436947.2247509213</v>
      </c>
      <c r="AE132" s="187">
        <v>395670.07759047783</v>
      </c>
      <c r="AF132" s="187">
        <v>354917.48501923302</v>
      </c>
      <c r="AG132" s="187">
        <v>313907.60965248302</v>
      </c>
      <c r="AH132" s="188">
        <v>273439.89718834322</v>
      </c>
      <c r="AJ132" s="74">
        <f t="shared" si="41"/>
        <v>3579899.4918011455</v>
      </c>
      <c r="AK132" s="74">
        <f t="shared" si="42"/>
        <v>348427.62399999995</v>
      </c>
      <c r="AL132" s="74">
        <f t="shared" si="43"/>
        <v>7333518.6118569849</v>
      </c>
      <c r="AM132" s="74">
        <f t="shared" si="44"/>
        <v>11301528.56753266</v>
      </c>
      <c r="AN132" s="74">
        <f t="shared" si="45"/>
        <v>436947.2247509213</v>
      </c>
      <c r="AO132" s="74">
        <f t="shared" si="46"/>
        <v>395670.07759047783</v>
      </c>
      <c r="AP132" s="74">
        <f t="shared" si="47"/>
        <v>354917.48501923302</v>
      </c>
      <c r="AQ132" s="74">
        <f t="shared" si="48"/>
        <v>313907.60965248302</v>
      </c>
      <c r="AR132" s="74">
        <f t="shared" si="49"/>
        <v>273439.89718834322</v>
      </c>
      <c r="AS132" s="75">
        <v>806</v>
      </c>
      <c r="AT132" s="75"/>
      <c r="AU132" s="75"/>
      <c r="AV132" s="75">
        <v>4</v>
      </c>
      <c r="AW132" s="75">
        <v>5751.1528889574429</v>
      </c>
      <c r="AX132" s="75">
        <v>-1722.421443727924</v>
      </c>
      <c r="AY132" s="75">
        <v>1331.5199016913434</v>
      </c>
      <c r="AZ132" s="316"/>
      <c r="BA132" s="74"/>
      <c r="BB132" s="74"/>
      <c r="BC132" s="74"/>
      <c r="BD132" s="74"/>
      <c r="BE132" s="74"/>
      <c r="BF132" s="74"/>
      <c r="BG132" s="74"/>
      <c r="BM132" s="316"/>
      <c r="BN132" s="74">
        <v>8704887.6924673412</v>
      </c>
      <c r="BO132" s="74">
        <v>10998137.220000003</v>
      </c>
      <c r="BP132" s="74">
        <v>10657000</v>
      </c>
      <c r="BQ132" s="74">
        <v>269635.57</v>
      </c>
      <c r="BR132" s="74">
        <v>361000</v>
      </c>
      <c r="BS132" s="406">
        <f t="shared" si="50"/>
        <v>0.55566488784259227</v>
      </c>
      <c r="BT132" s="406">
        <f t="shared" si="51"/>
        <v>0.33333333333333326</v>
      </c>
      <c r="BU132" s="74">
        <f t="shared" si="52"/>
        <v>9513066.8827946894</v>
      </c>
      <c r="BV132" s="316"/>
      <c r="BW132" s="74">
        <v>20006416.260000002</v>
      </c>
      <c r="BX132" s="74">
        <v>8704887.6924673412</v>
      </c>
      <c r="BY132" s="74">
        <v>8131660.5106987283</v>
      </c>
      <c r="BZ132" s="74">
        <v>4203333.3948975829</v>
      </c>
      <c r="CA132" s="74">
        <f t="shared" si="53"/>
        <v>848028.36924636026</v>
      </c>
      <c r="CB132" s="74">
        <f t="shared" si="54"/>
        <v>289.53152234773728</v>
      </c>
      <c r="CC132" s="74">
        <f t="shared" si="55"/>
        <v>121.19537192085787</v>
      </c>
      <c r="CD132" s="74">
        <f t="shared" si="56"/>
        <v>-168.33615042687941</v>
      </c>
      <c r="CE132" s="74">
        <f t="shared" si="57"/>
        <v>156.20611037918442</v>
      </c>
      <c r="CF132" s="74">
        <f t="shared" si="58"/>
        <v>140.11744375018924</v>
      </c>
      <c r="CG132" s="74">
        <f t="shared" si="59"/>
        <v>123.92720475818372</v>
      </c>
      <c r="CH132" s="74">
        <f t="shared" si="60"/>
        <v>107.95100560139738</v>
      </c>
      <c r="CI132" s="74">
        <f t="shared" si="61"/>
        <v>395670.07759047416</v>
      </c>
      <c r="CJ132" s="74">
        <f t="shared" si="62"/>
        <v>354917.48501922935</v>
      </c>
      <c r="CK132" s="74">
        <f t="shared" si="63"/>
        <v>313907.60965247935</v>
      </c>
      <c r="CL132" s="74">
        <f t="shared" si="64"/>
        <v>273439.89718833956</v>
      </c>
      <c r="CM132" s="316"/>
      <c r="CN132" s="74">
        <v>6645.838755467229</v>
      </c>
      <c r="CO132" s="74">
        <v>1134.41552</v>
      </c>
    </row>
    <row r="133" spans="1:93" x14ac:dyDescent="0.2">
      <c r="A133" s="74">
        <v>320</v>
      </c>
      <c r="B133" s="74" t="s">
        <v>222</v>
      </c>
      <c r="C133" s="74">
        <v>19</v>
      </c>
      <c r="D133" s="74">
        <v>7105</v>
      </c>
      <c r="E133" s="89">
        <v>21757484.374337003</v>
      </c>
      <c r="F133" s="74">
        <v>10765209.017762849</v>
      </c>
      <c r="G133" s="74">
        <v>4469443.8479999993</v>
      </c>
      <c r="H133" s="74">
        <v>1050490.5934000001</v>
      </c>
      <c r="I133" s="74">
        <v>3475397.0405660975</v>
      </c>
      <c r="J133" s="74">
        <v>1323000.0753025068</v>
      </c>
      <c r="K133" s="74">
        <v>1216368.6201065173</v>
      </c>
      <c r="L133" s="74">
        <v>-236808</v>
      </c>
      <c r="M133" s="75">
        <v>1600000</v>
      </c>
      <c r="N133" s="75">
        <v>66231.008922782974</v>
      </c>
      <c r="O133" s="178">
        <f t="shared" si="35"/>
        <v>1971847.8297237493</v>
      </c>
      <c r="P133" s="179">
        <f t="shared" si="36"/>
        <v>277.52960305752981</v>
      </c>
      <c r="Q133" s="74"/>
      <c r="R133" s="89">
        <v>59859500</v>
      </c>
      <c r="S133" s="74">
        <v>25181313.763058431</v>
      </c>
      <c r="T133" s="74">
        <v>1575735.8901</v>
      </c>
      <c r="U133" s="74">
        <v>26184852.717605803</v>
      </c>
      <c r="V133" s="74">
        <v>4412384.0349278143</v>
      </c>
      <c r="W133" s="74">
        <v>5832635.8479999993</v>
      </c>
      <c r="X133" s="178">
        <f t="shared" si="37"/>
        <v>3327422.2536920533</v>
      </c>
      <c r="Y133" s="179">
        <f t="shared" si="38"/>
        <v>468.32121797213978</v>
      </c>
      <c r="Z133" s="74"/>
      <c r="AA133" s="84">
        <f t="shared" si="39"/>
        <v>-1355574.4239683039</v>
      </c>
      <c r="AB133" s="132">
        <f t="shared" si="40"/>
        <v>-190.79161491460999</v>
      </c>
      <c r="AD133" s="180">
        <v>1385171.8279903992</v>
      </c>
      <c r="AE133" s="187">
        <v>1269390.4894294236</v>
      </c>
      <c r="AF133" s="187">
        <v>1155080.5130304128</v>
      </c>
      <c r="AG133" s="187">
        <v>1040048.8649922138</v>
      </c>
      <c r="AH133" s="188">
        <v>926537.96998324676</v>
      </c>
      <c r="AJ133" s="74">
        <f t="shared" si="41"/>
        <v>14416104.745295582</v>
      </c>
      <c r="AK133" s="74">
        <f t="shared" si="42"/>
        <v>525245.29669999983</v>
      </c>
      <c r="AL133" s="74">
        <f t="shared" si="43"/>
        <v>22709455.677039705</v>
      </c>
      <c r="AM133" s="74">
        <f t="shared" si="44"/>
        <v>38102015.625662997</v>
      </c>
      <c r="AN133" s="74">
        <f t="shared" si="45"/>
        <v>1385171.8279903992</v>
      </c>
      <c r="AO133" s="74">
        <f t="shared" si="46"/>
        <v>1269390.4894294236</v>
      </c>
      <c r="AP133" s="74">
        <f t="shared" si="47"/>
        <v>1155080.5130304128</v>
      </c>
      <c r="AQ133" s="74">
        <f t="shared" si="48"/>
        <v>1040048.8649922138</v>
      </c>
      <c r="AR133" s="74">
        <f t="shared" si="49"/>
        <v>926537.96998324676</v>
      </c>
      <c r="AS133" s="75">
        <v>2913</v>
      </c>
      <c r="AT133" s="75"/>
      <c r="AU133" s="75"/>
      <c r="AV133" s="75">
        <v>72</v>
      </c>
      <c r="AW133" s="75">
        <v>20227.99501195737</v>
      </c>
      <c r="AX133" s="75">
        <v>-1939.8811633837581</v>
      </c>
      <c r="AY133" s="75">
        <v>3089.3839596253074</v>
      </c>
      <c r="AZ133" s="316"/>
      <c r="BA133" s="74"/>
      <c r="BB133" s="74"/>
      <c r="BC133" s="74"/>
      <c r="BD133" s="74"/>
      <c r="BE133" s="74"/>
      <c r="BF133" s="74"/>
      <c r="BG133" s="74"/>
      <c r="BM133" s="316"/>
      <c r="BN133" s="74">
        <v>21757484.374337003</v>
      </c>
      <c r="BO133" s="74">
        <v>33726933.050000004</v>
      </c>
      <c r="BP133" s="74">
        <v>40579000</v>
      </c>
      <c r="BQ133" s="74">
        <v>732877</v>
      </c>
      <c r="BR133" s="74">
        <v>850000</v>
      </c>
      <c r="BS133" s="406">
        <f t="shared" si="50"/>
        <v>0.57249216148699678</v>
      </c>
      <c r="BT133" s="406">
        <f t="shared" si="51"/>
        <v>0.33333333333333326</v>
      </c>
      <c r="BU133" s="74">
        <f t="shared" si="52"/>
        <v>27015208.256771535</v>
      </c>
      <c r="BV133" s="316"/>
      <c r="BW133" s="74">
        <v>59859500</v>
      </c>
      <c r="BX133" s="74">
        <v>21757484.374337003</v>
      </c>
      <c r="BY133" s="74">
        <v>31226493.501158431</v>
      </c>
      <c r="BZ133" s="74">
        <v>16285143.459162848</v>
      </c>
      <c r="CA133" s="74">
        <f t="shared" si="53"/>
        <v>1216368.620106515</v>
      </c>
      <c r="CB133" s="74">
        <f t="shared" si="54"/>
        <v>468.32121797213887</v>
      </c>
      <c r="CC133" s="74">
        <f t="shared" si="55"/>
        <v>277.52960305752958</v>
      </c>
      <c r="CD133" s="74">
        <f t="shared" si="56"/>
        <v>-190.79161491460928</v>
      </c>
      <c r="CE133" s="74">
        <f t="shared" si="57"/>
        <v>178.66157486691429</v>
      </c>
      <c r="CF133" s="74">
        <f t="shared" si="58"/>
        <v>162.57290823791911</v>
      </c>
      <c r="CG133" s="74">
        <f t="shared" si="59"/>
        <v>146.3826692459136</v>
      </c>
      <c r="CH133" s="74">
        <f t="shared" si="60"/>
        <v>130.40647008912725</v>
      </c>
      <c r="CI133" s="74">
        <f t="shared" si="61"/>
        <v>1269390.4894294261</v>
      </c>
      <c r="CJ133" s="74">
        <f t="shared" si="62"/>
        <v>1155080.5130304152</v>
      </c>
      <c r="CK133" s="74">
        <f t="shared" si="63"/>
        <v>1040048.8649922161</v>
      </c>
      <c r="CL133" s="74">
        <f t="shared" si="64"/>
        <v>926537.96998324909</v>
      </c>
      <c r="CM133" s="316"/>
      <c r="CN133" s="74">
        <v>25097.803672988557</v>
      </c>
      <c r="CO133" s="74">
        <v>1710.1009660000002</v>
      </c>
    </row>
    <row r="134" spans="1:93" x14ac:dyDescent="0.2">
      <c r="A134" s="74">
        <v>322</v>
      </c>
      <c r="B134" s="74" t="s">
        <v>128</v>
      </c>
      <c r="C134" s="74">
        <v>2</v>
      </c>
      <c r="D134" s="74">
        <v>6614</v>
      </c>
      <c r="E134" s="89">
        <v>18993484.224669464</v>
      </c>
      <c r="F134" s="74">
        <v>7533633.7055319054</v>
      </c>
      <c r="G134" s="74">
        <v>3537572.1789000002</v>
      </c>
      <c r="H134" s="74">
        <v>970358.08960000006</v>
      </c>
      <c r="I134" s="74">
        <v>6519629.8400262855</v>
      </c>
      <c r="J134" s="74">
        <v>1238924.4808106842</v>
      </c>
      <c r="K134" s="74">
        <v>1247601.3822249568</v>
      </c>
      <c r="L134" s="74">
        <v>-653762</v>
      </c>
      <c r="M134" s="75">
        <v>-150000</v>
      </c>
      <c r="N134" s="75">
        <v>56899.039576268478</v>
      </c>
      <c r="O134" s="178">
        <f t="shared" si="35"/>
        <v>1307372.4920006357</v>
      </c>
      <c r="P134" s="179">
        <f t="shared" si="36"/>
        <v>197.6674466284602</v>
      </c>
      <c r="Q134" s="74"/>
      <c r="R134" s="89">
        <v>47196906</v>
      </c>
      <c r="S134" s="74">
        <v>19884563.927216936</v>
      </c>
      <c r="T134" s="74">
        <v>1455537.1344000001</v>
      </c>
      <c r="U134" s="74">
        <v>21503766.771993622</v>
      </c>
      <c r="V134" s="74">
        <v>4131980.5657307627</v>
      </c>
      <c r="W134" s="74">
        <v>2733810.1789000002</v>
      </c>
      <c r="X134" s="178">
        <f t="shared" si="37"/>
        <v>2512752.5782413185</v>
      </c>
      <c r="Y134" s="179">
        <f t="shared" si="38"/>
        <v>379.91420898719662</v>
      </c>
      <c r="Z134" s="74"/>
      <c r="AA134" s="84">
        <f t="shared" si="39"/>
        <v>-1205380.0862406828</v>
      </c>
      <c r="AB134" s="132">
        <f t="shared" si="40"/>
        <v>-182.24676235873642</v>
      </c>
      <c r="AD134" s="180">
        <v>1232932.1242705509</v>
      </c>
      <c r="AE134" s="187">
        <v>1125152.0013652318</v>
      </c>
      <c r="AF134" s="187">
        <v>1018741.5602810576</v>
      </c>
      <c r="AG134" s="187">
        <v>911659.31958793325</v>
      </c>
      <c r="AH134" s="188">
        <v>805992.73836494831</v>
      </c>
      <c r="AJ134" s="74">
        <f t="shared" si="41"/>
        <v>12350930.22168503</v>
      </c>
      <c r="AK134" s="74">
        <f t="shared" si="42"/>
        <v>485179.04480000003</v>
      </c>
      <c r="AL134" s="74">
        <f t="shared" si="43"/>
        <v>14984136.931967337</v>
      </c>
      <c r="AM134" s="74">
        <f t="shared" si="44"/>
        <v>28203421.775330536</v>
      </c>
      <c r="AN134" s="74">
        <f t="shared" si="45"/>
        <v>1232932.1242705509</v>
      </c>
      <c r="AO134" s="74">
        <f t="shared" si="46"/>
        <v>1125152.0013652318</v>
      </c>
      <c r="AP134" s="74">
        <f t="shared" si="47"/>
        <v>1018741.5602810576</v>
      </c>
      <c r="AQ134" s="74">
        <f t="shared" si="48"/>
        <v>911659.31958793325</v>
      </c>
      <c r="AR134" s="74">
        <f t="shared" si="49"/>
        <v>805992.73836494831</v>
      </c>
      <c r="AS134" s="75">
        <v>3376</v>
      </c>
      <c r="AT134" s="75"/>
      <c r="AU134" s="75"/>
      <c r="AV134" s="75">
        <v>71</v>
      </c>
      <c r="AW134" s="75">
        <v>12171.826894282103</v>
      </c>
      <c r="AX134" s="75">
        <v>-2441.5336944576115</v>
      </c>
      <c r="AY134" s="75">
        <v>2893.0560849200788</v>
      </c>
      <c r="AZ134" s="316"/>
      <c r="BA134" s="74"/>
      <c r="BB134" s="74"/>
      <c r="BC134" s="74"/>
      <c r="BD134" s="74"/>
      <c r="BE134" s="74"/>
      <c r="BF134" s="74"/>
      <c r="BG134" s="74"/>
      <c r="BM134" s="316"/>
      <c r="BN134" s="74">
        <v>18993484.224669464</v>
      </c>
      <c r="BO134" s="74">
        <v>26039096.390000004</v>
      </c>
      <c r="BP134" s="74">
        <v>29121000</v>
      </c>
      <c r="BQ134" s="74">
        <v>499483.69</v>
      </c>
      <c r="BR134" s="74">
        <v>509000</v>
      </c>
      <c r="BS134" s="406">
        <f t="shared" si="50"/>
        <v>0.62113156048545437</v>
      </c>
      <c r="BT134" s="406">
        <f t="shared" si="51"/>
        <v>0.33333333333333337</v>
      </c>
      <c r="BU134" s="74">
        <f t="shared" si="52"/>
        <v>19124794.399112374</v>
      </c>
      <c r="BV134" s="316"/>
      <c r="BW134" s="74">
        <v>47196906</v>
      </c>
      <c r="BX134" s="74">
        <v>18993484.224669464</v>
      </c>
      <c r="BY134" s="74">
        <v>24877673.240516935</v>
      </c>
      <c r="BZ134" s="74">
        <v>12041563.974031907</v>
      </c>
      <c r="CA134" s="74">
        <f t="shared" si="53"/>
        <v>1247601.3822249526</v>
      </c>
      <c r="CB134" s="74">
        <f t="shared" si="54"/>
        <v>379.91420898719684</v>
      </c>
      <c r="CC134" s="74">
        <f t="shared" si="55"/>
        <v>197.66744662845983</v>
      </c>
      <c r="CD134" s="74">
        <f t="shared" si="56"/>
        <v>-182.24676235873702</v>
      </c>
      <c r="CE134" s="74">
        <f t="shared" si="57"/>
        <v>170.11672231104203</v>
      </c>
      <c r="CF134" s="74">
        <f t="shared" si="58"/>
        <v>154.02805568204684</v>
      </c>
      <c r="CG134" s="74">
        <f t="shared" si="59"/>
        <v>137.83781669004134</v>
      </c>
      <c r="CH134" s="74">
        <f t="shared" si="60"/>
        <v>121.86161753325499</v>
      </c>
      <c r="CI134" s="74">
        <f t="shared" si="61"/>
        <v>1125152.001365232</v>
      </c>
      <c r="CJ134" s="74">
        <f t="shared" si="62"/>
        <v>1018741.5602810578</v>
      </c>
      <c r="CK134" s="74">
        <f t="shared" si="63"/>
        <v>911659.31958793337</v>
      </c>
      <c r="CL134" s="74">
        <f t="shared" si="64"/>
        <v>805992.73836494843</v>
      </c>
      <c r="CM134" s="316"/>
      <c r="CN134" s="74">
        <v>20618.239391587776</v>
      </c>
      <c r="CO134" s="74">
        <v>1579.6527040000001</v>
      </c>
    </row>
    <row r="135" spans="1:93" x14ac:dyDescent="0.2">
      <c r="A135" s="74">
        <v>398</v>
      </c>
      <c r="B135" s="74" t="s">
        <v>255</v>
      </c>
      <c r="C135" s="74">
        <v>7</v>
      </c>
      <c r="D135" s="74">
        <v>120027</v>
      </c>
      <c r="E135" s="89">
        <v>339294014.66313183</v>
      </c>
      <c r="F135" s="74">
        <v>180558400.41957152</v>
      </c>
      <c r="G135" s="74">
        <v>43990129.015000008</v>
      </c>
      <c r="H135" s="74">
        <v>26112340.9232</v>
      </c>
      <c r="I135" s="74">
        <v>38351566.572677039</v>
      </c>
      <c r="J135" s="74">
        <v>17840594.852213427</v>
      </c>
      <c r="K135" s="74">
        <v>12854456.673994904</v>
      </c>
      <c r="L135" s="74">
        <v>88669</v>
      </c>
      <c r="M135" s="75">
        <v>1717800</v>
      </c>
      <c r="N135" s="75">
        <v>1239250.8867030062</v>
      </c>
      <c r="O135" s="178">
        <f t="shared" si="35"/>
        <v>-16540806.319771945</v>
      </c>
      <c r="P135" s="179">
        <f t="shared" si="36"/>
        <v>-137.80904562949956</v>
      </c>
      <c r="Q135" s="74"/>
      <c r="R135" s="89">
        <v>780090200</v>
      </c>
      <c r="S135" s="74">
        <v>447070389.78580147</v>
      </c>
      <c r="T135" s="74">
        <v>39168511.384799995</v>
      </c>
      <c r="U135" s="74">
        <v>190279447.99373373</v>
      </c>
      <c r="V135" s="74">
        <v>59500794.723327957</v>
      </c>
      <c r="W135" s="74">
        <v>45796598.015000008</v>
      </c>
      <c r="X135" s="178">
        <f t="shared" si="37"/>
        <v>1725541.9026632309</v>
      </c>
      <c r="Y135" s="179">
        <f t="shared" si="38"/>
        <v>14.376281192258666</v>
      </c>
      <c r="Z135" s="74"/>
      <c r="AA135" s="84">
        <f t="shared" si="39"/>
        <v>-18266348.222435176</v>
      </c>
      <c r="AB135" s="132">
        <f t="shared" si="40"/>
        <v>-152.18532682175825</v>
      </c>
      <c r="AD135" s="180">
        <v>18766346.478953186</v>
      </c>
      <c r="AE135" s="187">
        <v>16810415.905630428</v>
      </c>
      <c r="AF135" s="187">
        <v>14879341.516152024</v>
      </c>
      <c r="AG135" s="187">
        <v>12936075.700658578</v>
      </c>
      <c r="AH135" s="188">
        <v>11018500.444466984</v>
      </c>
      <c r="AJ135" s="74">
        <f t="shared" si="41"/>
        <v>266511989.36622995</v>
      </c>
      <c r="AK135" s="74">
        <f t="shared" si="42"/>
        <v>13056170.461599994</v>
      </c>
      <c r="AL135" s="74">
        <f t="shared" si="43"/>
        <v>151927881.42105669</v>
      </c>
      <c r="AM135" s="74">
        <f t="shared" si="44"/>
        <v>440796185.33686817</v>
      </c>
      <c r="AN135" s="74">
        <f t="shared" si="45"/>
        <v>18766346.478953186</v>
      </c>
      <c r="AO135" s="74">
        <f t="shared" si="46"/>
        <v>16810415.905630428</v>
      </c>
      <c r="AP135" s="74">
        <f t="shared" si="47"/>
        <v>14879341.516152024</v>
      </c>
      <c r="AQ135" s="74">
        <f t="shared" si="48"/>
        <v>12936075.700658578</v>
      </c>
      <c r="AR135" s="74">
        <f t="shared" si="49"/>
        <v>11018500.444466984</v>
      </c>
      <c r="AS135" s="75">
        <v>52226</v>
      </c>
      <c r="AT135" s="75"/>
      <c r="AU135" s="75"/>
      <c r="AV135" s="75">
        <v>0</v>
      </c>
      <c r="AW135" s="75">
        <v>134158.45904477159</v>
      </c>
      <c r="AX135" s="75">
        <v>-8124.7857284322608</v>
      </c>
      <c r="AY135" s="75">
        <v>41660.199871114528</v>
      </c>
      <c r="AZ135" s="316"/>
      <c r="BA135" s="74"/>
      <c r="BB135" s="74"/>
      <c r="BC135" s="74"/>
      <c r="BD135" s="74"/>
      <c r="BE135" s="74"/>
      <c r="BF135" s="74"/>
      <c r="BG135" s="74"/>
      <c r="BM135" s="316"/>
      <c r="BN135" s="74">
        <v>339294014.66313183</v>
      </c>
      <c r="BO135" s="74">
        <v>410464330.68000007</v>
      </c>
      <c r="BP135" s="74">
        <v>445715000</v>
      </c>
      <c r="BQ135" s="74">
        <v>11284373.85</v>
      </c>
      <c r="BR135" s="74">
        <v>11536000</v>
      </c>
      <c r="BS135" s="406">
        <f t="shared" si="50"/>
        <v>0.59612981636721707</v>
      </c>
      <c r="BT135" s="406">
        <f t="shared" si="51"/>
        <v>0.33333333333333326</v>
      </c>
      <c r="BU135" s="74">
        <f t="shared" si="52"/>
        <v>206442537.96616614</v>
      </c>
      <c r="BV135" s="316"/>
      <c r="BW135" s="74">
        <v>780090200</v>
      </c>
      <c r="BX135" s="74">
        <v>339294014.66313183</v>
      </c>
      <c r="BY135" s="74">
        <v>530229030.18560147</v>
      </c>
      <c r="BZ135" s="74">
        <v>250660870.35777155</v>
      </c>
      <c r="CA135" s="74">
        <f t="shared" si="53"/>
        <v>12854456.673994856</v>
      </c>
      <c r="CB135" s="74">
        <f t="shared" si="54"/>
        <v>14.376281192258293</v>
      </c>
      <c r="CC135" s="74">
        <f t="shared" si="55"/>
        <v>-137.80904562949982</v>
      </c>
      <c r="CD135" s="74">
        <f t="shared" si="56"/>
        <v>-152.18532682175811</v>
      </c>
      <c r="CE135" s="74">
        <f t="shared" si="57"/>
        <v>140.05528677406312</v>
      </c>
      <c r="CF135" s="74">
        <f t="shared" si="58"/>
        <v>123.96662014506794</v>
      </c>
      <c r="CG135" s="74">
        <f t="shared" si="59"/>
        <v>107.77638115306242</v>
      </c>
      <c r="CH135" s="74">
        <f t="shared" si="60"/>
        <v>91.800181996276081</v>
      </c>
      <c r="CI135" s="74">
        <f t="shared" si="61"/>
        <v>16810415.905630473</v>
      </c>
      <c r="CJ135" s="74">
        <f t="shared" si="62"/>
        <v>14879341.516152069</v>
      </c>
      <c r="CK135" s="74">
        <f t="shared" si="63"/>
        <v>12936075.700658623</v>
      </c>
      <c r="CL135" s="74">
        <f t="shared" si="64"/>
        <v>11018500.444467029</v>
      </c>
      <c r="CM135" s="316"/>
      <c r="CN135" s="74">
        <v>460231.17998713371</v>
      </c>
      <c r="CO135" s="74">
        <v>42508.461967999996</v>
      </c>
    </row>
    <row r="136" spans="1:93" x14ac:dyDescent="0.2">
      <c r="A136" s="74">
        <v>399</v>
      </c>
      <c r="B136" s="74" t="s">
        <v>256</v>
      </c>
      <c r="C136" s="74">
        <v>15</v>
      </c>
      <c r="D136" s="74">
        <v>7916</v>
      </c>
      <c r="E136" s="89">
        <v>20233564.689795941</v>
      </c>
      <c r="F136" s="74">
        <v>13332088.060628874</v>
      </c>
      <c r="G136" s="74">
        <v>1543217.2759999998</v>
      </c>
      <c r="H136" s="74">
        <v>793995.73100000003</v>
      </c>
      <c r="I136" s="74">
        <v>7240590.3875737172</v>
      </c>
      <c r="J136" s="74">
        <v>1341507.184091643</v>
      </c>
      <c r="K136" s="74">
        <v>-1174178.2707272482</v>
      </c>
      <c r="L136" s="74">
        <v>-377080</v>
      </c>
      <c r="M136" s="75">
        <v>-80000</v>
      </c>
      <c r="N136" s="75">
        <v>78799.556183985056</v>
      </c>
      <c r="O136" s="178">
        <f t="shared" si="35"/>
        <v>2465375.2349550277</v>
      </c>
      <c r="P136" s="179">
        <f t="shared" si="36"/>
        <v>311.44204585081201</v>
      </c>
      <c r="Q136" s="74"/>
      <c r="R136" s="89">
        <v>51930577</v>
      </c>
      <c r="S136" s="74">
        <v>30711835.125460308</v>
      </c>
      <c r="T136" s="74">
        <v>1190993.5965</v>
      </c>
      <c r="U136" s="74">
        <v>15366717.085832056</v>
      </c>
      <c r="V136" s="74">
        <v>4474107.7437002305</v>
      </c>
      <c r="W136" s="74">
        <v>1086137.2759999998</v>
      </c>
      <c r="X136" s="178">
        <f t="shared" si="37"/>
        <v>899213.82749259472</v>
      </c>
      <c r="Y136" s="179">
        <f t="shared" si="38"/>
        <v>113.59447037551728</v>
      </c>
      <c r="Z136" s="74"/>
      <c r="AA136" s="84">
        <f t="shared" si="39"/>
        <v>1566161.407462433</v>
      </c>
      <c r="AB136" s="132">
        <f t="shared" si="40"/>
        <v>197.84757547529472</v>
      </c>
      <c r="AD136" s="180">
        <v>-1533185.6086955206</v>
      </c>
      <c r="AE136" s="187">
        <v>-1424702.8044799936</v>
      </c>
      <c r="AF136" s="187">
        <v>-1314580.6895151197</v>
      </c>
      <c r="AG136" s="187">
        <v>-1205262.6213758353</v>
      </c>
      <c r="AH136" s="188">
        <v>-1094250.2139009559</v>
      </c>
      <c r="AJ136" s="74">
        <f t="shared" si="41"/>
        <v>17379747.064831436</v>
      </c>
      <c r="AK136" s="74">
        <f t="shared" si="42"/>
        <v>396997.86549999996</v>
      </c>
      <c r="AL136" s="74">
        <f t="shared" si="43"/>
        <v>8126126.6982583385</v>
      </c>
      <c r="AM136" s="74">
        <f t="shared" si="44"/>
        <v>31697012.310204059</v>
      </c>
      <c r="AN136" s="74">
        <f t="shared" si="45"/>
        <v>-1533185.6086955206</v>
      </c>
      <c r="AO136" s="74">
        <f t="shared" si="46"/>
        <v>-1424702.8044799936</v>
      </c>
      <c r="AP136" s="74">
        <f t="shared" si="47"/>
        <v>-1314580.6895151197</v>
      </c>
      <c r="AQ136" s="74">
        <f t="shared" si="48"/>
        <v>-1205262.6213758353</v>
      </c>
      <c r="AR136" s="74">
        <f t="shared" si="49"/>
        <v>-1094250.2139009559</v>
      </c>
      <c r="AS136" s="75">
        <v>2161</v>
      </c>
      <c r="AT136" s="75"/>
      <c r="AU136" s="75"/>
      <c r="AV136" s="75">
        <v>39</v>
      </c>
      <c r="AW136" s="75">
        <v>7716.8381011111014</v>
      </c>
      <c r="AX136" s="75">
        <v>-1196.0988525337007</v>
      </c>
      <c r="AY136" s="75">
        <v>3132.6005596085874</v>
      </c>
      <c r="AZ136" s="316"/>
      <c r="BA136" s="74"/>
      <c r="BB136" s="74"/>
      <c r="BC136" s="74"/>
      <c r="BD136" s="74"/>
      <c r="BE136" s="74"/>
      <c r="BF136" s="74"/>
      <c r="BG136" s="74"/>
      <c r="BM136" s="316"/>
      <c r="BN136" s="74">
        <v>20233564.689795941</v>
      </c>
      <c r="BO136" s="74">
        <v>29809070.79999999</v>
      </c>
      <c r="BP136" s="74">
        <v>32878000</v>
      </c>
      <c r="BQ136" s="74">
        <v>625735.32000000007</v>
      </c>
      <c r="BR136" s="74">
        <v>640000</v>
      </c>
      <c r="BS136" s="406">
        <f t="shared" si="50"/>
        <v>0.56589738105306231</v>
      </c>
      <c r="BT136" s="406">
        <f t="shared" si="51"/>
        <v>0.33333333333333326</v>
      </c>
      <c r="BU136" s="74">
        <f t="shared" si="52"/>
        <v>10084548.987139679</v>
      </c>
      <c r="BV136" s="316"/>
      <c r="BW136" s="74">
        <v>51930577</v>
      </c>
      <c r="BX136" s="74">
        <v>20233564.689795941</v>
      </c>
      <c r="BY136" s="74">
        <v>33446045.997960307</v>
      </c>
      <c r="BZ136" s="74">
        <v>15669301.067628875</v>
      </c>
      <c r="CA136" s="74">
        <f t="shared" si="53"/>
        <v>-1174178.2707272556</v>
      </c>
      <c r="CB136" s="74">
        <f t="shared" si="54"/>
        <v>113.59447037551695</v>
      </c>
      <c r="CC136" s="74">
        <f t="shared" si="55"/>
        <v>311.44204585081121</v>
      </c>
      <c r="CD136" s="74">
        <f t="shared" si="56"/>
        <v>197.84757547529426</v>
      </c>
      <c r="CE136" s="74">
        <f t="shared" si="57"/>
        <v>-179.97761552298925</v>
      </c>
      <c r="CF136" s="74">
        <f t="shared" si="58"/>
        <v>-166.06628215198444</v>
      </c>
      <c r="CG136" s="74">
        <f t="shared" si="59"/>
        <v>-152.25652114398994</v>
      </c>
      <c r="CH136" s="74">
        <f t="shared" si="60"/>
        <v>-138.23272030077629</v>
      </c>
      <c r="CI136" s="74">
        <f t="shared" si="61"/>
        <v>-1424702.8044799829</v>
      </c>
      <c r="CJ136" s="74">
        <f t="shared" si="62"/>
        <v>-1314580.6895151087</v>
      </c>
      <c r="CK136" s="74">
        <f t="shared" si="63"/>
        <v>-1205262.6213758243</v>
      </c>
      <c r="CL136" s="74">
        <f t="shared" si="64"/>
        <v>-1094250.2139009451</v>
      </c>
      <c r="CM136" s="316"/>
      <c r="CN136" s="74">
        <v>31639.724519463933</v>
      </c>
      <c r="CO136" s="74">
        <v>1292.5511899999999</v>
      </c>
    </row>
    <row r="137" spans="1:93" x14ac:dyDescent="0.2">
      <c r="A137" s="74">
        <v>400</v>
      </c>
      <c r="B137" s="74" t="s">
        <v>257</v>
      </c>
      <c r="C137" s="74">
        <v>2</v>
      </c>
      <c r="D137" s="74">
        <v>8456</v>
      </c>
      <c r="E137" s="89">
        <v>27237750.130293969</v>
      </c>
      <c r="F137" s="74">
        <v>11722449.097239094</v>
      </c>
      <c r="G137" s="74">
        <v>2158465.7085999995</v>
      </c>
      <c r="H137" s="74">
        <v>1916513.6980000001</v>
      </c>
      <c r="I137" s="74">
        <v>6123356.9360263413</v>
      </c>
      <c r="J137" s="74">
        <v>1641255.4864243469</v>
      </c>
      <c r="K137" s="74">
        <v>2097677.7349020829</v>
      </c>
      <c r="L137" s="74">
        <v>996778</v>
      </c>
      <c r="M137" s="75">
        <v>-11700</v>
      </c>
      <c r="N137" s="75">
        <v>77049.78279974527</v>
      </c>
      <c r="O137" s="178">
        <f t="shared" si="35"/>
        <v>-515903.68630236015</v>
      </c>
      <c r="P137" s="179">
        <f t="shared" si="36"/>
        <v>-61.010369714091787</v>
      </c>
      <c r="Q137" s="74"/>
      <c r="R137" s="89">
        <v>57966429</v>
      </c>
      <c r="S137" s="74">
        <v>28146197.961196162</v>
      </c>
      <c r="T137" s="74">
        <v>2874770.5469999998</v>
      </c>
      <c r="U137" s="74">
        <v>19400032.994964387</v>
      </c>
      <c r="V137" s="74">
        <v>5473808.8385071391</v>
      </c>
      <c r="W137" s="74">
        <v>3143543.7085999995</v>
      </c>
      <c r="X137" s="178">
        <f t="shared" si="37"/>
        <v>1071925.0502676815</v>
      </c>
      <c r="Y137" s="179">
        <f t="shared" si="38"/>
        <v>126.76502486609289</v>
      </c>
      <c r="Z137" s="74"/>
      <c r="AA137" s="84">
        <f t="shared" si="39"/>
        <v>-1587828.7365700416</v>
      </c>
      <c r="AB137" s="132">
        <f t="shared" si="40"/>
        <v>-187.77539458018467</v>
      </c>
      <c r="AD137" s="180">
        <v>1623054.0213569417</v>
      </c>
      <c r="AE137" s="187">
        <v>1485257.1179267366</v>
      </c>
      <c r="AF137" s="187">
        <v>1349211.3529119533</v>
      </c>
      <c r="AG137" s="187">
        <v>1212306.6919955548</v>
      </c>
      <c r="AH137" s="188">
        <v>1077211.9519257694</v>
      </c>
      <c r="AJ137" s="74">
        <f t="shared" si="41"/>
        <v>16423748.863957068</v>
      </c>
      <c r="AK137" s="74">
        <f t="shared" si="42"/>
        <v>958256.8489999997</v>
      </c>
      <c r="AL137" s="74">
        <f t="shared" si="43"/>
        <v>13276676.058938045</v>
      </c>
      <c r="AM137" s="74">
        <f t="shared" si="44"/>
        <v>30728678.869706031</v>
      </c>
      <c r="AN137" s="74">
        <f t="shared" si="45"/>
        <v>1623054.0213569417</v>
      </c>
      <c r="AO137" s="74">
        <f t="shared" si="46"/>
        <v>1485257.1179267366</v>
      </c>
      <c r="AP137" s="74">
        <f t="shared" si="47"/>
        <v>1349211.3529119533</v>
      </c>
      <c r="AQ137" s="74">
        <f t="shared" si="48"/>
        <v>1212306.6919955548</v>
      </c>
      <c r="AR137" s="74">
        <f t="shared" si="49"/>
        <v>1077211.9519257694</v>
      </c>
      <c r="AS137" s="75">
        <v>3528</v>
      </c>
      <c r="AT137" s="75"/>
      <c r="AU137" s="75"/>
      <c r="AV137" s="75">
        <v>328</v>
      </c>
      <c r="AW137" s="75">
        <v>10630.824650658022</v>
      </c>
      <c r="AX137" s="75">
        <v>-2460.1431360710089</v>
      </c>
      <c r="AY137" s="75">
        <v>3832.5533520827921</v>
      </c>
      <c r="AZ137" s="316"/>
      <c r="BA137" s="74"/>
      <c r="BB137" s="74"/>
      <c r="BC137" s="74"/>
      <c r="BD137" s="74"/>
      <c r="BE137" s="74"/>
      <c r="BF137" s="74"/>
      <c r="BG137" s="74"/>
      <c r="BM137" s="316"/>
      <c r="BN137" s="74">
        <v>27237750.130293969</v>
      </c>
      <c r="BO137" s="74">
        <v>27173457.190000001</v>
      </c>
      <c r="BP137" s="74">
        <v>32787000</v>
      </c>
      <c r="BQ137" s="74">
        <v>633094.41</v>
      </c>
      <c r="BR137" s="74">
        <v>703000</v>
      </c>
      <c r="BS137" s="406">
        <f t="shared" si="50"/>
        <v>0.58351571628252308</v>
      </c>
      <c r="BT137" s="406">
        <f t="shared" si="51"/>
        <v>0.33333333333333326</v>
      </c>
      <c r="BU137" s="74">
        <f t="shared" si="52"/>
        <v>19206907.145922922</v>
      </c>
      <c r="BV137" s="316"/>
      <c r="BW137" s="74">
        <v>57966429</v>
      </c>
      <c r="BX137" s="74">
        <v>27237750.130293969</v>
      </c>
      <c r="BY137" s="74">
        <v>33179434.21679616</v>
      </c>
      <c r="BZ137" s="74">
        <v>15797428.503839094</v>
      </c>
      <c r="CA137" s="74">
        <f t="shared" si="53"/>
        <v>2097677.7349020769</v>
      </c>
      <c r="CB137" s="74">
        <f t="shared" si="54"/>
        <v>126.76502486609344</v>
      </c>
      <c r="CC137" s="74">
        <f t="shared" si="55"/>
        <v>-61.010369714092306</v>
      </c>
      <c r="CD137" s="74">
        <f t="shared" si="56"/>
        <v>-187.77539458018575</v>
      </c>
      <c r="CE137" s="74">
        <f t="shared" si="57"/>
        <v>175.64535453249076</v>
      </c>
      <c r="CF137" s="74">
        <f t="shared" si="58"/>
        <v>159.55668790349557</v>
      </c>
      <c r="CG137" s="74">
        <f t="shared" si="59"/>
        <v>143.36644891149007</v>
      </c>
      <c r="CH137" s="74">
        <f t="shared" si="60"/>
        <v>127.39024975470372</v>
      </c>
      <c r="CI137" s="74">
        <f t="shared" si="61"/>
        <v>1485257.117926742</v>
      </c>
      <c r="CJ137" s="74">
        <f t="shared" si="62"/>
        <v>1349211.3529119585</v>
      </c>
      <c r="CK137" s="74">
        <f t="shared" si="63"/>
        <v>1212306.69199556</v>
      </c>
      <c r="CL137" s="74">
        <f t="shared" si="64"/>
        <v>1077211.9519257746</v>
      </c>
      <c r="CM137" s="316"/>
      <c r="CN137" s="74">
        <v>28463.120618245815</v>
      </c>
      <c r="CO137" s="74">
        <v>3119.9060200000004</v>
      </c>
    </row>
    <row r="138" spans="1:93" x14ac:dyDescent="0.2">
      <c r="A138" s="74">
        <v>402</v>
      </c>
      <c r="B138" s="74" t="s">
        <v>259</v>
      </c>
      <c r="C138" s="74">
        <v>11</v>
      </c>
      <c r="D138" s="74">
        <v>9247</v>
      </c>
      <c r="E138" s="89">
        <v>22162514.261702247</v>
      </c>
      <c r="F138" s="74">
        <v>12130465.601396587</v>
      </c>
      <c r="G138" s="74">
        <v>2520410.9684000006</v>
      </c>
      <c r="H138" s="74">
        <v>1461137.8328</v>
      </c>
      <c r="I138" s="74">
        <v>7039804.0372549724</v>
      </c>
      <c r="J138" s="74">
        <v>1865368.4099111846</v>
      </c>
      <c r="K138" s="74">
        <v>-783440.40137383319</v>
      </c>
      <c r="L138" s="74">
        <v>-209471</v>
      </c>
      <c r="M138" s="75">
        <v>825000</v>
      </c>
      <c r="N138" s="75">
        <v>74761.156174825228</v>
      </c>
      <c r="O138" s="178">
        <f t="shared" si="35"/>
        <v>2761522.3428614922</v>
      </c>
      <c r="P138" s="179">
        <f t="shared" si="36"/>
        <v>298.63981214031492</v>
      </c>
      <c r="Q138" s="74"/>
      <c r="R138" s="89">
        <v>65791905</v>
      </c>
      <c r="S138" s="74">
        <v>28265600.863754947</v>
      </c>
      <c r="T138" s="74">
        <v>2191706.7492</v>
      </c>
      <c r="U138" s="74">
        <v>27745115.461398602</v>
      </c>
      <c r="V138" s="74">
        <v>6221255.723865944</v>
      </c>
      <c r="W138" s="74">
        <v>3135939.9684000006</v>
      </c>
      <c r="X138" s="178">
        <f t="shared" si="37"/>
        <v>1767713.7666194886</v>
      </c>
      <c r="Y138" s="179">
        <f t="shared" si="38"/>
        <v>191.16619083156576</v>
      </c>
      <c r="Z138" s="74"/>
      <c r="AA138" s="84">
        <f t="shared" si="39"/>
        <v>993808.57624200359</v>
      </c>
      <c r="AB138" s="132">
        <f t="shared" si="40"/>
        <v>107.47362130874917</v>
      </c>
      <c r="AD138" s="180">
        <v>-955288.21100732253</v>
      </c>
      <c r="AE138" s="187">
        <v>-828565.05656303535</v>
      </c>
      <c r="AF138" s="187">
        <v>-699926.95688135386</v>
      </c>
      <c r="AG138" s="187">
        <v>-572228.09684042877</v>
      </c>
      <c r="AH138" s="188">
        <v>-442550.0104432322</v>
      </c>
      <c r="AJ138" s="74">
        <f t="shared" si="41"/>
        <v>16135135.26235836</v>
      </c>
      <c r="AK138" s="74">
        <f t="shared" si="42"/>
        <v>730568.91639999999</v>
      </c>
      <c r="AL138" s="74">
        <f t="shared" si="43"/>
        <v>20705311.424143627</v>
      </c>
      <c r="AM138" s="74">
        <f t="shared" si="44"/>
        <v>43629390.738297753</v>
      </c>
      <c r="AN138" s="74">
        <f t="shared" si="45"/>
        <v>-955288.21100732253</v>
      </c>
      <c r="AO138" s="74">
        <f t="shared" si="46"/>
        <v>-828565.05656303535</v>
      </c>
      <c r="AP138" s="74">
        <f t="shared" si="47"/>
        <v>-699926.95688135386</v>
      </c>
      <c r="AQ138" s="74">
        <f t="shared" si="48"/>
        <v>-572228.09684042877</v>
      </c>
      <c r="AR138" s="74">
        <f t="shared" si="49"/>
        <v>-442550.0104432322</v>
      </c>
      <c r="AS138" s="75">
        <v>3195</v>
      </c>
      <c r="AT138" s="75"/>
      <c r="AU138" s="75"/>
      <c r="AV138" s="75">
        <v>41</v>
      </c>
      <c r="AW138" s="75">
        <v>16856.319123577843</v>
      </c>
      <c r="AX138" s="75">
        <v>-4324.5190928486927</v>
      </c>
      <c r="AY138" s="75">
        <v>4355.8873139547595</v>
      </c>
      <c r="AZ138" s="316"/>
      <c r="BA138" s="74"/>
      <c r="BB138" s="74"/>
      <c r="BC138" s="74"/>
      <c r="BD138" s="74"/>
      <c r="BE138" s="74"/>
      <c r="BF138" s="74"/>
      <c r="BG138" s="74"/>
      <c r="BM138" s="316"/>
      <c r="BN138" s="74">
        <v>22162514.261702247</v>
      </c>
      <c r="BO138" s="74">
        <v>42895918.989999995</v>
      </c>
      <c r="BP138" s="74">
        <v>44228000</v>
      </c>
      <c r="BQ138" s="74">
        <v>711350.19</v>
      </c>
      <c r="BR138" s="74">
        <v>739000</v>
      </c>
      <c r="BS138" s="406">
        <f t="shared" si="50"/>
        <v>0.5708399881584858</v>
      </c>
      <c r="BT138" s="406">
        <f t="shared" si="51"/>
        <v>0.33333333333333337</v>
      </c>
      <c r="BU138" s="74">
        <f t="shared" si="52"/>
        <v>24277758.336724553</v>
      </c>
      <c r="BV138" s="316"/>
      <c r="BW138" s="74">
        <v>65791905</v>
      </c>
      <c r="BX138" s="74">
        <v>22162514.261702247</v>
      </c>
      <c r="BY138" s="74">
        <v>32977718.58135495</v>
      </c>
      <c r="BZ138" s="74">
        <v>16112014.402596589</v>
      </c>
      <c r="CA138" s="74">
        <f t="shared" si="53"/>
        <v>-783440.40137383994</v>
      </c>
      <c r="CB138" s="74">
        <f t="shared" si="54"/>
        <v>191.16619083156596</v>
      </c>
      <c r="CC138" s="74">
        <f t="shared" si="55"/>
        <v>298.63981214031389</v>
      </c>
      <c r="CD138" s="74">
        <f t="shared" si="56"/>
        <v>107.47362130874794</v>
      </c>
      <c r="CE138" s="74">
        <f t="shared" si="57"/>
        <v>-89.603661356442927</v>
      </c>
      <c r="CF138" s="74">
        <f t="shared" si="58"/>
        <v>-75.692327985438112</v>
      </c>
      <c r="CG138" s="74">
        <f t="shared" si="59"/>
        <v>-61.882566977443624</v>
      </c>
      <c r="CH138" s="74">
        <f t="shared" si="60"/>
        <v>-47.858766134229974</v>
      </c>
      <c r="CI138" s="74">
        <f t="shared" si="61"/>
        <v>-828565.05656302779</v>
      </c>
      <c r="CJ138" s="74">
        <f t="shared" si="62"/>
        <v>-699926.95688134618</v>
      </c>
      <c r="CK138" s="74">
        <f t="shared" si="63"/>
        <v>-572228.0968404212</v>
      </c>
      <c r="CL138" s="74">
        <f t="shared" si="64"/>
        <v>-442550.01044322457</v>
      </c>
      <c r="CM138" s="316"/>
      <c r="CN138" s="74">
        <v>28435.744371880373</v>
      </c>
      <c r="CO138" s="74">
        <v>2378.5964719999997</v>
      </c>
    </row>
    <row r="139" spans="1:93" x14ac:dyDescent="0.2">
      <c r="A139" s="74">
        <v>403</v>
      </c>
      <c r="B139" s="74" t="s">
        <v>260</v>
      </c>
      <c r="C139" s="74">
        <v>14</v>
      </c>
      <c r="D139" s="74">
        <v>2866</v>
      </c>
      <c r="E139" s="89">
        <v>7969792.8856296539</v>
      </c>
      <c r="F139" s="74">
        <v>4002692.9537392156</v>
      </c>
      <c r="G139" s="74">
        <v>1004912.5175</v>
      </c>
      <c r="H139" s="74">
        <v>532091.67500000005</v>
      </c>
      <c r="I139" s="74">
        <v>2101875.7492976943</v>
      </c>
      <c r="J139" s="74">
        <v>662318.76608168148</v>
      </c>
      <c r="K139" s="74">
        <v>551375.07703542442</v>
      </c>
      <c r="L139" s="74">
        <v>-140203</v>
      </c>
      <c r="M139" s="75">
        <v>-45900</v>
      </c>
      <c r="N139" s="75">
        <v>22937.668523450015</v>
      </c>
      <c r="O139" s="178">
        <f t="shared" si="35"/>
        <v>722308.52154781297</v>
      </c>
      <c r="P139" s="179">
        <f t="shared" si="36"/>
        <v>252.02669977243997</v>
      </c>
      <c r="Q139" s="74"/>
      <c r="R139" s="89">
        <v>22308650</v>
      </c>
      <c r="S139" s="74">
        <v>8911258.5275752377</v>
      </c>
      <c r="T139" s="74">
        <v>798137.51249999995</v>
      </c>
      <c r="U139" s="74">
        <v>10430274.771929476</v>
      </c>
      <c r="V139" s="74">
        <v>2208922.5874183616</v>
      </c>
      <c r="W139" s="74">
        <v>818809.51749999996</v>
      </c>
      <c r="X139" s="178">
        <f t="shared" si="37"/>
        <v>858752.91692307591</v>
      </c>
      <c r="Y139" s="179">
        <f t="shared" si="38"/>
        <v>299.63465349723515</v>
      </c>
      <c r="Z139" s="74"/>
      <c r="AA139" s="84">
        <f t="shared" si="39"/>
        <v>-136444.39537526295</v>
      </c>
      <c r="AB139" s="132">
        <f t="shared" si="40"/>
        <v>-47.607953724795166</v>
      </c>
      <c r="AD139" s="180">
        <v>148383.3341405493</v>
      </c>
      <c r="AE139" s="187">
        <v>101679.700598571</v>
      </c>
      <c r="AF139" s="187">
        <v>55569.582039870817</v>
      </c>
      <c r="AG139" s="187">
        <v>9168.3570887830174</v>
      </c>
      <c r="AH139" s="188">
        <v>-1103.8250698315135</v>
      </c>
      <c r="AJ139" s="74">
        <f t="shared" si="41"/>
        <v>4908565.5738360221</v>
      </c>
      <c r="AK139" s="74">
        <f t="shared" si="42"/>
        <v>266045.83749999991</v>
      </c>
      <c r="AL139" s="74">
        <f t="shared" si="43"/>
        <v>8328399.0226317821</v>
      </c>
      <c r="AM139" s="74">
        <f t="shared" si="44"/>
        <v>14338857.114370346</v>
      </c>
      <c r="AN139" s="74">
        <f t="shared" si="45"/>
        <v>148383.3341405493</v>
      </c>
      <c r="AO139" s="74">
        <f t="shared" si="46"/>
        <v>101679.700598571</v>
      </c>
      <c r="AP139" s="74">
        <f t="shared" si="47"/>
        <v>55569.582039870817</v>
      </c>
      <c r="AQ139" s="74">
        <f t="shared" si="48"/>
        <v>9168.3570887830174</v>
      </c>
      <c r="AR139" s="74">
        <f t="shared" si="49"/>
        <v>-1103.8250698315135</v>
      </c>
      <c r="AS139" s="75">
        <v>1076</v>
      </c>
      <c r="AT139" s="75"/>
      <c r="AU139" s="75"/>
      <c r="AV139" s="75">
        <v>14</v>
      </c>
      <c r="AW139" s="75">
        <v>7022.542119541893</v>
      </c>
      <c r="AX139" s="75">
        <v>-1538.2393083666495</v>
      </c>
      <c r="AY139" s="75">
        <v>1546.6038213366801</v>
      </c>
      <c r="AZ139" s="316"/>
      <c r="BA139" s="74"/>
      <c r="BB139" s="74"/>
      <c r="BC139" s="74"/>
      <c r="BD139" s="74"/>
      <c r="BE139" s="74"/>
      <c r="BF139" s="74"/>
      <c r="BG139" s="74"/>
      <c r="BM139" s="316"/>
      <c r="BN139" s="74">
        <v>7969792.8856296539</v>
      </c>
      <c r="BO139" s="74">
        <v>13847612.27</v>
      </c>
      <c r="BP139" s="74">
        <v>14560000</v>
      </c>
      <c r="BQ139" s="74">
        <v>289195</v>
      </c>
      <c r="BR139" s="74">
        <v>300000</v>
      </c>
      <c r="BS139" s="406">
        <f t="shared" si="50"/>
        <v>0.55082742338209867</v>
      </c>
      <c r="BT139" s="406">
        <f t="shared" si="51"/>
        <v>0.33333333333333326</v>
      </c>
      <c r="BU139" s="74">
        <f t="shared" si="52"/>
        <v>10426377.921003887</v>
      </c>
      <c r="BV139" s="316"/>
      <c r="BW139" s="74">
        <v>22308650</v>
      </c>
      <c r="BX139" s="74">
        <v>7969792.8856296539</v>
      </c>
      <c r="BY139" s="74">
        <v>10714308.557575237</v>
      </c>
      <c r="BZ139" s="74">
        <v>5539697.1462392155</v>
      </c>
      <c r="CA139" s="74">
        <f t="shared" si="53"/>
        <v>551375.07703542383</v>
      </c>
      <c r="CB139" s="74">
        <f t="shared" si="54"/>
        <v>299.63465349723475</v>
      </c>
      <c r="CC139" s="74">
        <f t="shared" si="55"/>
        <v>252.02669977243937</v>
      </c>
      <c r="CD139" s="74">
        <f t="shared" si="56"/>
        <v>-47.607953724795379</v>
      </c>
      <c r="CE139" s="74">
        <f t="shared" si="57"/>
        <v>35.477913677100382</v>
      </c>
      <c r="CF139" s="74">
        <f t="shared" si="58"/>
        <v>19.389247048105204</v>
      </c>
      <c r="CG139" s="74">
        <f t="shared" si="59"/>
        <v>3.1990080560996912</v>
      </c>
      <c r="CH139" s="74">
        <f t="shared" si="60"/>
        <v>-0.38514482548203544</v>
      </c>
      <c r="CI139" s="74">
        <f t="shared" si="61"/>
        <v>101679.70059856969</v>
      </c>
      <c r="CJ139" s="74">
        <f t="shared" si="62"/>
        <v>55569.582039869514</v>
      </c>
      <c r="CK139" s="74">
        <f t="shared" si="63"/>
        <v>9168.357088781715</v>
      </c>
      <c r="CL139" s="74">
        <f t="shared" si="64"/>
        <v>-1103.8250698315135</v>
      </c>
      <c r="CM139" s="316"/>
      <c r="CN139" s="74">
        <v>8431.2477784156326</v>
      </c>
      <c r="CO139" s="74">
        <v>866.19574999999998</v>
      </c>
    </row>
    <row r="140" spans="1:93" x14ac:dyDescent="0.2">
      <c r="A140" s="74">
        <v>405</v>
      </c>
      <c r="B140" s="74" t="s">
        <v>261</v>
      </c>
      <c r="C140" s="74">
        <v>9</v>
      </c>
      <c r="D140" s="74">
        <v>72634</v>
      </c>
      <c r="E140" s="89">
        <v>178215447.45062542</v>
      </c>
      <c r="F140" s="74">
        <v>112269978.48847075</v>
      </c>
      <c r="G140" s="74">
        <v>28117508.412599999</v>
      </c>
      <c r="H140" s="74">
        <v>18224382.395199999</v>
      </c>
      <c r="I140" s="74">
        <v>16830373.960836992</v>
      </c>
      <c r="J140" s="74">
        <v>11339316.028504636</v>
      </c>
      <c r="K140" s="74">
        <v>-542373.96388745692</v>
      </c>
      <c r="L140" s="74">
        <v>-5667652</v>
      </c>
      <c r="M140" s="75">
        <v>7000000</v>
      </c>
      <c r="N140" s="75">
        <v>754233.66484488745</v>
      </c>
      <c r="O140" s="178">
        <f t="shared" si="35"/>
        <v>10110319.535944402</v>
      </c>
      <c r="P140" s="179">
        <f t="shared" si="36"/>
        <v>139.19541173478538</v>
      </c>
      <c r="Q140" s="74"/>
      <c r="R140" s="89">
        <v>454165001.12</v>
      </c>
      <c r="S140" s="74">
        <v>273308738.98546427</v>
      </c>
      <c r="T140" s="74">
        <v>27336573.592799999</v>
      </c>
      <c r="U140" s="74">
        <v>100095274.9519811</v>
      </c>
      <c r="V140" s="74">
        <v>37818151.295066759</v>
      </c>
      <c r="W140" s="74">
        <v>29449856.412599999</v>
      </c>
      <c r="X140" s="178">
        <f t="shared" si="37"/>
        <v>13843594.117912114</v>
      </c>
      <c r="Y140" s="179">
        <f t="shared" si="38"/>
        <v>190.59385574127975</v>
      </c>
      <c r="Z140" s="74"/>
      <c r="AA140" s="84">
        <f t="shared" si="39"/>
        <v>-3733274.5819677114</v>
      </c>
      <c r="AB140" s="132">
        <f t="shared" si="40"/>
        <v>-51.398444006494358</v>
      </c>
      <c r="AD140" s="180">
        <v>4035847.1145140631</v>
      </c>
      <c r="AE140" s="187">
        <v>2852221.2531434936</v>
      </c>
      <c r="AF140" s="187">
        <v>1683637.0412130579</v>
      </c>
      <c r="AG140" s="187">
        <v>507675.22226772952</v>
      </c>
      <c r="AH140" s="188">
        <v>-27974.609254062161</v>
      </c>
      <c r="AJ140" s="74">
        <f t="shared" si="41"/>
        <v>161038760.49699354</v>
      </c>
      <c r="AK140" s="74">
        <f t="shared" si="42"/>
        <v>9112191.1975999996</v>
      </c>
      <c r="AL140" s="74">
        <f t="shared" si="43"/>
        <v>83264900.991144106</v>
      </c>
      <c r="AM140" s="74">
        <f t="shared" si="44"/>
        <v>275949553.66937459</v>
      </c>
      <c r="AN140" s="74">
        <f t="shared" si="45"/>
        <v>4035847.1145140631</v>
      </c>
      <c r="AO140" s="74">
        <f t="shared" si="46"/>
        <v>2852221.2531434936</v>
      </c>
      <c r="AP140" s="74">
        <f t="shared" si="47"/>
        <v>1683637.0412130579</v>
      </c>
      <c r="AQ140" s="74">
        <f t="shared" si="48"/>
        <v>507675.22226772952</v>
      </c>
      <c r="AR140" s="74">
        <f t="shared" si="49"/>
        <v>-27974.609254062161</v>
      </c>
      <c r="AS140" s="75">
        <v>30385</v>
      </c>
      <c r="AT140" s="75"/>
      <c r="AU140" s="75"/>
      <c r="AV140" s="75">
        <v>405</v>
      </c>
      <c r="AW140" s="75">
        <v>75601.717783118642</v>
      </c>
      <c r="AX140" s="75">
        <v>-3599.83829154873</v>
      </c>
      <c r="AY140" s="75">
        <v>26478.835266562124</v>
      </c>
      <c r="AZ140" s="316"/>
      <c r="BA140" s="74"/>
      <c r="BB140" s="74"/>
      <c r="BC140" s="74"/>
      <c r="BD140" s="74"/>
      <c r="BE140" s="74"/>
      <c r="BF140" s="74"/>
      <c r="BG140" s="74"/>
      <c r="BM140" s="316"/>
      <c r="BN140" s="74">
        <v>178215447.45062542</v>
      </c>
      <c r="BO140" s="74">
        <v>257376785.22999996</v>
      </c>
      <c r="BP140" s="74">
        <v>269601000</v>
      </c>
      <c r="BQ140" s="74">
        <v>7318736.2199999997</v>
      </c>
      <c r="BR140" s="74">
        <v>8132000</v>
      </c>
      <c r="BS140" s="406">
        <f t="shared" si="50"/>
        <v>0.58921921448533798</v>
      </c>
      <c r="BT140" s="406">
        <f t="shared" si="51"/>
        <v>0.33333333333333337</v>
      </c>
      <c r="BU140" s="74">
        <f t="shared" si="52"/>
        <v>109201362.29381876</v>
      </c>
      <c r="BV140" s="316"/>
      <c r="BW140" s="74">
        <v>454165001.12</v>
      </c>
      <c r="BX140" s="74">
        <v>178215447.45062542</v>
      </c>
      <c r="BY140" s="74">
        <v>328762820.99086428</v>
      </c>
      <c r="BZ140" s="74">
        <v>158611869.29627073</v>
      </c>
      <c r="CA140" s="74">
        <f t="shared" si="53"/>
        <v>-542373.96388750244</v>
      </c>
      <c r="CB140" s="74">
        <f t="shared" si="54"/>
        <v>190.59385574127981</v>
      </c>
      <c r="CC140" s="74">
        <f t="shared" si="55"/>
        <v>139.1954117347845</v>
      </c>
      <c r="CD140" s="74">
        <f t="shared" si="56"/>
        <v>-51.398444006495311</v>
      </c>
      <c r="CE140" s="74">
        <f t="shared" si="57"/>
        <v>39.268403958800313</v>
      </c>
      <c r="CF140" s="74">
        <f t="shared" si="58"/>
        <v>23.179737329805135</v>
      </c>
      <c r="CG140" s="74">
        <f t="shared" si="59"/>
        <v>6.9894983377996223</v>
      </c>
      <c r="CH140" s="74">
        <f t="shared" si="60"/>
        <v>-0.38514482548203544</v>
      </c>
      <c r="CI140" s="74">
        <f t="shared" si="61"/>
        <v>2852221.2531435019</v>
      </c>
      <c r="CJ140" s="74">
        <f t="shared" si="62"/>
        <v>1683637.0412130663</v>
      </c>
      <c r="CK140" s="74">
        <f t="shared" si="63"/>
        <v>507675.22226773779</v>
      </c>
      <c r="CL140" s="74">
        <f t="shared" si="64"/>
        <v>-27974.609254062161</v>
      </c>
      <c r="CM140" s="316"/>
      <c r="CN140" s="74">
        <v>276681.28366278019</v>
      </c>
      <c r="CO140" s="74">
        <v>29667.599247999999</v>
      </c>
    </row>
    <row r="141" spans="1:93" x14ac:dyDescent="0.2">
      <c r="A141" s="74">
        <v>407</v>
      </c>
      <c r="B141" s="74" t="s">
        <v>258</v>
      </c>
      <c r="C141" s="74">
        <v>34</v>
      </c>
      <c r="D141" s="74">
        <v>2580</v>
      </c>
      <c r="E141" s="89">
        <v>7124996.0524923652</v>
      </c>
      <c r="F141" s="74">
        <v>3561335.9342919919</v>
      </c>
      <c r="G141" s="74">
        <v>704316.26199999999</v>
      </c>
      <c r="H141" s="74">
        <v>486734.77620000002</v>
      </c>
      <c r="I141" s="74">
        <v>2009144.2740939041</v>
      </c>
      <c r="J141" s="74">
        <v>573485.2206900462</v>
      </c>
      <c r="K141" s="74">
        <v>231777.33373985888</v>
      </c>
      <c r="L141" s="74">
        <v>-597059</v>
      </c>
      <c r="M141" s="75">
        <v>750000</v>
      </c>
      <c r="N141" s="75">
        <v>21487.321843805956</v>
      </c>
      <c r="O141" s="178">
        <f t="shared" si="35"/>
        <v>616226.07036724128</v>
      </c>
      <c r="P141" s="179">
        <f t="shared" si="36"/>
        <v>238.84731409582994</v>
      </c>
      <c r="Q141" s="74"/>
      <c r="R141" s="89">
        <v>18140596</v>
      </c>
      <c r="S141" s="74">
        <v>8165389.7519843746</v>
      </c>
      <c r="T141" s="74">
        <v>730102.16430000006</v>
      </c>
      <c r="U141" s="74">
        <v>7192807.2176481616</v>
      </c>
      <c r="V141" s="74">
        <v>1912650.7090040976</v>
      </c>
      <c r="W141" s="74">
        <v>857257.26199999999</v>
      </c>
      <c r="X141" s="178">
        <f t="shared" si="37"/>
        <v>717611.10493663326</v>
      </c>
      <c r="Y141" s="179">
        <f t="shared" si="38"/>
        <v>278.14383912272609</v>
      </c>
      <c r="Z141" s="74"/>
      <c r="AA141" s="84">
        <f t="shared" si="39"/>
        <v>-101385.03456939198</v>
      </c>
      <c r="AB141" s="132">
        <f t="shared" si="40"/>
        <v>-39.29652502689612</v>
      </c>
      <c r="AD141" s="180">
        <v>112132.57888705819</v>
      </c>
      <c r="AE141" s="187">
        <v>70089.531246338025</v>
      </c>
      <c r="AF141" s="187">
        <v>28580.771343530461</v>
      </c>
      <c r="AG141" s="187">
        <v>1524.9201747651246</v>
      </c>
      <c r="AH141" s="188">
        <v>-993.67364974365137</v>
      </c>
      <c r="AJ141" s="74">
        <f t="shared" si="41"/>
        <v>4604053.8176923823</v>
      </c>
      <c r="AK141" s="74">
        <f t="shared" si="42"/>
        <v>243367.38810000004</v>
      </c>
      <c r="AL141" s="74">
        <f t="shared" si="43"/>
        <v>5183662.943554258</v>
      </c>
      <c r="AM141" s="74">
        <f t="shared" si="44"/>
        <v>11015599.947507635</v>
      </c>
      <c r="AN141" s="74">
        <f t="shared" si="45"/>
        <v>112132.57888705819</v>
      </c>
      <c r="AO141" s="74">
        <f t="shared" si="46"/>
        <v>70089.531246338025</v>
      </c>
      <c r="AP141" s="74">
        <f t="shared" si="47"/>
        <v>28580.771343530461</v>
      </c>
      <c r="AQ141" s="74">
        <f t="shared" si="48"/>
        <v>1524.9201747651246</v>
      </c>
      <c r="AR141" s="74">
        <f t="shared" si="49"/>
        <v>-993.67364974365137</v>
      </c>
      <c r="AS141" s="75">
        <v>563</v>
      </c>
      <c r="AT141" s="75"/>
      <c r="AU141" s="75"/>
      <c r="AV141" s="75">
        <v>2</v>
      </c>
      <c r="AW141" s="75">
        <v>4228.5865851089402</v>
      </c>
      <c r="AX141" s="75">
        <v>-1009.3288810451214</v>
      </c>
      <c r="AY141" s="75">
        <v>1339.1654883140513</v>
      </c>
      <c r="AZ141" s="316"/>
      <c r="BA141" s="74"/>
      <c r="BB141" s="74"/>
      <c r="BC141" s="74"/>
      <c r="BD141" s="74"/>
      <c r="BE141" s="74"/>
      <c r="BF141" s="74"/>
      <c r="BG141" s="74"/>
      <c r="BM141" s="316"/>
      <c r="BN141" s="74">
        <v>7124996.0524923652</v>
      </c>
      <c r="BO141" s="74">
        <v>10336099.23</v>
      </c>
      <c r="BP141" s="74">
        <v>10727000</v>
      </c>
      <c r="BQ141" s="74">
        <v>282183.06</v>
      </c>
      <c r="BR141" s="74">
        <v>301000</v>
      </c>
      <c r="BS141" s="406">
        <f t="shared" si="50"/>
        <v>0.56384985377746277</v>
      </c>
      <c r="BT141" s="406">
        <f t="shared" si="51"/>
        <v>0.33333333333333337</v>
      </c>
      <c r="BU141" s="74">
        <f t="shared" si="52"/>
        <v>6754605.7656081691</v>
      </c>
      <c r="BV141" s="316"/>
      <c r="BW141" s="74">
        <v>18140596</v>
      </c>
      <c r="BX141" s="74">
        <v>7124996.0524923652</v>
      </c>
      <c r="BY141" s="74">
        <v>9599808.178284375</v>
      </c>
      <c r="BZ141" s="74">
        <v>4752386.9724919917</v>
      </c>
      <c r="CA141" s="74">
        <f t="shared" si="53"/>
        <v>231777.33373985862</v>
      </c>
      <c r="CB141" s="74">
        <f t="shared" si="54"/>
        <v>278.14383912272638</v>
      </c>
      <c r="CC141" s="74">
        <f t="shared" si="55"/>
        <v>238.84731409583014</v>
      </c>
      <c r="CD141" s="74">
        <f t="shared" si="56"/>
        <v>-39.296525026896234</v>
      </c>
      <c r="CE141" s="74">
        <f t="shared" si="57"/>
        <v>27.16648497920124</v>
      </c>
      <c r="CF141" s="74">
        <f t="shared" si="58"/>
        <v>11.07781835020606</v>
      </c>
      <c r="CG141" s="74">
        <f t="shared" si="59"/>
        <v>0.59105433130431184</v>
      </c>
      <c r="CH141" s="74">
        <f t="shared" si="60"/>
        <v>-0.38514482548203544</v>
      </c>
      <c r="CI141" s="74">
        <f t="shared" si="61"/>
        <v>70089.531246339204</v>
      </c>
      <c r="CJ141" s="74">
        <f t="shared" si="62"/>
        <v>28580.771343531636</v>
      </c>
      <c r="CK141" s="74">
        <f t="shared" si="63"/>
        <v>1524.9201747651246</v>
      </c>
      <c r="CL141" s="74">
        <f t="shared" si="64"/>
        <v>-993.67364974365137</v>
      </c>
      <c r="CM141" s="316"/>
      <c r="CN141" s="74">
        <v>8364.179901722031</v>
      </c>
      <c r="CO141" s="74">
        <v>792.35893799999997</v>
      </c>
    </row>
    <row r="142" spans="1:93" x14ac:dyDescent="0.2">
      <c r="A142" s="74">
        <v>408</v>
      </c>
      <c r="B142" s="74" t="s">
        <v>262</v>
      </c>
      <c r="C142" s="74">
        <v>14</v>
      </c>
      <c r="D142" s="74">
        <v>14203</v>
      </c>
      <c r="E142" s="89">
        <v>39482290.617390767</v>
      </c>
      <c r="F142" s="74">
        <v>20766599.516095772</v>
      </c>
      <c r="G142" s="74">
        <v>3169554.6444999999</v>
      </c>
      <c r="H142" s="74">
        <v>2294774.4038</v>
      </c>
      <c r="I142" s="74">
        <v>11970810.148409577</v>
      </c>
      <c r="J142" s="74">
        <v>2560044.3750837445</v>
      </c>
      <c r="K142" s="74">
        <v>1127635.3236815659</v>
      </c>
      <c r="L142" s="74">
        <v>149401</v>
      </c>
      <c r="M142" s="75">
        <v>-339000</v>
      </c>
      <c r="N142" s="75">
        <v>126454.20783666601</v>
      </c>
      <c r="O142" s="178">
        <f t="shared" si="35"/>
        <v>2343983.0020165592</v>
      </c>
      <c r="P142" s="179">
        <f t="shared" si="36"/>
        <v>165.03435908023371</v>
      </c>
      <c r="Q142" s="74"/>
      <c r="R142" s="89">
        <v>95786700</v>
      </c>
      <c r="S142" s="74">
        <v>48146583.621096544</v>
      </c>
      <c r="T142" s="74">
        <v>3442161.6056999997</v>
      </c>
      <c r="U142" s="74">
        <v>35038727.221456602</v>
      </c>
      <c r="V142" s="74">
        <v>8538093.942846857</v>
      </c>
      <c r="W142" s="74">
        <v>2979955.6444999999</v>
      </c>
      <c r="X142" s="178">
        <f t="shared" si="37"/>
        <v>2358822.0356000066</v>
      </c>
      <c r="Y142" s="179">
        <f t="shared" si="38"/>
        <v>166.07914071675046</v>
      </c>
      <c r="Z142" s="74"/>
      <c r="AA142" s="84">
        <f t="shared" si="39"/>
        <v>-14839.033583447337</v>
      </c>
      <c r="AB142" s="132">
        <f t="shared" si="40"/>
        <v>-1.0447816365167455</v>
      </c>
      <c r="AD142" s="180">
        <v>74004.681623711949</v>
      </c>
      <c r="AE142" s="187">
        <v>40762.041202587985</v>
      </c>
      <c r="AF142" s="187">
        <v>25299.709070969464</v>
      </c>
      <c r="AG142" s="187">
        <v>8394.7446675151405</v>
      </c>
      <c r="AH142" s="188">
        <v>-5470.2119563213491</v>
      </c>
      <c r="AJ142" s="74">
        <f t="shared" si="41"/>
        <v>27379984.105000772</v>
      </c>
      <c r="AK142" s="74">
        <f t="shared" si="42"/>
        <v>1147387.2018999998</v>
      </c>
      <c r="AL142" s="74">
        <f t="shared" si="43"/>
        <v>23067917.073047027</v>
      </c>
      <c r="AM142" s="74">
        <f t="shared" si="44"/>
        <v>56304409.382609233</v>
      </c>
      <c r="AN142" s="74">
        <f t="shared" si="45"/>
        <v>74004.681623711949</v>
      </c>
      <c r="AO142" s="74">
        <f t="shared" si="46"/>
        <v>40762.041202587985</v>
      </c>
      <c r="AP142" s="74">
        <f t="shared" si="47"/>
        <v>25299.709070969464</v>
      </c>
      <c r="AQ142" s="74">
        <f t="shared" si="48"/>
        <v>8394.7446675151405</v>
      </c>
      <c r="AR142" s="74">
        <f t="shared" si="49"/>
        <v>-5470.2119563213491</v>
      </c>
      <c r="AS142" s="75">
        <v>6500</v>
      </c>
      <c r="AT142" s="75"/>
      <c r="AU142" s="75"/>
      <c r="AV142" s="75">
        <v>126</v>
      </c>
      <c r="AW142" s="75">
        <v>19224.885533649314</v>
      </c>
      <c r="AX142" s="75">
        <v>-4586.1113690448392</v>
      </c>
      <c r="AY142" s="75">
        <v>5978.0495677631125</v>
      </c>
      <c r="AZ142" s="316"/>
      <c r="BA142" s="74"/>
      <c r="BB142" s="74"/>
      <c r="BC142" s="74"/>
      <c r="BD142" s="74"/>
      <c r="BE142" s="74"/>
      <c r="BF142" s="74"/>
      <c r="BG142" s="74"/>
      <c r="BM142" s="316"/>
      <c r="BN142" s="74">
        <v>39482290.617390767</v>
      </c>
      <c r="BO142" s="74">
        <v>53196960.129999988</v>
      </c>
      <c r="BP142" s="74">
        <v>57706000</v>
      </c>
      <c r="BQ142" s="74">
        <v>1378582.6099999999</v>
      </c>
      <c r="BR142" s="74">
        <v>1468000</v>
      </c>
      <c r="BS142" s="406">
        <f t="shared" si="50"/>
        <v>0.56867968702567706</v>
      </c>
      <c r="BT142" s="406">
        <f t="shared" si="51"/>
        <v>0.33333333333333326</v>
      </c>
      <c r="BU142" s="74">
        <f t="shared" si="52"/>
        <v>30173601.964491706</v>
      </c>
      <c r="BV142" s="316"/>
      <c r="BW142" s="74">
        <v>95786700</v>
      </c>
      <c r="BX142" s="74">
        <v>39482290.617390767</v>
      </c>
      <c r="BY142" s="74">
        <v>54758299.871296547</v>
      </c>
      <c r="BZ142" s="74">
        <v>26230928.56439577</v>
      </c>
      <c r="CA142" s="74">
        <f t="shared" si="53"/>
        <v>1127635.3236815599</v>
      </c>
      <c r="CB142" s="74">
        <f t="shared" si="54"/>
        <v>166.07914071675029</v>
      </c>
      <c r="CC142" s="74">
        <f t="shared" si="55"/>
        <v>165.03435908023329</v>
      </c>
      <c r="CD142" s="74">
        <f t="shared" si="56"/>
        <v>-1.0447816365170013</v>
      </c>
      <c r="CE142" s="74">
        <f t="shared" si="57"/>
        <v>2.8699599523050048</v>
      </c>
      <c r="CF142" s="74">
        <f t="shared" si="58"/>
        <v>1.7812933233098263</v>
      </c>
      <c r="CG142" s="74">
        <f t="shared" si="59"/>
        <v>0.59105433130431184</v>
      </c>
      <c r="CH142" s="74">
        <f t="shared" si="60"/>
        <v>-0.38514482548203544</v>
      </c>
      <c r="CI142" s="74">
        <f t="shared" si="61"/>
        <v>40762.041202587985</v>
      </c>
      <c r="CJ142" s="74">
        <f t="shared" si="62"/>
        <v>25299.709070969464</v>
      </c>
      <c r="CK142" s="74">
        <f t="shared" si="63"/>
        <v>8394.7446675151405</v>
      </c>
      <c r="CL142" s="74">
        <f t="shared" si="64"/>
        <v>-5470.2119563213491</v>
      </c>
      <c r="CM142" s="316"/>
      <c r="CN142" s="74">
        <v>49536.596404226955</v>
      </c>
      <c r="CO142" s="74">
        <v>3735.6792619999997</v>
      </c>
    </row>
    <row r="143" spans="1:93" x14ac:dyDescent="0.2">
      <c r="A143" s="74">
        <v>410</v>
      </c>
      <c r="B143" s="74" t="s">
        <v>263</v>
      </c>
      <c r="C143" s="74">
        <v>13</v>
      </c>
      <c r="D143" s="74">
        <v>18788</v>
      </c>
      <c r="E143" s="89">
        <v>56238165.655374743</v>
      </c>
      <c r="F143" s="74">
        <v>28821275.231494978</v>
      </c>
      <c r="G143" s="74">
        <v>6240244.125</v>
      </c>
      <c r="H143" s="74">
        <v>2381498.1368</v>
      </c>
      <c r="I143" s="74">
        <v>21204418.428493313</v>
      </c>
      <c r="J143" s="74">
        <v>2735139.7161404258</v>
      </c>
      <c r="K143" s="74">
        <v>-1687202.4017858221</v>
      </c>
      <c r="L143" s="74">
        <v>-1273901</v>
      </c>
      <c r="M143" s="75">
        <v>255000</v>
      </c>
      <c r="N143" s="75">
        <v>175167.10573527726</v>
      </c>
      <c r="O143" s="178">
        <f t="shared" si="35"/>
        <v>2613473.6865034327</v>
      </c>
      <c r="P143" s="179">
        <f t="shared" si="36"/>
        <v>139.10334716326554</v>
      </c>
      <c r="Q143" s="74"/>
      <c r="R143" s="89">
        <v>122966160</v>
      </c>
      <c r="S143" s="74">
        <v>67147258.3585141</v>
      </c>
      <c r="T143" s="74">
        <v>3572247.2052000002</v>
      </c>
      <c r="U143" s="74">
        <v>38762514.865181625</v>
      </c>
      <c r="V143" s="74">
        <v>9122060.5668034609</v>
      </c>
      <c r="W143" s="74">
        <v>5221343.125</v>
      </c>
      <c r="X143" s="178">
        <f t="shared" si="37"/>
        <v>859264.12069919705</v>
      </c>
      <c r="Y143" s="179">
        <f t="shared" si="38"/>
        <v>45.734730716371999</v>
      </c>
      <c r="Z143" s="74"/>
      <c r="AA143" s="84">
        <f t="shared" si="39"/>
        <v>1754209.5658042356</v>
      </c>
      <c r="AB143" s="132">
        <f t="shared" si="40"/>
        <v>93.368616446893526</v>
      </c>
      <c r="AD143" s="180">
        <v>-1675944.1151684644</v>
      </c>
      <c r="AE143" s="187">
        <v>-1418468.7582203443</v>
      </c>
      <c r="AF143" s="187">
        <v>-1157102.6268459058</v>
      </c>
      <c r="AG143" s="187">
        <v>-897644.83702770539</v>
      </c>
      <c r="AH143" s="188">
        <v>-634165.66678540735</v>
      </c>
      <c r="AJ143" s="74">
        <f t="shared" si="41"/>
        <v>38325983.127019122</v>
      </c>
      <c r="AK143" s="74">
        <f t="shared" si="42"/>
        <v>1190749.0684000002</v>
      </c>
      <c r="AL143" s="74">
        <f t="shared" si="43"/>
        <v>17558096.436688311</v>
      </c>
      <c r="AM143" s="74">
        <f t="shared" si="44"/>
        <v>66727994.344625257</v>
      </c>
      <c r="AN143" s="74">
        <f t="shared" si="45"/>
        <v>-1675944.1151684644</v>
      </c>
      <c r="AO143" s="74">
        <f t="shared" si="46"/>
        <v>-1418468.7582203443</v>
      </c>
      <c r="AP143" s="74">
        <f t="shared" si="47"/>
        <v>-1157102.6268459058</v>
      </c>
      <c r="AQ143" s="74">
        <f t="shared" si="48"/>
        <v>-897644.83702770539</v>
      </c>
      <c r="AR143" s="74">
        <f t="shared" si="49"/>
        <v>-634165.66678540735</v>
      </c>
      <c r="AS143" s="75">
        <v>6776</v>
      </c>
      <c r="AT143" s="75"/>
      <c r="AU143" s="75"/>
      <c r="AV143" s="75">
        <v>5</v>
      </c>
      <c r="AW143" s="75">
        <v>13550.104973530952</v>
      </c>
      <c r="AX143" s="75">
        <v>-4645.5506137756493</v>
      </c>
      <c r="AY143" s="75">
        <v>6386.9208506630357</v>
      </c>
      <c r="AZ143" s="316"/>
      <c r="BA143" s="74"/>
      <c r="BB143" s="74"/>
      <c r="BC143" s="74"/>
      <c r="BD143" s="74"/>
      <c r="BE143" s="74"/>
      <c r="BF143" s="74"/>
      <c r="BG143" s="74"/>
      <c r="BM143" s="316"/>
      <c r="BN143" s="74">
        <v>56238165.655374743</v>
      </c>
      <c r="BO143" s="74">
        <v>63602871.339999989</v>
      </c>
      <c r="BP143" s="74">
        <v>69791000</v>
      </c>
      <c r="BQ143" s="74">
        <v>1799044.2399999998</v>
      </c>
      <c r="BR143" s="74">
        <v>1788000</v>
      </c>
      <c r="BS143" s="406">
        <f t="shared" si="50"/>
        <v>0.57077510033824763</v>
      </c>
      <c r="BT143" s="406">
        <f t="shared" si="51"/>
        <v>0.33333333333333337</v>
      </c>
      <c r="BU143" s="74">
        <f t="shared" si="52"/>
        <v>22257814.885565527</v>
      </c>
      <c r="BV143" s="316"/>
      <c r="BW143" s="74">
        <v>122966160</v>
      </c>
      <c r="BX143" s="74">
        <v>56238165.655374743</v>
      </c>
      <c r="BY143" s="74">
        <v>76959749.688714102</v>
      </c>
      <c r="BZ143" s="74">
        <v>37443017.493294977</v>
      </c>
      <c r="CA143" s="74">
        <f t="shared" si="53"/>
        <v>-1687202.4017858296</v>
      </c>
      <c r="CB143" s="74">
        <f t="shared" si="54"/>
        <v>45.734730716371502</v>
      </c>
      <c r="CC143" s="74">
        <f t="shared" si="55"/>
        <v>139.10334716326489</v>
      </c>
      <c r="CD143" s="74">
        <f t="shared" si="56"/>
        <v>93.368616446893384</v>
      </c>
      <c r="CE143" s="74">
        <f t="shared" si="57"/>
        <v>-75.498656494588374</v>
      </c>
      <c r="CF143" s="74">
        <f t="shared" si="58"/>
        <v>-61.587323123583559</v>
      </c>
      <c r="CG143" s="74">
        <f t="shared" si="59"/>
        <v>-47.77756211558907</v>
      </c>
      <c r="CH143" s="74">
        <f t="shared" si="60"/>
        <v>-33.753761272375421</v>
      </c>
      <c r="CI143" s="74">
        <f t="shared" si="61"/>
        <v>-1418468.7582203264</v>
      </c>
      <c r="CJ143" s="74">
        <f t="shared" si="62"/>
        <v>-1157102.6268458879</v>
      </c>
      <c r="CK143" s="74">
        <f t="shared" si="63"/>
        <v>-897644.83702768746</v>
      </c>
      <c r="CL143" s="74">
        <f t="shared" si="64"/>
        <v>-634165.66678538942</v>
      </c>
      <c r="CM143" s="316"/>
      <c r="CN143" s="74">
        <v>68680.711050988539</v>
      </c>
      <c r="CO143" s="74">
        <v>3876.8574320000002</v>
      </c>
    </row>
    <row r="144" spans="1:93" x14ac:dyDescent="0.2">
      <c r="A144" s="74">
        <v>416</v>
      </c>
      <c r="B144" s="74" t="s">
        <v>264</v>
      </c>
      <c r="C144" s="74">
        <v>9</v>
      </c>
      <c r="D144" s="74">
        <v>2917</v>
      </c>
      <c r="E144" s="89">
        <v>7078253.2302131429</v>
      </c>
      <c r="F144" s="74">
        <v>4661530.1869686423</v>
      </c>
      <c r="G144" s="74">
        <v>969043.6682999999</v>
      </c>
      <c r="H144" s="74">
        <v>318285.71620000002</v>
      </c>
      <c r="I144" s="74">
        <v>2197946.1392005491</v>
      </c>
      <c r="J144" s="74">
        <v>525674.34712230344</v>
      </c>
      <c r="K144" s="74">
        <v>-338058.75406148727</v>
      </c>
      <c r="L144" s="74">
        <v>-621063</v>
      </c>
      <c r="M144" s="75">
        <v>-57350</v>
      </c>
      <c r="N144" s="75">
        <v>26741.137419306488</v>
      </c>
      <c r="O144" s="178">
        <f t="shared" si="35"/>
        <v>604496.210936171</v>
      </c>
      <c r="P144" s="179">
        <f t="shared" si="36"/>
        <v>207.2321600741073</v>
      </c>
      <c r="Q144" s="74"/>
      <c r="R144" s="89">
        <v>18860740</v>
      </c>
      <c r="S144" s="74">
        <v>10535040.329350458</v>
      </c>
      <c r="T144" s="74">
        <v>477428.57429999998</v>
      </c>
      <c r="U144" s="74">
        <v>6131571.13501585</v>
      </c>
      <c r="V144" s="74">
        <v>1753194.9847268155</v>
      </c>
      <c r="W144" s="74">
        <v>290630.6682999999</v>
      </c>
      <c r="X144" s="178">
        <f t="shared" si="37"/>
        <v>327125.69169312343</v>
      </c>
      <c r="Y144" s="179">
        <f t="shared" si="38"/>
        <v>112.14456348752945</v>
      </c>
      <c r="Z144" s="74"/>
      <c r="AA144" s="84">
        <f t="shared" si="39"/>
        <v>277370.51924304757</v>
      </c>
      <c r="AB144" s="132">
        <f t="shared" si="40"/>
        <v>95.087596586577845</v>
      </c>
      <c r="AD144" s="180">
        <v>-265219.12902032182</v>
      </c>
      <c r="AE144" s="187">
        <v>-225243.84606217477</v>
      </c>
      <c r="AF144" s="187">
        <v>-184664.48661895373</v>
      </c>
      <c r="AG144" s="187">
        <v>-144381.4137586338</v>
      </c>
      <c r="AH144" s="188">
        <v>-103473.98669897958</v>
      </c>
      <c r="AJ144" s="74">
        <f t="shared" si="41"/>
        <v>5873510.1423818162</v>
      </c>
      <c r="AK144" s="74">
        <f t="shared" si="42"/>
        <v>159142.85809999995</v>
      </c>
      <c r="AL144" s="74">
        <f t="shared" si="43"/>
        <v>3933624.9958153008</v>
      </c>
      <c r="AM144" s="74">
        <f t="shared" si="44"/>
        <v>11782486.769786857</v>
      </c>
      <c r="AN144" s="74">
        <f t="shared" si="45"/>
        <v>-265219.12902032182</v>
      </c>
      <c r="AO144" s="74">
        <f t="shared" si="46"/>
        <v>-225243.84606217477</v>
      </c>
      <c r="AP144" s="74">
        <f t="shared" si="47"/>
        <v>-184664.48661895373</v>
      </c>
      <c r="AQ144" s="74">
        <f t="shared" si="48"/>
        <v>-144381.4137586338</v>
      </c>
      <c r="AR144" s="74">
        <f t="shared" si="49"/>
        <v>-103473.98669897958</v>
      </c>
      <c r="AS144" s="75">
        <v>562</v>
      </c>
      <c r="AT144" s="75"/>
      <c r="AU144" s="75"/>
      <c r="AV144" s="75">
        <v>13</v>
      </c>
      <c r="AW144" s="75">
        <v>3150.8665411846846</v>
      </c>
      <c r="AX144" s="75">
        <v>-836.02201351087399</v>
      </c>
      <c r="AY144" s="75">
        <v>1227.5206376045121</v>
      </c>
      <c r="AZ144" s="316"/>
      <c r="BA144" s="74"/>
      <c r="BB144" s="74"/>
      <c r="BC144" s="74"/>
      <c r="BD144" s="74"/>
      <c r="BE144" s="74"/>
      <c r="BF144" s="74"/>
      <c r="BG144" s="74"/>
      <c r="BM144" s="316"/>
      <c r="BN144" s="74">
        <v>7078253.2302131429</v>
      </c>
      <c r="BO144" s="74">
        <v>10934508.879999997</v>
      </c>
      <c r="BP144" s="74">
        <v>11451000</v>
      </c>
      <c r="BQ144" s="74">
        <v>320267.49</v>
      </c>
      <c r="BR144" s="74">
        <v>340000</v>
      </c>
      <c r="BS144" s="406">
        <f t="shared" si="50"/>
        <v>0.55752137236896071</v>
      </c>
      <c r="BT144" s="406">
        <f t="shared" si="51"/>
        <v>0.33333333333333326</v>
      </c>
      <c r="BU144" s="74">
        <f t="shared" si="52"/>
        <v>4823086.8793583252</v>
      </c>
      <c r="BV144" s="316"/>
      <c r="BW144" s="74">
        <v>18860740</v>
      </c>
      <c r="BX144" s="74">
        <v>7078253.2302131429</v>
      </c>
      <c r="BY144" s="74">
        <v>11981512.571950458</v>
      </c>
      <c r="BZ144" s="74">
        <v>5948859.571468642</v>
      </c>
      <c r="CA144" s="74">
        <f t="shared" si="53"/>
        <v>-338058.75406148843</v>
      </c>
      <c r="CB144" s="74">
        <f t="shared" si="54"/>
        <v>112.14456348752974</v>
      </c>
      <c r="CC144" s="74">
        <f t="shared" si="55"/>
        <v>207.23216007410699</v>
      </c>
      <c r="CD144" s="74">
        <f t="shared" si="56"/>
        <v>95.087596586577249</v>
      </c>
      <c r="CE144" s="74">
        <f t="shared" si="57"/>
        <v>-77.217636634272239</v>
      </c>
      <c r="CF144" s="74">
        <f t="shared" si="58"/>
        <v>-63.306303263267424</v>
      </c>
      <c r="CG144" s="74">
        <f t="shared" si="59"/>
        <v>-49.496542255272935</v>
      </c>
      <c r="CH144" s="74">
        <f t="shared" si="60"/>
        <v>-35.472741412059285</v>
      </c>
      <c r="CI144" s="74">
        <f t="shared" si="61"/>
        <v>-225243.84606217212</v>
      </c>
      <c r="CJ144" s="74">
        <f t="shared" si="62"/>
        <v>-184664.48661895108</v>
      </c>
      <c r="CK144" s="74">
        <f t="shared" si="63"/>
        <v>-144381.41375863116</v>
      </c>
      <c r="CL144" s="74">
        <f t="shared" si="64"/>
        <v>-103473.98669897694</v>
      </c>
      <c r="CM144" s="316"/>
      <c r="CN144" s="74">
        <v>10465.174340979866</v>
      </c>
      <c r="CO144" s="74">
        <v>518.13953800000002</v>
      </c>
    </row>
    <row r="145" spans="1:93" x14ac:dyDescent="0.2">
      <c r="A145" s="74">
        <v>418</v>
      </c>
      <c r="B145" s="74" t="s">
        <v>265</v>
      </c>
      <c r="C145" s="74">
        <v>6</v>
      </c>
      <c r="D145" s="74">
        <v>24164</v>
      </c>
      <c r="E145" s="89">
        <v>67979609.662687302</v>
      </c>
      <c r="F145" s="74">
        <v>38604728.221464425</v>
      </c>
      <c r="G145" s="74">
        <v>6214504.3774999995</v>
      </c>
      <c r="H145" s="74">
        <v>4058974.3015999999</v>
      </c>
      <c r="I145" s="74">
        <v>20708455.794786386</v>
      </c>
      <c r="J145" s="74">
        <v>2838476.9684024276</v>
      </c>
      <c r="K145" s="74">
        <v>-30706.780717447447</v>
      </c>
      <c r="L145" s="74">
        <v>-2245054</v>
      </c>
      <c r="M145" s="75">
        <v>137500</v>
      </c>
      <c r="N145" s="75">
        <v>272859.21517418791</v>
      </c>
      <c r="O145" s="178">
        <f t="shared" si="35"/>
        <v>2580128.4355226755</v>
      </c>
      <c r="P145" s="179">
        <f t="shared" si="36"/>
        <v>106.77571741113539</v>
      </c>
      <c r="Q145" s="74"/>
      <c r="R145" s="89">
        <v>139393600</v>
      </c>
      <c r="S145" s="74">
        <v>98130773.930731073</v>
      </c>
      <c r="T145" s="74">
        <v>6088461.4523999998</v>
      </c>
      <c r="U145" s="74">
        <v>24262784.532439496</v>
      </c>
      <c r="V145" s="74">
        <v>9466704.2675907873</v>
      </c>
      <c r="W145" s="74">
        <v>4106950.3774999995</v>
      </c>
      <c r="X145" s="178">
        <f t="shared" si="37"/>
        <v>2662074.5606613457</v>
      </c>
      <c r="Y145" s="179">
        <f t="shared" si="38"/>
        <v>110.16696576151902</v>
      </c>
      <c r="Z145" s="74"/>
      <c r="AA145" s="84">
        <f t="shared" si="39"/>
        <v>-81946.125138670206</v>
      </c>
      <c r="AB145" s="132">
        <f t="shared" si="40"/>
        <v>-3.3912483503836373</v>
      </c>
      <c r="AD145" s="180">
        <v>182606.45881778144</v>
      </c>
      <c r="AE145" s="187">
        <v>69349.712287498129</v>
      </c>
      <c r="AF145" s="187">
        <v>43043.171864458644</v>
      </c>
      <c r="AG145" s="187">
        <v>14282.236861637391</v>
      </c>
      <c r="AH145" s="188">
        <v>-9306.6395629479048</v>
      </c>
      <c r="AJ145" s="74">
        <f t="shared" si="41"/>
        <v>59526045.709266648</v>
      </c>
      <c r="AK145" s="74">
        <f t="shared" si="42"/>
        <v>2029487.1507999999</v>
      </c>
      <c r="AL145" s="74">
        <f t="shared" si="43"/>
        <v>3554328.7376531102</v>
      </c>
      <c r="AM145" s="74">
        <f t="shared" si="44"/>
        <v>71413990.337312698</v>
      </c>
      <c r="AN145" s="74">
        <f t="shared" si="45"/>
        <v>182606.45881778144</v>
      </c>
      <c r="AO145" s="74">
        <f t="shared" si="46"/>
        <v>69349.712287498129</v>
      </c>
      <c r="AP145" s="74">
        <f t="shared" si="47"/>
        <v>43043.171864458644</v>
      </c>
      <c r="AQ145" s="74">
        <f t="shared" si="48"/>
        <v>14282.236861637391</v>
      </c>
      <c r="AR145" s="74">
        <f t="shared" si="49"/>
        <v>-9306.6395629479048</v>
      </c>
      <c r="AS145" s="75">
        <v>10129</v>
      </c>
      <c r="AT145" s="75"/>
      <c r="AU145" s="75"/>
      <c r="AV145" s="75">
        <v>16</v>
      </c>
      <c r="AW145" s="75">
        <v>6320.5364161999341</v>
      </c>
      <c r="AX145" s="75">
        <v>2858.1414237336448</v>
      </c>
      <c r="AY145" s="75">
        <v>6628.2272991883601</v>
      </c>
      <c r="AZ145" s="316"/>
      <c r="BA145" s="74"/>
      <c r="BB145" s="74"/>
      <c r="BC145" s="74"/>
      <c r="BD145" s="74"/>
      <c r="BE145" s="74"/>
      <c r="BF145" s="74"/>
      <c r="BG145" s="74"/>
      <c r="BM145" s="316"/>
      <c r="BN145" s="74">
        <v>67979609.662687302</v>
      </c>
      <c r="BO145" s="74">
        <v>68733657.349999994</v>
      </c>
      <c r="BP145" s="74">
        <v>71687000</v>
      </c>
      <c r="BQ145" s="74">
        <v>1941409</v>
      </c>
      <c r="BR145" s="74">
        <v>1961000</v>
      </c>
      <c r="BS145" s="406">
        <f t="shared" si="50"/>
        <v>0.60659916685549753</v>
      </c>
      <c r="BT145" s="406">
        <f t="shared" si="51"/>
        <v>0.33333333333333337</v>
      </c>
      <c r="BU145" s="74">
        <f t="shared" si="52"/>
        <v>10151849.256124023</v>
      </c>
      <c r="BV145" s="316"/>
      <c r="BW145" s="74">
        <v>139393600</v>
      </c>
      <c r="BX145" s="74">
        <v>67979609.662687302</v>
      </c>
      <c r="BY145" s="74">
        <v>110433739.76063107</v>
      </c>
      <c r="BZ145" s="74">
        <v>48878206.900564425</v>
      </c>
      <c r="CA145" s="74">
        <f t="shared" si="53"/>
        <v>-30706.780717454138</v>
      </c>
      <c r="CB145" s="74">
        <f t="shared" si="54"/>
        <v>110.16696576151941</v>
      </c>
      <c r="CC145" s="74">
        <f t="shared" si="55"/>
        <v>106.77571741113519</v>
      </c>
      <c r="CD145" s="74">
        <f t="shared" si="56"/>
        <v>-3.3912483503842168</v>
      </c>
      <c r="CE145" s="74">
        <f t="shared" si="57"/>
        <v>2.8699599523050048</v>
      </c>
      <c r="CF145" s="74">
        <f t="shared" si="58"/>
        <v>1.7812933233098263</v>
      </c>
      <c r="CG145" s="74">
        <f t="shared" si="59"/>
        <v>0.59105433130431184</v>
      </c>
      <c r="CH145" s="74">
        <f t="shared" si="60"/>
        <v>-0.38514482548203544</v>
      </c>
      <c r="CI145" s="74">
        <f t="shared" si="61"/>
        <v>69349.712287498129</v>
      </c>
      <c r="CJ145" s="74">
        <f t="shared" si="62"/>
        <v>43043.171864458644</v>
      </c>
      <c r="CK145" s="74">
        <f t="shared" si="63"/>
        <v>14282.236861637391</v>
      </c>
      <c r="CL145" s="74">
        <f t="shared" si="64"/>
        <v>-9306.6395629479048</v>
      </c>
      <c r="CM145" s="316"/>
      <c r="CN145" s="74">
        <v>103653.53232365545</v>
      </c>
      <c r="CO145" s="74">
        <v>6607.632584</v>
      </c>
    </row>
    <row r="146" spans="1:93" x14ac:dyDescent="0.2">
      <c r="A146" s="74">
        <v>420</v>
      </c>
      <c r="B146" s="74" t="s">
        <v>266</v>
      </c>
      <c r="C146" s="74">
        <v>11</v>
      </c>
      <c r="D146" s="74">
        <v>9280</v>
      </c>
      <c r="E146" s="89">
        <v>19527684.728156477</v>
      </c>
      <c r="F146" s="74">
        <v>13323688.087098692</v>
      </c>
      <c r="G146" s="74">
        <v>2794266.0285</v>
      </c>
      <c r="H146" s="74">
        <v>2200211.0655999999</v>
      </c>
      <c r="I146" s="74">
        <v>2983020.8300094479</v>
      </c>
      <c r="J146" s="74">
        <v>1725353.8422768824</v>
      </c>
      <c r="K146" s="74">
        <v>-1101132.1184625868</v>
      </c>
      <c r="L146" s="74">
        <v>-991439</v>
      </c>
      <c r="M146" s="75">
        <v>480200</v>
      </c>
      <c r="N146" s="75">
        <v>88193.691118562652</v>
      </c>
      <c r="O146" s="178">
        <f t="shared" si="35"/>
        <v>1974677.6979845203</v>
      </c>
      <c r="P146" s="179">
        <f t="shared" si="36"/>
        <v>212.78854504143538</v>
      </c>
      <c r="Q146" s="74"/>
      <c r="R146" s="89">
        <v>66414180.509999998</v>
      </c>
      <c r="S146" s="74">
        <v>32119592.473676369</v>
      </c>
      <c r="T146" s="74">
        <v>3300316.5984</v>
      </c>
      <c r="U146" s="74">
        <v>24072901.267098118</v>
      </c>
      <c r="V146" s="74">
        <v>5754288.2199180275</v>
      </c>
      <c r="W146" s="74">
        <v>2283027.0285</v>
      </c>
      <c r="X146" s="178">
        <f t="shared" si="37"/>
        <v>1115945.0775925145</v>
      </c>
      <c r="Y146" s="179">
        <f t="shared" si="38"/>
        <v>120.25270232677957</v>
      </c>
      <c r="Z146" s="74"/>
      <c r="AA146" s="84">
        <f t="shared" si="39"/>
        <v>858732.62039200589</v>
      </c>
      <c r="AB146" s="132">
        <f t="shared" si="40"/>
        <v>92.535842714655814</v>
      </c>
      <c r="AD146" s="180">
        <v>-820074.78656721895</v>
      </c>
      <c r="AE146" s="187">
        <v>-692899.39203461551</v>
      </c>
      <c r="AF146" s="187">
        <v>-563802.2183516908</v>
      </c>
      <c r="AG146" s="187">
        <v>-435647.63619750191</v>
      </c>
      <c r="AH146" s="188">
        <v>-305506.76437247929</v>
      </c>
      <c r="AJ146" s="74">
        <f t="shared" si="41"/>
        <v>18795904.386577677</v>
      </c>
      <c r="AK146" s="74">
        <f t="shared" si="42"/>
        <v>1100105.5328000002</v>
      </c>
      <c r="AL146" s="74">
        <f t="shared" si="43"/>
        <v>21089880.437088668</v>
      </c>
      <c r="AM146" s="74">
        <f t="shared" si="44"/>
        <v>46886495.781843521</v>
      </c>
      <c r="AN146" s="74">
        <f t="shared" si="45"/>
        <v>-820074.78656721895</v>
      </c>
      <c r="AO146" s="74">
        <f t="shared" si="46"/>
        <v>-692899.39203461551</v>
      </c>
      <c r="AP146" s="74">
        <f t="shared" si="47"/>
        <v>-563802.2183516908</v>
      </c>
      <c r="AQ146" s="74">
        <f t="shared" si="48"/>
        <v>-435647.63619750191</v>
      </c>
      <c r="AR146" s="74">
        <f t="shared" si="49"/>
        <v>-305506.76437247929</v>
      </c>
      <c r="AS146" s="75">
        <v>3581</v>
      </c>
      <c r="AT146" s="75"/>
      <c r="AU146" s="75"/>
      <c r="AV146" s="75">
        <v>20</v>
      </c>
      <c r="AW146" s="75">
        <v>19177.515297065987</v>
      </c>
      <c r="AX146" s="75">
        <v>-2041.0358154678649</v>
      </c>
      <c r="AY146" s="75">
        <v>4028.9343776411451</v>
      </c>
      <c r="AZ146" s="316"/>
      <c r="BA146" s="74"/>
      <c r="BB146" s="74"/>
      <c r="BC146" s="74"/>
      <c r="BD146" s="74"/>
      <c r="BE146" s="74"/>
      <c r="BF146" s="74"/>
      <c r="BG146" s="74"/>
      <c r="BM146" s="316"/>
      <c r="BN146" s="74">
        <v>19527684.728156477</v>
      </c>
      <c r="BO146" s="74">
        <v>48541780.510000013</v>
      </c>
      <c r="BP146" s="74">
        <v>43269000</v>
      </c>
      <c r="BQ146" s="74">
        <v>596636.08000000007</v>
      </c>
      <c r="BR146" s="74">
        <v>624000</v>
      </c>
      <c r="BS146" s="406">
        <f t="shared" si="50"/>
        <v>0.58518502069980727</v>
      </c>
      <c r="BT146" s="406">
        <f t="shared" si="51"/>
        <v>0.33333333333333337</v>
      </c>
      <c r="BU146" s="74">
        <f t="shared" si="52"/>
        <v>24017682.696267232</v>
      </c>
      <c r="BV146" s="316"/>
      <c r="BW146" s="74">
        <v>66414180.509999998</v>
      </c>
      <c r="BX146" s="74">
        <v>19527684.728156477</v>
      </c>
      <c r="BY146" s="74">
        <v>38214175.100576364</v>
      </c>
      <c r="BZ146" s="74">
        <v>18318165.18119869</v>
      </c>
      <c r="CA146" s="74">
        <f t="shared" si="53"/>
        <v>-1101132.1184625961</v>
      </c>
      <c r="CB146" s="74">
        <f t="shared" si="54"/>
        <v>120.25270232677977</v>
      </c>
      <c r="CC146" s="74">
        <f t="shared" si="55"/>
        <v>212.78854504143439</v>
      </c>
      <c r="CD146" s="74">
        <f t="shared" si="56"/>
        <v>92.535842714654621</v>
      </c>
      <c r="CE146" s="74">
        <f t="shared" si="57"/>
        <v>-74.665882762349611</v>
      </c>
      <c r="CF146" s="74">
        <f t="shared" si="58"/>
        <v>-60.754549391344796</v>
      </c>
      <c r="CG146" s="74">
        <f t="shared" si="59"/>
        <v>-46.944788383350307</v>
      </c>
      <c r="CH146" s="74">
        <f t="shared" si="60"/>
        <v>-32.920987540136657</v>
      </c>
      <c r="CI146" s="74">
        <f t="shared" si="61"/>
        <v>-692899.39203460445</v>
      </c>
      <c r="CJ146" s="74">
        <f t="shared" si="62"/>
        <v>-563802.21835167974</v>
      </c>
      <c r="CK146" s="74">
        <f t="shared" si="63"/>
        <v>-435647.63619749085</v>
      </c>
      <c r="CL146" s="74">
        <f t="shared" si="64"/>
        <v>-305506.76437246817</v>
      </c>
      <c r="CM146" s="316"/>
      <c r="CN146" s="74">
        <v>32686.883575156979</v>
      </c>
      <c r="CO146" s="74">
        <v>3581.7389440000002</v>
      </c>
    </row>
    <row r="147" spans="1:93" x14ac:dyDescent="0.2">
      <c r="A147" s="74">
        <v>421</v>
      </c>
      <c r="B147" s="74" t="s">
        <v>267</v>
      </c>
      <c r="C147" s="74">
        <v>16</v>
      </c>
      <c r="D147" s="74">
        <v>719</v>
      </c>
      <c r="E147" s="89">
        <v>3576438.0074096886</v>
      </c>
      <c r="F147" s="74">
        <v>831020.06486211566</v>
      </c>
      <c r="G147" s="74">
        <v>285697.48600000003</v>
      </c>
      <c r="H147" s="74">
        <v>344480.20679999999</v>
      </c>
      <c r="I147" s="74">
        <v>800615.46592198033</v>
      </c>
      <c r="J147" s="74">
        <v>169023.70282300352</v>
      </c>
      <c r="K147" s="74">
        <v>59124.580471354551</v>
      </c>
      <c r="L147" s="74">
        <v>-188960</v>
      </c>
      <c r="M147" s="75">
        <v>-45800</v>
      </c>
      <c r="N147" s="75">
        <v>5773.1343964183761</v>
      </c>
      <c r="O147" s="178">
        <f t="shared" si="35"/>
        <v>-1315463.3661348158</v>
      </c>
      <c r="P147" s="179">
        <f t="shared" si="36"/>
        <v>-1829.5735273085061</v>
      </c>
      <c r="Q147" s="74"/>
      <c r="R147" s="89">
        <v>6924635</v>
      </c>
      <c r="S147" s="74">
        <v>1961167.2157003579</v>
      </c>
      <c r="T147" s="74">
        <v>516720.31020000001</v>
      </c>
      <c r="U147" s="74">
        <v>2462545.175996366</v>
      </c>
      <c r="V147" s="74">
        <v>563716.88995563809</v>
      </c>
      <c r="W147" s="74">
        <v>50937.486000000034</v>
      </c>
      <c r="X147" s="178">
        <f t="shared" si="37"/>
        <v>-1369547.9221476382</v>
      </c>
      <c r="Y147" s="179">
        <f t="shared" si="38"/>
        <v>-1904.7954410954633</v>
      </c>
      <c r="Z147" s="74"/>
      <c r="AA147" s="84">
        <f t="shared" si="39"/>
        <v>54084.556012822315</v>
      </c>
      <c r="AB147" s="132">
        <f t="shared" si="40"/>
        <v>75.221913786957316</v>
      </c>
      <c r="AD147" s="180">
        <v>-51089.407034372576</v>
      </c>
      <c r="AE147" s="187">
        <v>-41236.054807115914</v>
      </c>
      <c r="AF147" s="187">
        <v>-31233.806113363444</v>
      </c>
      <c r="AG147" s="187">
        <v>-21304.587948615408</v>
      </c>
      <c r="AH147" s="188">
        <v>-11221.475142344792</v>
      </c>
      <c r="AJ147" s="74">
        <f t="shared" si="41"/>
        <v>1130147.1508382424</v>
      </c>
      <c r="AK147" s="74">
        <f t="shared" si="42"/>
        <v>172240.10340000002</v>
      </c>
      <c r="AL147" s="74">
        <f t="shared" si="43"/>
        <v>1661929.7100743856</v>
      </c>
      <c r="AM147" s="74">
        <f t="shared" si="44"/>
        <v>3348196.9925903114</v>
      </c>
      <c r="AN147" s="74">
        <f t="shared" si="45"/>
        <v>-51089.407034372576</v>
      </c>
      <c r="AO147" s="74">
        <f t="shared" si="46"/>
        <v>-41236.054807115914</v>
      </c>
      <c r="AP147" s="74">
        <f t="shared" si="47"/>
        <v>-31233.806113363444</v>
      </c>
      <c r="AQ147" s="74">
        <f t="shared" si="48"/>
        <v>-21304.587948615408</v>
      </c>
      <c r="AR147" s="74">
        <f t="shared" si="49"/>
        <v>-11221.475142344792</v>
      </c>
      <c r="AS147" s="75">
        <v>434</v>
      </c>
      <c r="AT147" s="75"/>
      <c r="AU147" s="75"/>
      <c r="AV147" s="75">
        <v>7</v>
      </c>
      <c r="AW147" s="75">
        <v>1456.7437918463831</v>
      </c>
      <c r="AX147" s="75">
        <v>-298.99879983878623</v>
      </c>
      <c r="AY147" s="75">
        <v>394.69318713263459</v>
      </c>
      <c r="AZ147" s="316"/>
      <c r="BA147" s="74"/>
      <c r="BB147" s="74"/>
      <c r="BC147" s="74"/>
      <c r="BD147" s="74"/>
      <c r="BE147" s="74"/>
      <c r="BF147" s="74"/>
      <c r="BG147" s="74"/>
      <c r="BM147" s="316"/>
      <c r="BN147" s="74">
        <v>3576438.0074096886</v>
      </c>
      <c r="BO147" s="74">
        <v>3274471.3700000006</v>
      </c>
      <c r="BP147" s="74">
        <v>3643000</v>
      </c>
      <c r="BQ147" s="74">
        <v>159380.51</v>
      </c>
      <c r="BR147" s="74">
        <v>232000</v>
      </c>
      <c r="BS147" s="406">
        <f t="shared" si="50"/>
        <v>0.57626251437955656</v>
      </c>
      <c r="BT147" s="406">
        <f t="shared" si="51"/>
        <v>0.33333333333333337</v>
      </c>
      <c r="BU147" s="74">
        <f t="shared" si="52"/>
        <v>2115747.4776783749</v>
      </c>
      <c r="BV147" s="316"/>
      <c r="BW147" s="74">
        <v>6924635</v>
      </c>
      <c r="BX147" s="74">
        <v>3576438.0074096886</v>
      </c>
      <c r="BY147" s="74">
        <v>2763585.0119003579</v>
      </c>
      <c r="BZ147" s="74">
        <v>1461197.7576621159</v>
      </c>
      <c r="CA147" s="74">
        <f t="shared" si="53"/>
        <v>59124.580471353962</v>
      </c>
      <c r="CB147" s="74">
        <f t="shared" si="54"/>
        <v>-1904.7954410954628</v>
      </c>
      <c r="CC147" s="74">
        <f t="shared" si="55"/>
        <v>-1829.573527308507</v>
      </c>
      <c r="CD147" s="74">
        <f t="shared" si="56"/>
        <v>75.221913786955838</v>
      </c>
      <c r="CE147" s="74">
        <f t="shared" si="57"/>
        <v>-57.351953834650836</v>
      </c>
      <c r="CF147" s="74">
        <f t="shared" si="58"/>
        <v>-43.440620463646013</v>
      </c>
      <c r="CG147" s="74">
        <f t="shared" si="59"/>
        <v>-29.630859455651525</v>
      </c>
      <c r="CH147" s="74">
        <f t="shared" si="60"/>
        <v>-15.607058612437873</v>
      </c>
      <c r="CI147" s="74">
        <f t="shared" si="61"/>
        <v>-41236.054807113949</v>
      </c>
      <c r="CJ147" s="74">
        <f t="shared" si="62"/>
        <v>-31233.806113361483</v>
      </c>
      <c r="CK147" s="74">
        <f t="shared" si="63"/>
        <v>-21304.587948613447</v>
      </c>
      <c r="CL147" s="74">
        <f t="shared" si="64"/>
        <v>-11221.475142342832</v>
      </c>
      <c r="CM147" s="316"/>
      <c r="CN147" s="74">
        <v>1917.0342013173399</v>
      </c>
      <c r="CO147" s="74">
        <v>560.78173200000003</v>
      </c>
    </row>
    <row r="148" spans="1:93" x14ac:dyDescent="0.2">
      <c r="A148" s="74">
        <v>422</v>
      </c>
      <c r="B148" s="74" t="s">
        <v>268</v>
      </c>
      <c r="C148" s="74">
        <v>12</v>
      </c>
      <c r="D148" s="74">
        <v>10543</v>
      </c>
      <c r="E148" s="89">
        <v>23381609.390801221</v>
      </c>
      <c r="F148" s="74">
        <v>13874490.711304758</v>
      </c>
      <c r="G148" s="74">
        <v>3435798.3618000001</v>
      </c>
      <c r="H148" s="74">
        <v>3344634.7634000001</v>
      </c>
      <c r="I148" s="74">
        <v>3944265.7760815518</v>
      </c>
      <c r="J148" s="74">
        <v>2053186.3764515584</v>
      </c>
      <c r="K148" s="74">
        <v>1734438.7487365038</v>
      </c>
      <c r="L148" s="74">
        <v>-426638</v>
      </c>
      <c r="M148" s="75">
        <v>435200</v>
      </c>
      <c r="N148" s="75">
        <v>94549.430377381141</v>
      </c>
      <c r="O148" s="178">
        <f t="shared" ref="O148:O211" si="65">N148+M148+L148+K148+J148+I148+H148+G148+F148-E148</f>
        <v>5108316.77735053</v>
      </c>
      <c r="P148" s="179">
        <f t="shared" ref="P148:P211" si="66">O148/D148</f>
        <v>484.52212627814947</v>
      </c>
      <c r="Q148" s="74"/>
      <c r="R148" s="89">
        <v>78219295</v>
      </c>
      <c r="S148" s="74">
        <v>33532002.944412041</v>
      </c>
      <c r="T148" s="74">
        <v>5016952.1451000003</v>
      </c>
      <c r="U148" s="74">
        <v>35927220.151101768</v>
      </c>
      <c r="V148" s="74">
        <v>6847654.0230843779</v>
      </c>
      <c r="W148" s="74">
        <v>3444360.3618000001</v>
      </c>
      <c r="X148" s="178">
        <f t="shared" ref="X148:X211" si="67">W148+V148+U148+T148+S148-R148</f>
        <v>6548894.6254981905</v>
      </c>
      <c r="Y148" s="179">
        <f t="shared" ref="Y148:Y211" si="68">X148/D148</f>
        <v>621.16045010890548</v>
      </c>
      <c r="Z148" s="74"/>
      <c r="AA148" s="84">
        <f t="shared" ref="AA148:AA211" si="69">O148-X148</f>
        <v>-1440577.8481476605</v>
      </c>
      <c r="AB148" s="132">
        <f t="shared" ref="AB148:AB211" si="70">AA148/D148</f>
        <v>-136.63832383075601</v>
      </c>
      <c r="AD148" s="180">
        <v>1484496.9798302788</v>
      </c>
      <c r="AE148" s="187">
        <v>1312690.8359248086</v>
      </c>
      <c r="AF148" s="187">
        <v>1143068.0236553124</v>
      </c>
      <c r="AG148" s="187">
        <v>972374.33396259835</v>
      </c>
      <c r="AH148" s="188">
        <v>803937.26625260001</v>
      </c>
      <c r="AJ148" s="74">
        <f t="shared" ref="AJ148:AJ211" si="71">S148-F148</f>
        <v>19657512.233107284</v>
      </c>
      <c r="AK148" s="74">
        <f t="shared" ref="AK148:AK211" si="72">T148-H148</f>
        <v>1672317.3817000003</v>
      </c>
      <c r="AL148" s="74">
        <f t="shared" ref="AL148:AL211" si="73">U148-I148</f>
        <v>31982954.375020217</v>
      </c>
      <c r="AM148" s="74">
        <f t="shared" ref="AM148:AM211" si="74">R148-E148</f>
        <v>54837685.609198779</v>
      </c>
      <c r="AN148" s="74">
        <f t="shared" ref="AN148:AN211" si="75">AD148</f>
        <v>1484496.9798302788</v>
      </c>
      <c r="AO148" s="74">
        <f t="shared" ref="AO148:AO211" si="76">AE148</f>
        <v>1312690.8359248086</v>
      </c>
      <c r="AP148" s="74">
        <f t="shared" ref="AP148:AP211" si="77">AF148</f>
        <v>1143068.0236553124</v>
      </c>
      <c r="AQ148" s="74">
        <f t="shared" ref="AQ148:AQ211" si="78">AG148</f>
        <v>972374.33396259835</v>
      </c>
      <c r="AR148" s="74">
        <f t="shared" ref="AR148:AR211" si="79">AH148</f>
        <v>803937.26625260001</v>
      </c>
      <c r="AS148" s="75">
        <v>4003</v>
      </c>
      <c r="AT148" s="75"/>
      <c r="AU148" s="75"/>
      <c r="AV148" s="75">
        <v>0</v>
      </c>
      <c r="AW148" s="75">
        <v>28220.733960997743</v>
      </c>
      <c r="AX148" s="75">
        <v>-3482.5091524311711</v>
      </c>
      <c r="AY148" s="75">
        <v>4794.4676466328192</v>
      </c>
      <c r="AZ148" s="316"/>
      <c r="BA148" s="74"/>
      <c r="BB148" s="74"/>
      <c r="BC148" s="74"/>
      <c r="BD148" s="74"/>
      <c r="BE148" s="74"/>
      <c r="BF148" s="74"/>
      <c r="BG148" s="74"/>
      <c r="BM148" s="316"/>
      <c r="BN148" s="74">
        <v>23381609.390801221</v>
      </c>
      <c r="BO148" s="74">
        <v>52626929.759999998</v>
      </c>
      <c r="BP148" s="74">
        <v>57693000</v>
      </c>
      <c r="BQ148" s="74">
        <v>1081647.08</v>
      </c>
      <c r="BR148" s="74">
        <v>1149000</v>
      </c>
      <c r="BS148" s="406">
        <f t="shared" si="50"/>
        <v>0.58623137620781818</v>
      </c>
      <c r="BT148" s="406">
        <f t="shared" si="51"/>
        <v>0.33333333333333337</v>
      </c>
      <c r="BU148" s="74">
        <f t="shared" si="52"/>
        <v>38511860.770389542</v>
      </c>
      <c r="BV148" s="316"/>
      <c r="BW148" s="74">
        <v>78219295</v>
      </c>
      <c r="BX148" s="74">
        <v>23381609.390801221</v>
      </c>
      <c r="BY148" s="74">
        <v>41984753.451312043</v>
      </c>
      <c r="BZ148" s="74">
        <v>20654923.836504757</v>
      </c>
      <c r="CA148" s="74">
        <f t="shared" si="53"/>
        <v>1734438.7487365014</v>
      </c>
      <c r="CB148" s="74">
        <f t="shared" si="54"/>
        <v>621.16045010890457</v>
      </c>
      <c r="CC148" s="74">
        <f t="shared" si="55"/>
        <v>484.52212627814941</v>
      </c>
      <c r="CD148" s="74">
        <f t="shared" si="56"/>
        <v>-136.63832383075516</v>
      </c>
      <c r="CE148" s="74">
        <f t="shared" si="57"/>
        <v>124.50828378306016</v>
      </c>
      <c r="CF148" s="74">
        <f t="shared" si="58"/>
        <v>108.41961715406498</v>
      </c>
      <c r="CG148" s="74">
        <f t="shared" si="59"/>
        <v>92.229378162059461</v>
      </c>
      <c r="CH148" s="74">
        <f t="shared" si="60"/>
        <v>76.253179005273125</v>
      </c>
      <c r="CI148" s="74">
        <f t="shared" si="61"/>
        <v>1312690.8359248033</v>
      </c>
      <c r="CJ148" s="74">
        <f t="shared" si="62"/>
        <v>1143068.023655307</v>
      </c>
      <c r="CK148" s="74">
        <f t="shared" si="63"/>
        <v>972374.33396259288</v>
      </c>
      <c r="CL148" s="74">
        <f t="shared" si="64"/>
        <v>803937.26625259453</v>
      </c>
      <c r="CM148" s="316"/>
      <c r="CN148" s="74">
        <v>32768.887295016495</v>
      </c>
      <c r="CO148" s="74">
        <v>5444.7542659999999</v>
      </c>
    </row>
    <row r="149" spans="1:93" x14ac:dyDescent="0.2">
      <c r="A149" s="74">
        <v>423</v>
      </c>
      <c r="B149" s="74" t="s">
        <v>269</v>
      </c>
      <c r="C149" s="74">
        <v>2</v>
      </c>
      <c r="D149" s="74">
        <v>20291</v>
      </c>
      <c r="E149" s="89">
        <v>50952061.411391772</v>
      </c>
      <c r="F149" s="74">
        <v>28898511.79775187</v>
      </c>
      <c r="G149" s="74">
        <v>4609029.7652999992</v>
      </c>
      <c r="H149" s="74">
        <v>3538907.2325999998</v>
      </c>
      <c r="I149" s="74">
        <v>13412231.387511538</v>
      </c>
      <c r="J149" s="74">
        <v>2512092.842640399</v>
      </c>
      <c r="K149" s="74">
        <v>1467114.1862799476</v>
      </c>
      <c r="L149" s="74">
        <v>-1547743</v>
      </c>
      <c r="M149" s="75">
        <v>-391213</v>
      </c>
      <c r="N149" s="75">
        <v>232766.30214856632</v>
      </c>
      <c r="O149" s="178">
        <f t="shared" si="65"/>
        <v>1779636.1028405502</v>
      </c>
      <c r="P149" s="179">
        <f t="shared" si="66"/>
        <v>87.705687390495797</v>
      </c>
      <c r="Q149" s="74"/>
      <c r="R149" s="89">
        <v>114353731</v>
      </c>
      <c r="S149" s="74">
        <v>79639851.161177799</v>
      </c>
      <c r="T149" s="74">
        <v>5308360.8488999996</v>
      </c>
      <c r="U149" s="74">
        <v>20289225.381685372</v>
      </c>
      <c r="V149" s="74">
        <v>8378169.102211481</v>
      </c>
      <c r="W149" s="74">
        <v>2670073.7652999992</v>
      </c>
      <c r="X149" s="178">
        <f t="shared" si="67"/>
        <v>1931949.2592746615</v>
      </c>
      <c r="Y149" s="179">
        <f t="shared" si="68"/>
        <v>95.212126522825955</v>
      </c>
      <c r="Z149" s="74"/>
      <c r="AA149" s="84">
        <f t="shared" si="69"/>
        <v>-152313.1564341113</v>
      </c>
      <c r="AB149" s="132">
        <f t="shared" si="70"/>
        <v>-7.5064391323301614</v>
      </c>
      <c r="AD149" s="180">
        <v>236839.67649217398</v>
      </c>
      <c r="AE149" s="187">
        <v>58234.357392220852</v>
      </c>
      <c r="AF149" s="187">
        <v>36144.222823279684</v>
      </c>
      <c r="AG149" s="187">
        <v>11993.083436495792</v>
      </c>
      <c r="AH149" s="188">
        <v>-7814.973653855981</v>
      </c>
      <c r="AJ149" s="74">
        <f t="shared" si="71"/>
        <v>50741339.363425925</v>
      </c>
      <c r="AK149" s="74">
        <f t="shared" si="72"/>
        <v>1769453.6162999999</v>
      </c>
      <c r="AL149" s="74">
        <f t="shared" si="73"/>
        <v>6876993.9941738341</v>
      </c>
      <c r="AM149" s="74">
        <f t="shared" si="74"/>
        <v>63401669.588608228</v>
      </c>
      <c r="AN149" s="74">
        <f t="shared" si="75"/>
        <v>236839.67649217398</v>
      </c>
      <c r="AO149" s="74">
        <f t="shared" si="76"/>
        <v>58234.357392220852</v>
      </c>
      <c r="AP149" s="74">
        <f t="shared" si="77"/>
        <v>36144.222823279684</v>
      </c>
      <c r="AQ149" s="74">
        <f t="shared" si="78"/>
        <v>11993.083436495792</v>
      </c>
      <c r="AR149" s="74">
        <f t="shared" si="79"/>
        <v>-7814.973653855981</v>
      </c>
      <c r="AS149" s="75">
        <v>6542</v>
      </c>
      <c r="AT149" s="75"/>
      <c r="AU149" s="75"/>
      <c r="AV149" s="75">
        <v>15</v>
      </c>
      <c r="AW149" s="75">
        <v>10187.000145410142</v>
      </c>
      <c r="AX149" s="75">
        <v>2475.439919952848</v>
      </c>
      <c r="AY149" s="75">
        <v>5866.0762595710821</v>
      </c>
      <c r="AZ149" s="316"/>
      <c r="BA149" s="74"/>
      <c r="BB149" s="74"/>
      <c r="BC149" s="74"/>
      <c r="BD149" s="74"/>
      <c r="BE149" s="74"/>
      <c r="BF149" s="74"/>
      <c r="BG149" s="74"/>
      <c r="BM149" s="316"/>
      <c r="BN149" s="74">
        <v>50952061.411391772</v>
      </c>
      <c r="BO149" s="74">
        <v>58039767.820000015</v>
      </c>
      <c r="BP149" s="74">
        <v>61287000</v>
      </c>
      <c r="BQ149" s="74">
        <v>1499908.97</v>
      </c>
      <c r="BR149" s="74">
        <v>1541000</v>
      </c>
      <c r="BS149" s="406">
        <f t="shared" ref="BS149:BS212" si="80">1-F149/S149</f>
        <v>0.63713503508104141</v>
      </c>
      <c r="BT149" s="406">
        <f t="shared" ref="BT149:BT212" si="81">1-H149/T149</f>
        <v>0.33333333333333337</v>
      </c>
      <c r="BU149" s="74">
        <f t="shared" ref="BU149:BU212" si="82">(U149+V149)-(I149+J149)+K149</f>
        <v>14210184.440024862</v>
      </c>
      <c r="BV149" s="316"/>
      <c r="BW149" s="74">
        <v>114353731</v>
      </c>
      <c r="BX149" s="74">
        <v>50952061.411391772</v>
      </c>
      <c r="BY149" s="74">
        <v>89557241.77537781</v>
      </c>
      <c r="BZ149" s="74">
        <v>37046448.795651868</v>
      </c>
      <c r="CA149" s="74">
        <f t="shared" ref="CA149:CA212" si="83">((BX149-BW149)-N149+(BY149-BZ149)+AW149*1000+AY149*1000-AX149*1000-$BX$8)*0.6+(D149*-0.260310389757568)</f>
        <v>1467114.1862799446</v>
      </c>
      <c r="CB149" s="74">
        <f t="shared" ref="CB149:CB212" si="84">(-R149+S149+T149+U149+V149+W149)/D149</f>
        <v>95.212126522825358</v>
      </c>
      <c r="CC149" s="74">
        <f t="shared" ref="CC149:CC212" si="85">(-E149+F149+G149+H149+I149+J149+L149+CA149+M149+N149)/D149</f>
        <v>87.705687390495484</v>
      </c>
      <c r="CD149" s="74">
        <f t="shared" ref="CD149:CD212" si="86">CC149-CB149</f>
        <v>-7.5064391323298736</v>
      </c>
      <c r="CE149" s="74">
        <f t="shared" ref="CE149:CE212" si="87">(IF(CD149&lt;-15,-CD149-15,IF(CD149&gt;15,15-CD149,0)))-$BI$24</f>
        <v>2.8699599523050048</v>
      </c>
      <c r="CF149" s="74">
        <f t="shared" ref="CF149:CF212" si="88">(IF(CD149&lt;-30,-CD149-30,IF(CD149&gt;30,30-CD149,0)))-$BJ$24</f>
        <v>1.7812933233098263</v>
      </c>
      <c r="CG149" s="74">
        <f t="shared" ref="CG149:CG212" si="89">(IF(CD149&lt;-45,-CD149-45,IF(CD149&gt;45,45-CD149,0)))-$BK$24</f>
        <v>0.59105433130431184</v>
      </c>
      <c r="CH149" s="74">
        <f t="shared" ref="CH149:CH212" si="90">(IF(CD149&lt;-60,-CD149-60,IF(CD149&gt;60,60-CD149,0)))-$BL$24</f>
        <v>-0.38514482548203544</v>
      </c>
      <c r="CI149" s="74">
        <f t="shared" ref="CI149:CI212" si="91">CE149*$D149</f>
        <v>58234.357392220852</v>
      </c>
      <c r="CJ149" s="74">
        <f t="shared" ref="CJ149:CJ212" si="92">CF149*$D149</f>
        <v>36144.222823279684</v>
      </c>
      <c r="CK149" s="74">
        <f t="shared" ref="CK149:CK212" si="93">CG149*$D149</f>
        <v>11993.083436495792</v>
      </c>
      <c r="CL149" s="74">
        <f t="shared" ref="CL149:CL212" si="94">CH149*$D149</f>
        <v>-7814.973653855981</v>
      </c>
      <c r="CM149" s="316"/>
      <c r="CN149" s="74">
        <v>82165.42772341294</v>
      </c>
      <c r="CO149" s="74">
        <v>5761.0117739999996</v>
      </c>
    </row>
    <row r="150" spans="1:93" x14ac:dyDescent="0.2">
      <c r="A150" s="74">
        <v>425</v>
      </c>
      <c r="B150" s="74" t="s">
        <v>270</v>
      </c>
      <c r="C150" s="74">
        <v>17</v>
      </c>
      <c r="D150" s="74">
        <v>10218</v>
      </c>
      <c r="E150" s="89">
        <v>35986280.624911681</v>
      </c>
      <c r="F150" s="74">
        <v>15039157.16634262</v>
      </c>
      <c r="G150" s="74">
        <v>1568990.7608999999</v>
      </c>
      <c r="H150" s="74">
        <v>840742.51020000002</v>
      </c>
      <c r="I150" s="74">
        <v>21554719.866378069</v>
      </c>
      <c r="J150" s="74">
        <v>1206864.6941496516</v>
      </c>
      <c r="K150" s="74">
        <v>-1316064.6412269443</v>
      </c>
      <c r="L150" s="74">
        <v>648400</v>
      </c>
      <c r="M150" s="75">
        <v>-104000</v>
      </c>
      <c r="N150" s="75">
        <v>91387.327158457716</v>
      </c>
      <c r="O150" s="178">
        <f t="shared" si="65"/>
        <v>3543917.058990173</v>
      </c>
      <c r="P150" s="179">
        <f t="shared" si="66"/>
        <v>346.83079457723363</v>
      </c>
      <c r="Q150" s="74"/>
      <c r="R150" s="89">
        <v>65762088</v>
      </c>
      <c r="S150" s="74">
        <v>35235262.493515871</v>
      </c>
      <c r="T150" s="74">
        <v>1261113.7653000001</v>
      </c>
      <c r="U150" s="74">
        <v>24627252.387452416</v>
      </c>
      <c r="V150" s="74">
        <v>4025056.8448126158</v>
      </c>
      <c r="W150" s="74">
        <v>2113390.7609000001</v>
      </c>
      <c r="X150" s="178">
        <f t="shared" si="67"/>
        <v>1499988.2519809008</v>
      </c>
      <c r="Y150" s="179">
        <f t="shared" si="68"/>
        <v>146.79861538274622</v>
      </c>
      <c r="Z150" s="74"/>
      <c r="AA150" s="84">
        <f t="shared" si="69"/>
        <v>2043928.8070092723</v>
      </c>
      <c r="AB150" s="132">
        <f t="shared" si="70"/>
        <v>200.03217919448741</v>
      </c>
      <c r="AD150" s="180">
        <v>-2001363.532653481</v>
      </c>
      <c r="AE150" s="187">
        <v>-1861333.5562166122</v>
      </c>
      <c r="AF150" s="187">
        <v>-1719187.551831685</v>
      </c>
      <c r="AG150" s="187">
        <v>-1578079.4138519973</v>
      </c>
      <c r="AH150" s="188">
        <v>-1434784.2168360401</v>
      </c>
      <c r="AJ150" s="74">
        <f t="shared" si="71"/>
        <v>20196105.327173252</v>
      </c>
      <c r="AK150" s="74">
        <f t="shared" si="72"/>
        <v>420371.25510000007</v>
      </c>
      <c r="AL150" s="74">
        <f t="shared" si="73"/>
        <v>3072532.5210743472</v>
      </c>
      <c r="AM150" s="74">
        <f t="shared" si="74"/>
        <v>29775807.375088319</v>
      </c>
      <c r="AN150" s="74">
        <f t="shared" si="75"/>
        <v>-2001363.532653481</v>
      </c>
      <c r="AO150" s="74">
        <f t="shared" si="76"/>
        <v>-1861333.5562166122</v>
      </c>
      <c r="AP150" s="74">
        <f t="shared" si="77"/>
        <v>-1719187.551831685</v>
      </c>
      <c r="AQ150" s="74">
        <f t="shared" si="78"/>
        <v>-1578079.4138519973</v>
      </c>
      <c r="AR150" s="74">
        <f t="shared" si="79"/>
        <v>-1434784.2168360401</v>
      </c>
      <c r="AS150" s="75">
        <v>3921</v>
      </c>
      <c r="AT150" s="75"/>
      <c r="AU150" s="75"/>
      <c r="AV150" s="75">
        <v>52</v>
      </c>
      <c r="AW150" s="75">
        <v>1020.9885672903769</v>
      </c>
      <c r="AX150" s="75">
        <v>-3222.5294192461711</v>
      </c>
      <c r="AY150" s="75">
        <v>2818.1921506629642</v>
      </c>
      <c r="AZ150" s="316"/>
      <c r="BA150" s="74"/>
      <c r="BB150" s="74"/>
      <c r="BC150" s="74"/>
      <c r="BD150" s="74"/>
      <c r="BE150" s="74"/>
      <c r="BF150" s="74"/>
      <c r="BG150" s="74"/>
      <c r="BM150" s="316"/>
      <c r="BN150" s="74">
        <v>35986280.624911681</v>
      </c>
      <c r="BO150" s="74">
        <v>27224070.440000005</v>
      </c>
      <c r="BP150" s="74">
        <v>29777000</v>
      </c>
      <c r="BQ150" s="74">
        <v>772566.7</v>
      </c>
      <c r="BR150" s="74">
        <v>721000</v>
      </c>
      <c r="BS150" s="406">
        <f t="shared" si="80"/>
        <v>0.57317879584095099</v>
      </c>
      <c r="BT150" s="406">
        <f t="shared" si="81"/>
        <v>0.33333333333333337</v>
      </c>
      <c r="BU150" s="74">
        <f t="shared" si="82"/>
        <v>4574660.0305103688</v>
      </c>
      <c r="BV150" s="316"/>
      <c r="BW150" s="74">
        <v>65762088</v>
      </c>
      <c r="BX150" s="74">
        <v>35986280.624911681</v>
      </c>
      <c r="BY150" s="74">
        <v>38065367.019715868</v>
      </c>
      <c r="BZ150" s="74">
        <v>17448890.437442619</v>
      </c>
      <c r="CA150" s="74">
        <f t="shared" si="83"/>
        <v>-1316064.6412269529</v>
      </c>
      <c r="CB150" s="74">
        <f t="shared" si="84"/>
        <v>146.79861538274631</v>
      </c>
      <c r="CC150" s="74">
        <f t="shared" si="85"/>
        <v>346.83079457723272</v>
      </c>
      <c r="CD150" s="74">
        <f t="shared" si="86"/>
        <v>200.03217919448642</v>
      </c>
      <c r="CE150" s="74">
        <f t="shared" si="87"/>
        <v>-182.16221924218141</v>
      </c>
      <c r="CF150" s="74">
        <f t="shared" si="88"/>
        <v>-168.25088587117659</v>
      </c>
      <c r="CG150" s="74">
        <f t="shared" si="89"/>
        <v>-154.4411248631821</v>
      </c>
      <c r="CH150" s="74">
        <f t="shared" si="90"/>
        <v>-140.41732401996845</v>
      </c>
      <c r="CI150" s="74">
        <f t="shared" si="91"/>
        <v>-1861333.5562166097</v>
      </c>
      <c r="CJ150" s="74">
        <f t="shared" si="92"/>
        <v>-1719187.5518316824</v>
      </c>
      <c r="CK150" s="74">
        <f t="shared" si="93"/>
        <v>-1578079.4138519946</v>
      </c>
      <c r="CL150" s="74">
        <f t="shared" si="94"/>
        <v>-1434784.2168360376</v>
      </c>
      <c r="CM150" s="316"/>
      <c r="CN150" s="74">
        <v>36768.019551127851</v>
      </c>
      <c r="CO150" s="74">
        <v>1368.6505980000002</v>
      </c>
    </row>
    <row r="151" spans="1:93" x14ac:dyDescent="0.2">
      <c r="A151" s="74">
        <v>426</v>
      </c>
      <c r="B151" s="74" t="s">
        <v>271</v>
      </c>
      <c r="C151" s="74">
        <v>12</v>
      </c>
      <c r="D151" s="74">
        <v>11979</v>
      </c>
      <c r="E151" s="89">
        <v>31009399.458034486</v>
      </c>
      <c r="F151" s="74">
        <v>17347772.702833366</v>
      </c>
      <c r="G151" s="74">
        <v>2927636.1195</v>
      </c>
      <c r="H151" s="74">
        <v>1283433.9602000001</v>
      </c>
      <c r="I151" s="74">
        <v>10905022.60926909</v>
      </c>
      <c r="J151" s="74">
        <v>2119635.6041939361</v>
      </c>
      <c r="K151" s="74">
        <v>-310907.9001552905</v>
      </c>
      <c r="L151" s="74">
        <v>-2735730</v>
      </c>
      <c r="M151" s="75">
        <v>-100000</v>
      </c>
      <c r="N151" s="75">
        <v>103076.36375414203</v>
      </c>
      <c r="O151" s="178">
        <f t="shared" si="65"/>
        <v>530540.0015607588</v>
      </c>
      <c r="P151" s="179">
        <f t="shared" si="66"/>
        <v>44.28917284921603</v>
      </c>
      <c r="Q151" s="74"/>
      <c r="R151" s="89">
        <v>76206337.159999996</v>
      </c>
      <c r="S151" s="74">
        <v>39959514.441779375</v>
      </c>
      <c r="T151" s="74">
        <v>1925150.9402999999</v>
      </c>
      <c r="U151" s="74">
        <v>27314039.799205869</v>
      </c>
      <c r="V151" s="74">
        <v>7069271.1772305779</v>
      </c>
      <c r="W151" s="74">
        <v>91906.11950000003</v>
      </c>
      <c r="X151" s="178">
        <f t="shared" si="67"/>
        <v>153545.31801582873</v>
      </c>
      <c r="Y151" s="179">
        <f t="shared" si="68"/>
        <v>12.817874448270199</v>
      </c>
      <c r="Z151" s="74"/>
      <c r="AA151" s="84">
        <f t="shared" si="69"/>
        <v>376994.68354493007</v>
      </c>
      <c r="AB151" s="132">
        <f t="shared" si="70"/>
        <v>31.471298400945827</v>
      </c>
      <c r="AD151" s="180">
        <v>-327093.58533511078</v>
      </c>
      <c r="AE151" s="187">
        <v>-162930.43327626845</v>
      </c>
      <c r="AF151" s="187">
        <v>3713.4291749983076</v>
      </c>
      <c r="AG151" s="187">
        <v>7080.2398346943519</v>
      </c>
      <c r="AH151" s="188">
        <v>-4613.6498644493022</v>
      </c>
      <c r="AJ151" s="74">
        <f t="shared" si="71"/>
        <v>22611741.738946009</v>
      </c>
      <c r="AK151" s="74">
        <f t="shared" si="72"/>
        <v>641716.98009999981</v>
      </c>
      <c r="AL151" s="74">
        <f t="shared" si="73"/>
        <v>16409017.189936779</v>
      </c>
      <c r="AM151" s="74">
        <f t="shared" si="74"/>
        <v>45196937.701965511</v>
      </c>
      <c r="AN151" s="74">
        <f t="shared" si="75"/>
        <v>-327093.58533511078</v>
      </c>
      <c r="AO151" s="74">
        <f t="shared" si="76"/>
        <v>-162930.43327626845</v>
      </c>
      <c r="AP151" s="74">
        <f t="shared" si="77"/>
        <v>3713.4291749983076</v>
      </c>
      <c r="AQ151" s="74">
        <f t="shared" si="78"/>
        <v>7080.2398346943519</v>
      </c>
      <c r="AR151" s="74">
        <f t="shared" si="79"/>
        <v>-4613.6498644493022</v>
      </c>
      <c r="AS151" s="75">
        <v>3286</v>
      </c>
      <c r="AT151" s="75"/>
      <c r="AU151" s="75"/>
      <c r="AV151" s="75">
        <v>0</v>
      </c>
      <c r="AW151" s="75">
        <v>12270.803685356916</v>
      </c>
      <c r="AX151" s="75">
        <v>-4313.1333516194318</v>
      </c>
      <c r="AY151" s="75">
        <v>4949.6355730366422</v>
      </c>
      <c r="AZ151" s="316"/>
      <c r="BA151" s="74"/>
      <c r="BB151" s="74"/>
      <c r="BC151" s="74"/>
      <c r="BD151" s="74"/>
      <c r="BE151" s="74"/>
      <c r="BF151" s="74"/>
      <c r="BG151" s="74"/>
      <c r="BM151" s="316"/>
      <c r="BN151" s="74">
        <v>31009399.458034486</v>
      </c>
      <c r="BO151" s="74">
        <v>42935200.019999996</v>
      </c>
      <c r="BP151" s="74">
        <v>48247000</v>
      </c>
      <c r="BQ151" s="74">
        <v>1030425.2</v>
      </c>
      <c r="BR151" s="74">
        <v>1130000</v>
      </c>
      <c r="BS151" s="406">
        <f t="shared" si="80"/>
        <v>0.56586627877801421</v>
      </c>
      <c r="BT151" s="406">
        <f t="shared" si="81"/>
        <v>0.33333333333333326</v>
      </c>
      <c r="BU151" s="74">
        <f t="shared" si="82"/>
        <v>21047744.862818133</v>
      </c>
      <c r="BV151" s="316"/>
      <c r="BW151" s="74">
        <v>76206337.159999996</v>
      </c>
      <c r="BX151" s="74">
        <v>31009399.458034486</v>
      </c>
      <c r="BY151" s="74">
        <v>44812301.501579374</v>
      </c>
      <c r="BZ151" s="74">
        <v>21558842.782533366</v>
      </c>
      <c r="CA151" s="74">
        <f t="shared" si="83"/>
        <v>-310907.90015529754</v>
      </c>
      <c r="CB151" s="74">
        <f t="shared" si="84"/>
        <v>12.817874448270199</v>
      </c>
      <c r="CC151" s="74">
        <f t="shared" si="85"/>
        <v>44.289172849215404</v>
      </c>
      <c r="CD151" s="74">
        <f t="shared" si="86"/>
        <v>31.471298400945205</v>
      </c>
      <c r="CE151" s="74">
        <f t="shared" si="87"/>
        <v>-13.601338448640201</v>
      </c>
      <c r="CF151" s="74">
        <f t="shared" si="88"/>
        <v>0.30999492236462123</v>
      </c>
      <c r="CG151" s="74">
        <f t="shared" si="89"/>
        <v>0.59105433130431184</v>
      </c>
      <c r="CH151" s="74">
        <f t="shared" si="90"/>
        <v>-0.38514482548203544</v>
      </c>
      <c r="CI151" s="74">
        <f t="shared" si="91"/>
        <v>-162930.43327626097</v>
      </c>
      <c r="CJ151" s="74">
        <f t="shared" si="92"/>
        <v>3713.4291750057978</v>
      </c>
      <c r="CK151" s="74">
        <f t="shared" si="93"/>
        <v>7080.2398346943519</v>
      </c>
      <c r="CL151" s="74">
        <f t="shared" si="94"/>
        <v>-4613.6498644493022</v>
      </c>
      <c r="CM151" s="316"/>
      <c r="CN151" s="74">
        <v>41024.733246177188</v>
      </c>
      <c r="CO151" s="74">
        <v>2089.3110980000001</v>
      </c>
    </row>
    <row r="152" spans="1:93" x14ac:dyDescent="0.2">
      <c r="A152" s="74">
        <v>430</v>
      </c>
      <c r="B152" s="74" t="s">
        <v>273</v>
      </c>
      <c r="C152" s="74">
        <v>2</v>
      </c>
      <c r="D152" s="74">
        <v>15628</v>
      </c>
      <c r="E152" s="89">
        <v>35089385.35473156</v>
      </c>
      <c r="F152" s="74">
        <v>21458670.703507651</v>
      </c>
      <c r="G152" s="74">
        <v>4312389.1514999997</v>
      </c>
      <c r="H152" s="74">
        <v>3265283.3115999997</v>
      </c>
      <c r="I152" s="74">
        <v>7366939.7952515651</v>
      </c>
      <c r="J152" s="74">
        <v>3081851.8523283331</v>
      </c>
      <c r="K152" s="74">
        <v>526365.95899723028</v>
      </c>
      <c r="L152" s="74">
        <v>-1735378</v>
      </c>
      <c r="M152" s="75">
        <v>1400</v>
      </c>
      <c r="N152" s="75">
        <v>139110.23301784732</v>
      </c>
      <c r="O152" s="178">
        <f t="shared" si="65"/>
        <v>3327247.6514710635</v>
      </c>
      <c r="P152" s="179">
        <f t="shared" si="66"/>
        <v>212.90297232346197</v>
      </c>
      <c r="Q152" s="74"/>
      <c r="R152" s="89">
        <v>105683349</v>
      </c>
      <c r="S152" s="74">
        <v>51208529.778845407</v>
      </c>
      <c r="T152" s="74">
        <v>4897924.9673999995</v>
      </c>
      <c r="U152" s="74">
        <v>40226909.63117519</v>
      </c>
      <c r="V152" s="74">
        <v>10278392.393981509</v>
      </c>
      <c r="W152" s="74">
        <v>2578411.1514999997</v>
      </c>
      <c r="X152" s="178">
        <f t="shared" si="67"/>
        <v>3506818.9229021072</v>
      </c>
      <c r="Y152" s="179">
        <f t="shared" si="68"/>
        <v>224.39332754684588</v>
      </c>
      <c r="Z152" s="74"/>
      <c r="AA152" s="84">
        <f t="shared" si="69"/>
        <v>-179571.27143104374</v>
      </c>
      <c r="AB152" s="132">
        <f t="shared" si="70"/>
        <v>-11.49035522338391</v>
      </c>
      <c r="AD152" s="180">
        <v>244673.06313513618</v>
      </c>
      <c r="AE152" s="187">
        <v>44851.734134622617</v>
      </c>
      <c r="AF152" s="187">
        <v>27838.052056685963</v>
      </c>
      <c r="AG152" s="187">
        <v>9236.9970896237846</v>
      </c>
      <c r="AH152" s="188">
        <v>-6019.0433326332495</v>
      </c>
      <c r="AJ152" s="74">
        <f t="shared" si="71"/>
        <v>29749859.075337756</v>
      </c>
      <c r="AK152" s="74">
        <f t="shared" si="72"/>
        <v>1632641.6557999998</v>
      </c>
      <c r="AL152" s="74">
        <f t="shared" si="73"/>
        <v>32859969.835923627</v>
      </c>
      <c r="AM152" s="74">
        <f t="shared" si="74"/>
        <v>70593963.64526844</v>
      </c>
      <c r="AN152" s="74">
        <f t="shared" si="75"/>
        <v>244673.06313513618</v>
      </c>
      <c r="AO152" s="74">
        <f t="shared" si="76"/>
        <v>44851.734134622617</v>
      </c>
      <c r="AP152" s="74">
        <f t="shared" si="77"/>
        <v>27838.052056685963</v>
      </c>
      <c r="AQ152" s="74">
        <f t="shared" si="78"/>
        <v>9236.9970896237846</v>
      </c>
      <c r="AR152" s="74">
        <f t="shared" si="79"/>
        <v>-6019.0433326332495</v>
      </c>
      <c r="AS152" s="75">
        <v>4413</v>
      </c>
      <c r="AT152" s="75"/>
      <c r="AU152" s="75"/>
      <c r="AV152" s="75">
        <v>28</v>
      </c>
      <c r="AW152" s="75">
        <v>27962.574602222554</v>
      </c>
      <c r="AX152" s="75">
        <v>-5075.5148195533893</v>
      </c>
      <c r="AY152" s="75">
        <v>7196.5405416531758</v>
      </c>
      <c r="AZ152" s="316"/>
      <c r="BA152" s="74"/>
      <c r="BB152" s="74"/>
      <c r="BC152" s="74"/>
      <c r="BD152" s="74"/>
      <c r="BE152" s="74"/>
      <c r="BF152" s="74"/>
      <c r="BG152" s="74"/>
      <c r="BM152" s="316"/>
      <c r="BN152" s="74">
        <v>35089385.35473156</v>
      </c>
      <c r="BO152" s="74">
        <v>65635287.299999997</v>
      </c>
      <c r="BP152" s="74">
        <v>68777000</v>
      </c>
      <c r="BQ152" s="74">
        <v>1200326.47</v>
      </c>
      <c r="BR152" s="74">
        <v>1039000</v>
      </c>
      <c r="BS152" s="406">
        <f t="shared" si="80"/>
        <v>0.58095514953892757</v>
      </c>
      <c r="BT152" s="406">
        <f t="shared" si="81"/>
        <v>0.33333333333333337</v>
      </c>
      <c r="BU152" s="74">
        <f t="shared" si="82"/>
        <v>40582876.336574025</v>
      </c>
      <c r="BV152" s="316"/>
      <c r="BW152" s="74">
        <v>105683349</v>
      </c>
      <c r="BX152" s="74">
        <v>35089385.35473156</v>
      </c>
      <c r="BY152" s="74">
        <v>60418843.897745408</v>
      </c>
      <c r="BZ152" s="74">
        <v>29036343.166607648</v>
      </c>
      <c r="CA152" s="74">
        <f t="shared" si="83"/>
        <v>526365.95899722411</v>
      </c>
      <c r="CB152" s="74">
        <f t="shared" si="84"/>
        <v>224.39332754684574</v>
      </c>
      <c r="CC152" s="74">
        <f t="shared" si="85"/>
        <v>212.90297232346171</v>
      </c>
      <c r="CD152" s="74">
        <f t="shared" si="86"/>
        <v>-11.490355223384029</v>
      </c>
      <c r="CE152" s="74">
        <f t="shared" si="87"/>
        <v>2.8699599523050048</v>
      </c>
      <c r="CF152" s="74">
        <f t="shared" si="88"/>
        <v>1.7812933233098263</v>
      </c>
      <c r="CG152" s="74">
        <f t="shared" si="89"/>
        <v>0.59105433130431184</v>
      </c>
      <c r="CH152" s="74">
        <f t="shared" si="90"/>
        <v>-0.38514482548203544</v>
      </c>
      <c r="CI152" s="74">
        <f t="shared" si="91"/>
        <v>44851.734134622617</v>
      </c>
      <c r="CJ152" s="74">
        <f t="shared" si="92"/>
        <v>27838.052056685963</v>
      </c>
      <c r="CK152" s="74">
        <f t="shared" si="93"/>
        <v>9236.9970896237846</v>
      </c>
      <c r="CL152" s="74">
        <f t="shared" si="94"/>
        <v>-6019.0433326332495</v>
      </c>
      <c r="CM152" s="316"/>
      <c r="CN152" s="74">
        <v>51085.795504845039</v>
      </c>
      <c r="CO152" s="74">
        <v>5315.5774839999995</v>
      </c>
    </row>
    <row r="153" spans="1:93" x14ac:dyDescent="0.2">
      <c r="A153" s="74">
        <v>433</v>
      </c>
      <c r="B153" s="74" t="s">
        <v>274</v>
      </c>
      <c r="C153" s="74">
        <v>5</v>
      </c>
      <c r="D153" s="74">
        <v>7799</v>
      </c>
      <c r="E153" s="89">
        <v>20751178.752973355</v>
      </c>
      <c r="F153" s="74">
        <v>12071055.944718704</v>
      </c>
      <c r="G153" s="74">
        <v>2175882.9679999999</v>
      </c>
      <c r="H153" s="74">
        <v>1510542.1495999999</v>
      </c>
      <c r="I153" s="74">
        <v>4666887.9597741449</v>
      </c>
      <c r="J153" s="74">
        <v>1466646.019377856</v>
      </c>
      <c r="K153" s="74">
        <v>575408.2609469922</v>
      </c>
      <c r="L153" s="74">
        <v>-585101</v>
      </c>
      <c r="M153" s="75">
        <v>-283000</v>
      </c>
      <c r="N153" s="75">
        <v>73701.633675556077</v>
      </c>
      <c r="O153" s="178">
        <f t="shared" si="65"/>
        <v>920845.1831198968</v>
      </c>
      <c r="P153" s="179">
        <f t="shared" si="66"/>
        <v>118.07221222206653</v>
      </c>
      <c r="Q153" s="74"/>
      <c r="R153" s="89">
        <v>49434500</v>
      </c>
      <c r="S153" s="74">
        <v>27942466.621019244</v>
      </c>
      <c r="T153" s="74">
        <v>2265813.2244000002</v>
      </c>
      <c r="U153" s="74">
        <v>14431679.797632411</v>
      </c>
      <c r="V153" s="74">
        <v>4891462.670033168</v>
      </c>
      <c r="W153" s="74">
        <v>1307781.9679999999</v>
      </c>
      <c r="X153" s="178">
        <f t="shared" si="67"/>
        <v>1404704.2810848206</v>
      </c>
      <c r="Y153" s="179">
        <f t="shared" si="68"/>
        <v>180.11338390624704</v>
      </c>
      <c r="Z153" s="74"/>
      <c r="AA153" s="84">
        <f t="shared" si="69"/>
        <v>-483859.09796492383</v>
      </c>
      <c r="AB153" s="132">
        <f t="shared" si="70"/>
        <v>-62.041171684180512</v>
      </c>
      <c r="AD153" s="180">
        <v>516347.50809418561</v>
      </c>
      <c r="AE153" s="187">
        <v>389256.91563295439</v>
      </c>
      <c r="AF153" s="187">
        <v>263781.40459342103</v>
      </c>
      <c r="AG153" s="187">
        <v>137513.73069477003</v>
      </c>
      <c r="AH153" s="188">
        <v>12915.353470993294</v>
      </c>
      <c r="AJ153" s="74">
        <f t="shared" si="71"/>
        <v>15871410.676300541</v>
      </c>
      <c r="AK153" s="74">
        <f t="shared" si="72"/>
        <v>755271.07480000029</v>
      </c>
      <c r="AL153" s="74">
        <f t="shared" si="73"/>
        <v>9764791.8378582671</v>
      </c>
      <c r="AM153" s="74">
        <f t="shared" si="74"/>
        <v>28683321.247026645</v>
      </c>
      <c r="AN153" s="74">
        <f t="shared" si="75"/>
        <v>516347.50809418561</v>
      </c>
      <c r="AO153" s="74">
        <f t="shared" si="76"/>
        <v>389256.91563295439</v>
      </c>
      <c r="AP153" s="74">
        <f t="shared" si="77"/>
        <v>263781.40459342103</v>
      </c>
      <c r="AQ153" s="74">
        <f t="shared" si="78"/>
        <v>137513.73069477003</v>
      </c>
      <c r="AR153" s="74">
        <f t="shared" si="79"/>
        <v>12915.353470993294</v>
      </c>
      <c r="AS153" s="75">
        <v>2282</v>
      </c>
      <c r="AT153" s="75"/>
      <c r="AU153" s="75"/>
      <c r="AV153" s="75">
        <v>121</v>
      </c>
      <c r="AW153" s="75">
        <v>7979.6930177320055</v>
      </c>
      <c r="AX153" s="75">
        <v>-1688.2288306755222</v>
      </c>
      <c r="AY153" s="75">
        <v>3424.8166506553121</v>
      </c>
      <c r="AZ153" s="316"/>
      <c r="BA153" s="74"/>
      <c r="BB153" s="74"/>
      <c r="BC153" s="74"/>
      <c r="BD153" s="74"/>
      <c r="BE153" s="74"/>
      <c r="BF153" s="74"/>
      <c r="BG153" s="74"/>
      <c r="BM153" s="316"/>
      <c r="BN153" s="74">
        <v>20751178.752973355</v>
      </c>
      <c r="BO153" s="74">
        <v>27268583.149999999</v>
      </c>
      <c r="BP153" s="74">
        <v>29385000</v>
      </c>
      <c r="BQ153" s="74">
        <v>472769.06</v>
      </c>
      <c r="BR153" s="74">
        <v>512000</v>
      </c>
      <c r="BS153" s="406">
        <f t="shared" si="80"/>
        <v>0.56800320786145431</v>
      </c>
      <c r="BT153" s="406">
        <f t="shared" si="81"/>
        <v>0.33333333333333348</v>
      </c>
      <c r="BU153" s="74">
        <f t="shared" si="82"/>
        <v>13765016.749460571</v>
      </c>
      <c r="BV153" s="316"/>
      <c r="BW153" s="74">
        <v>49434500</v>
      </c>
      <c r="BX153" s="74">
        <v>20751178.752973355</v>
      </c>
      <c r="BY153" s="74">
        <v>32384162.813419241</v>
      </c>
      <c r="BZ153" s="74">
        <v>15757481.062318703</v>
      </c>
      <c r="CA153" s="74">
        <f t="shared" si="83"/>
        <v>575408.26094698661</v>
      </c>
      <c r="CB153" s="74">
        <f t="shared" si="84"/>
        <v>180.11338390624721</v>
      </c>
      <c r="CC153" s="74">
        <f t="shared" si="85"/>
        <v>118.07221222206597</v>
      </c>
      <c r="CD153" s="74">
        <f t="shared" si="86"/>
        <v>-62.041171684181236</v>
      </c>
      <c r="CE153" s="74">
        <f t="shared" si="87"/>
        <v>49.911131636486239</v>
      </c>
      <c r="CF153" s="74">
        <f t="shared" si="88"/>
        <v>33.822465007491061</v>
      </c>
      <c r="CG153" s="74">
        <f t="shared" si="89"/>
        <v>17.63222601548555</v>
      </c>
      <c r="CH153" s="74">
        <f t="shared" si="90"/>
        <v>1.6560268586992009</v>
      </c>
      <c r="CI153" s="74">
        <f t="shared" si="91"/>
        <v>389256.9156329562</v>
      </c>
      <c r="CJ153" s="74">
        <f t="shared" si="92"/>
        <v>263781.40459342278</v>
      </c>
      <c r="CK153" s="74">
        <f t="shared" si="93"/>
        <v>137513.7306947718</v>
      </c>
      <c r="CL153" s="74">
        <f t="shared" si="94"/>
        <v>12915.353470995067</v>
      </c>
      <c r="CM153" s="316"/>
      <c r="CN153" s="74">
        <v>28881.44731567186</v>
      </c>
      <c r="CO153" s="74">
        <v>2459.0221039999997</v>
      </c>
    </row>
    <row r="154" spans="1:93" x14ac:dyDescent="0.2">
      <c r="A154" s="74">
        <v>434</v>
      </c>
      <c r="B154" s="74" t="s">
        <v>275</v>
      </c>
      <c r="C154" s="74">
        <v>34</v>
      </c>
      <c r="D154" s="74">
        <v>14643</v>
      </c>
      <c r="E154" s="89">
        <v>42469782.643320017</v>
      </c>
      <c r="F154" s="74">
        <v>20657423.408500582</v>
      </c>
      <c r="G154" s="74">
        <v>8559232.8570000008</v>
      </c>
      <c r="H154" s="74">
        <v>4640286.1416000007</v>
      </c>
      <c r="I154" s="74">
        <v>6156648.4485821528</v>
      </c>
      <c r="J154" s="74">
        <v>2588680.1284472169</v>
      </c>
      <c r="K154" s="74">
        <v>2242491.3071369282</v>
      </c>
      <c r="L154" s="74">
        <v>-811207</v>
      </c>
      <c r="M154" s="75">
        <v>1764200</v>
      </c>
      <c r="N154" s="75">
        <v>152508.78619957383</v>
      </c>
      <c r="O154" s="178">
        <f t="shared" si="65"/>
        <v>3480481.4341464415</v>
      </c>
      <c r="P154" s="179">
        <f t="shared" si="66"/>
        <v>237.68909609686824</v>
      </c>
      <c r="Q154" s="74"/>
      <c r="R154" s="89">
        <v>100516214.59</v>
      </c>
      <c r="S154" s="74">
        <v>52742420.711514913</v>
      </c>
      <c r="T154" s="74">
        <v>6960429.2124000005</v>
      </c>
      <c r="U154" s="74">
        <v>27517234.568221588</v>
      </c>
      <c r="V154" s="74">
        <v>8633598.0500104371</v>
      </c>
      <c r="W154" s="74">
        <v>9512225.8570000008</v>
      </c>
      <c r="X154" s="178">
        <f t="shared" si="67"/>
        <v>4849693.8091469407</v>
      </c>
      <c r="Y154" s="179">
        <f t="shared" si="68"/>
        <v>331.19537042593328</v>
      </c>
      <c r="Z154" s="74"/>
      <c r="AA154" s="84">
        <f t="shared" si="69"/>
        <v>-1369212.3750004992</v>
      </c>
      <c r="AB154" s="132">
        <f t="shared" si="70"/>
        <v>-93.506274329065022</v>
      </c>
      <c r="AD154" s="180">
        <v>1430210.9375755377</v>
      </c>
      <c r="AE154" s="187">
        <v>1191592.1985821016</v>
      </c>
      <c r="AF154" s="187">
        <v>956005.85313372512</v>
      </c>
      <c r="AG154" s="187">
        <v>718932.18357378838</v>
      </c>
      <c r="AH154" s="188">
        <v>484992.69932096585</v>
      </c>
      <c r="AJ154" s="74">
        <f t="shared" si="71"/>
        <v>32084997.303014331</v>
      </c>
      <c r="AK154" s="74">
        <f t="shared" si="72"/>
        <v>2320143.0707999999</v>
      </c>
      <c r="AL154" s="74">
        <f t="shared" si="73"/>
        <v>21360586.119639434</v>
      </c>
      <c r="AM154" s="74">
        <f t="shared" si="74"/>
        <v>58046431.946679987</v>
      </c>
      <c r="AN154" s="74">
        <f t="shared" si="75"/>
        <v>1430210.9375755377</v>
      </c>
      <c r="AO154" s="74">
        <f t="shared" si="76"/>
        <v>1191592.1985821016</v>
      </c>
      <c r="AP154" s="74">
        <f t="shared" si="77"/>
        <v>956005.85313372512</v>
      </c>
      <c r="AQ154" s="74">
        <f t="shared" si="78"/>
        <v>718932.18357378838</v>
      </c>
      <c r="AR154" s="74">
        <f t="shared" si="79"/>
        <v>484992.69932096585</v>
      </c>
      <c r="AS154" s="75">
        <v>6902</v>
      </c>
      <c r="AT154" s="75"/>
      <c r="AU154" s="75"/>
      <c r="AV154" s="75">
        <v>17</v>
      </c>
      <c r="AW154" s="75">
        <v>19906.00301852126</v>
      </c>
      <c r="AX154" s="75">
        <v>-1586.7178059376542</v>
      </c>
      <c r="AY154" s="75">
        <v>6044.9179215632203</v>
      </c>
      <c r="AZ154" s="316"/>
      <c r="BA154" s="74"/>
      <c r="BB154" s="74"/>
      <c r="BC154" s="74"/>
      <c r="BD154" s="74"/>
      <c r="BE154" s="74"/>
      <c r="BF154" s="74"/>
      <c r="BG154" s="74"/>
      <c r="BM154" s="316"/>
      <c r="BN154" s="74">
        <v>42469782.643320017</v>
      </c>
      <c r="BO154" s="74">
        <v>53249940.019999996</v>
      </c>
      <c r="BP154" s="74">
        <v>55608000</v>
      </c>
      <c r="BQ154" s="74">
        <v>1994615.73</v>
      </c>
      <c r="BR154" s="74">
        <v>2252000</v>
      </c>
      <c r="BS154" s="406">
        <f t="shared" si="80"/>
        <v>0.60833380171360663</v>
      </c>
      <c r="BT154" s="406">
        <f t="shared" si="81"/>
        <v>0.33333333333333326</v>
      </c>
      <c r="BU154" s="74">
        <f t="shared" si="82"/>
        <v>29647995.348339584</v>
      </c>
      <c r="BV154" s="316"/>
      <c r="BW154" s="74">
        <v>100516214.59</v>
      </c>
      <c r="BX154" s="74">
        <v>42469782.643320017</v>
      </c>
      <c r="BY154" s="74">
        <v>68262082.780914903</v>
      </c>
      <c r="BZ154" s="74">
        <v>33856942.407100581</v>
      </c>
      <c r="CA154" s="74">
        <f t="shared" si="83"/>
        <v>2242491.3071369156</v>
      </c>
      <c r="CB154" s="74">
        <f t="shared" si="84"/>
        <v>331.19537042593259</v>
      </c>
      <c r="CC154" s="74">
        <f t="shared" si="85"/>
        <v>237.68909609686725</v>
      </c>
      <c r="CD154" s="74">
        <f t="shared" si="86"/>
        <v>-93.506274329065349</v>
      </c>
      <c r="CE154" s="74">
        <f t="shared" si="87"/>
        <v>81.376234281370358</v>
      </c>
      <c r="CF154" s="74">
        <f t="shared" si="88"/>
        <v>65.287567652375174</v>
      </c>
      <c r="CG154" s="74">
        <f t="shared" si="89"/>
        <v>49.097328660369662</v>
      </c>
      <c r="CH154" s="74">
        <f t="shared" si="90"/>
        <v>33.121129503583312</v>
      </c>
      <c r="CI154" s="74">
        <f t="shared" si="91"/>
        <v>1191592.1985821063</v>
      </c>
      <c r="CJ154" s="74">
        <f t="shared" si="92"/>
        <v>956005.85313372966</v>
      </c>
      <c r="CK154" s="74">
        <f t="shared" si="93"/>
        <v>718932.18357379292</v>
      </c>
      <c r="CL154" s="74">
        <f t="shared" si="94"/>
        <v>484992.69932097045</v>
      </c>
      <c r="CM154" s="316"/>
      <c r="CN154" s="74">
        <v>53325.253721371519</v>
      </c>
      <c r="CO154" s="74">
        <v>7553.9541840000002</v>
      </c>
    </row>
    <row r="155" spans="1:93" x14ac:dyDescent="0.2">
      <c r="A155" s="74">
        <v>435</v>
      </c>
      <c r="B155" s="74" t="s">
        <v>276</v>
      </c>
      <c r="C155" s="74">
        <v>13</v>
      </c>
      <c r="D155" s="74">
        <v>703</v>
      </c>
      <c r="E155" s="89">
        <v>2072993.0435619289</v>
      </c>
      <c r="F155" s="74">
        <v>638034.95447282586</v>
      </c>
      <c r="G155" s="74">
        <v>626451.41800000006</v>
      </c>
      <c r="H155" s="74">
        <v>236509.0816</v>
      </c>
      <c r="I155" s="74">
        <v>140903.88575929988</v>
      </c>
      <c r="J155" s="74">
        <v>150441.5968184431</v>
      </c>
      <c r="K155" s="74">
        <v>281995.3078204405</v>
      </c>
      <c r="L155" s="74">
        <v>-182564</v>
      </c>
      <c r="M155" s="75">
        <v>5150</v>
      </c>
      <c r="N155" s="75">
        <v>6259.2166714947962</v>
      </c>
      <c r="O155" s="178">
        <f t="shared" si="65"/>
        <v>-169811.58241942478</v>
      </c>
      <c r="P155" s="179">
        <f t="shared" si="66"/>
        <v>-241.55274881852742</v>
      </c>
      <c r="Q155" s="74"/>
      <c r="R155" s="89">
        <v>5261320</v>
      </c>
      <c r="S155" s="74">
        <v>1931825.1461716483</v>
      </c>
      <c r="T155" s="74">
        <v>354763.62239999999</v>
      </c>
      <c r="U155" s="74">
        <v>2193515.9797020713</v>
      </c>
      <c r="V155" s="74">
        <v>501743.05533502309</v>
      </c>
      <c r="W155" s="74">
        <v>449037.41800000006</v>
      </c>
      <c r="X155" s="178">
        <f t="shared" si="67"/>
        <v>169565.22160874214</v>
      </c>
      <c r="Y155" s="179">
        <f t="shared" si="68"/>
        <v>241.20230669806847</v>
      </c>
      <c r="Z155" s="74"/>
      <c r="AA155" s="84">
        <f t="shared" si="69"/>
        <v>-339376.80402816692</v>
      </c>
      <c r="AB155" s="132">
        <f t="shared" si="70"/>
        <v>-482.75505551659592</v>
      </c>
      <c r="AD155" s="180">
        <v>342305.30156898953</v>
      </c>
      <c r="AE155" s="187">
        <v>330849.38587463828</v>
      </c>
      <c r="AF155" s="187">
        <v>319539.05323445465</v>
      </c>
      <c r="AG155" s="187">
        <v>308157.31522307475</v>
      </c>
      <c r="AH155" s="188">
        <v>296926.04721585399</v>
      </c>
      <c r="AJ155" s="74">
        <f t="shared" si="71"/>
        <v>1293790.1916988224</v>
      </c>
      <c r="AK155" s="74">
        <f t="shared" si="72"/>
        <v>118254.54079999999</v>
      </c>
      <c r="AL155" s="74">
        <f t="shared" si="73"/>
        <v>2052612.0939427714</v>
      </c>
      <c r="AM155" s="74">
        <f t="shared" si="74"/>
        <v>3188326.9564380711</v>
      </c>
      <c r="AN155" s="74">
        <f t="shared" si="75"/>
        <v>342305.30156898953</v>
      </c>
      <c r="AO155" s="74">
        <f t="shared" si="76"/>
        <v>330849.38587463828</v>
      </c>
      <c r="AP155" s="74">
        <f t="shared" si="77"/>
        <v>319539.05323445465</v>
      </c>
      <c r="AQ155" s="74">
        <f t="shared" si="78"/>
        <v>308157.31522307475</v>
      </c>
      <c r="AR155" s="74">
        <f t="shared" si="79"/>
        <v>296926.04721585399</v>
      </c>
      <c r="AS155" s="75">
        <v>222</v>
      </c>
      <c r="AT155" s="75"/>
      <c r="AU155" s="75"/>
      <c r="AV155" s="75">
        <v>0</v>
      </c>
      <c r="AW155" s="75">
        <v>1723.1277495159425</v>
      </c>
      <c r="AX155" s="75">
        <v>-178.4094092856202</v>
      </c>
      <c r="AY155" s="75">
        <v>351.30145851658</v>
      </c>
      <c r="AZ155" s="316"/>
      <c r="BA155" s="74"/>
      <c r="BB155" s="74"/>
      <c r="BC155" s="74"/>
      <c r="BD155" s="74"/>
      <c r="BE155" s="74"/>
      <c r="BF155" s="74"/>
      <c r="BG155" s="74"/>
      <c r="BM155" s="316"/>
      <c r="BN155" s="74">
        <v>2072993.0435619289</v>
      </c>
      <c r="BO155" s="74">
        <v>2929825.7</v>
      </c>
      <c r="BP155" s="74">
        <v>3297000</v>
      </c>
      <c r="BQ155" s="74">
        <v>63004.38</v>
      </c>
      <c r="BR155" s="74">
        <v>60000</v>
      </c>
      <c r="BS155" s="406">
        <f t="shared" si="80"/>
        <v>0.66972427305999327</v>
      </c>
      <c r="BT155" s="406">
        <f t="shared" si="81"/>
        <v>0.33333333333333326</v>
      </c>
      <c r="BU155" s="74">
        <f t="shared" si="82"/>
        <v>2685908.860279792</v>
      </c>
      <c r="BV155" s="316"/>
      <c r="BW155" s="74">
        <v>5261320</v>
      </c>
      <c r="BX155" s="74">
        <v>2072993.0435619289</v>
      </c>
      <c r="BY155" s="74">
        <v>2913040.1865716483</v>
      </c>
      <c r="BZ155" s="74">
        <v>1500995.4540728258</v>
      </c>
      <c r="CA155" s="74">
        <f t="shared" si="83"/>
        <v>281995.30782044004</v>
      </c>
      <c r="CB155" s="74">
        <f t="shared" si="84"/>
        <v>241.20230669806864</v>
      </c>
      <c r="CC155" s="74">
        <f t="shared" si="85"/>
        <v>-241.55274881852796</v>
      </c>
      <c r="CD155" s="74">
        <f t="shared" si="86"/>
        <v>-482.7550555165966</v>
      </c>
      <c r="CE155" s="74">
        <f t="shared" si="87"/>
        <v>470.62501546890161</v>
      </c>
      <c r="CF155" s="74">
        <f t="shared" si="88"/>
        <v>454.53634883990645</v>
      </c>
      <c r="CG155" s="74">
        <f t="shared" si="89"/>
        <v>438.34610984790089</v>
      </c>
      <c r="CH155" s="74">
        <f t="shared" si="90"/>
        <v>422.36991069111457</v>
      </c>
      <c r="CI155" s="74">
        <f t="shared" si="91"/>
        <v>330849.38587463781</v>
      </c>
      <c r="CJ155" s="74">
        <f t="shared" si="92"/>
        <v>319539.05323445424</v>
      </c>
      <c r="CK155" s="74">
        <f t="shared" si="93"/>
        <v>308157.31522307434</v>
      </c>
      <c r="CL155" s="74">
        <f t="shared" si="94"/>
        <v>296926.04721585353</v>
      </c>
      <c r="CM155" s="316"/>
      <c r="CN155" s="74">
        <v>2070.0160163936725</v>
      </c>
      <c r="CO155" s="74">
        <v>385.01478400000002</v>
      </c>
    </row>
    <row r="156" spans="1:93" x14ac:dyDescent="0.2">
      <c r="A156" s="74">
        <v>436</v>
      </c>
      <c r="B156" s="74" t="s">
        <v>277</v>
      </c>
      <c r="C156" s="74">
        <v>17</v>
      </c>
      <c r="D156" s="74">
        <v>2018</v>
      </c>
      <c r="E156" s="89">
        <v>6493909.0629043775</v>
      </c>
      <c r="F156" s="74">
        <v>2414520.4874580512</v>
      </c>
      <c r="G156" s="74">
        <v>326465.24050000001</v>
      </c>
      <c r="H156" s="74">
        <v>157773.48440000002</v>
      </c>
      <c r="I156" s="74">
        <v>3823791.3723076023</v>
      </c>
      <c r="J156" s="74">
        <v>324913.7536342073</v>
      </c>
      <c r="K156" s="74">
        <v>348525.13529645506</v>
      </c>
      <c r="L156" s="74">
        <v>-336778</v>
      </c>
      <c r="M156" s="75">
        <v>-36000</v>
      </c>
      <c r="N156" s="75">
        <v>15228.19772657113</v>
      </c>
      <c r="O156" s="178">
        <f t="shared" si="65"/>
        <v>544530.6084185103</v>
      </c>
      <c r="P156" s="179">
        <f t="shared" si="66"/>
        <v>269.83677325000508</v>
      </c>
      <c r="Q156" s="74"/>
      <c r="R156" s="89">
        <v>12750574</v>
      </c>
      <c r="S156" s="74">
        <v>5771031.0982817942</v>
      </c>
      <c r="T156" s="74">
        <v>236660.22659999999</v>
      </c>
      <c r="U156" s="74">
        <v>6317219.2341309004</v>
      </c>
      <c r="V156" s="74">
        <v>1083631.2756340844</v>
      </c>
      <c r="W156" s="74">
        <v>-46312.759499999986</v>
      </c>
      <c r="X156" s="178">
        <f t="shared" si="67"/>
        <v>611655.07514677942</v>
      </c>
      <c r="Y156" s="179">
        <f t="shared" si="68"/>
        <v>303.09964080613452</v>
      </c>
      <c r="Z156" s="74"/>
      <c r="AA156" s="84">
        <f t="shared" si="69"/>
        <v>-67124.466728269123</v>
      </c>
      <c r="AB156" s="132">
        <f t="shared" si="70"/>
        <v>-33.262867556129393</v>
      </c>
      <c r="AD156" s="180">
        <v>75530.879299219538</v>
      </c>
      <c r="AE156" s="187">
        <v>42646.045912020592</v>
      </c>
      <c r="AF156" s="187">
        <v>10179.116654708318</v>
      </c>
      <c r="AG156" s="187">
        <v>1192.7476405721013</v>
      </c>
      <c r="AH156" s="188">
        <v>-777.22225782274757</v>
      </c>
      <c r="AJ156" s="74">
        <f t="shared" si="71"/>
        <v>3356510.610823743</v>
      </c>
      <c r="AK156" s="74">
        <f t="shared" si="72"/>
        <v>78886.742199999979</v>
      </c>
      <c r="AL156" s="74">
        <f t="shared" si="73"/>
        <v>2493427.861823298</v>
      </c>
      <c r="AM156" s="74">
        <f t="shared" si="74"/>
        <v>6256664.9370956225</v>
      </c>
      <c r="AN156" s="74">
        <f t="shared" si="75"/>
        <v>75530.879299219538</v>
      </c>
      <c r="AO156" s="74">
        <f t="shared" si="76"/>
        <v>42646.045912020592</v>
      </c>
      <c r="AP156" s="74">
        <f t="shared" si="77"/>
        <v>10179.116654708318</v>
      </c>
      <c r="AQ156" s="74">
        <f t="shared" si="78"/>
        <v>1192.7476405721013</v>
      </c>
      <c r="AR156" s="74">
        <f t="shared" si="79"/>
        <v>-777.22225782274757</v>
      </c>
      <c r="AS156" s="75">
        <v>802</v>
      </c>
      <c r="AT156" s="75"/>
      <c r="AU156" s="75"/>
      <c r="AV156" s="75">
        <v>8</v>
      </c>
      <c r="AW156" s="75">
        <v>1575.218302241547</v>
      </c>
      <c r="AX156" s="75">
        <v>-1084.3106936620006</v>
      </c>
      <c r="AY156" s="75">
        <v>758.71752199987702</v>
      </c>
      <c r="AZ156" s="316"/>
      <c r="BA156" s="74"/>
      <c r="BB156" s="74"/>
      <c r="BC156" s="74"/>
      <c r="BD156" s="74"/>
      <c r="BE156" s="74"/>
      <c r="BF156" s="74"/>
      <c r="BG156" s="74"/>
      <c r="BM156" s="316"/>
      <c r="BN156" s="74">
        <v>6493909.0629043775</v>
      </c>
      <c r="BO156" s="74">
        <v>5886749.2199999988</v>
      </c>
      <c r="BP156" s="74">
        <v>7362000</v>
      </c>
      <c r="BQ156" s="74">
        <v>140577.12</v>
      </c>
      <c r="BR156" s="74">
        <v>135000</v>
      </c>
      <c r="BS156" s="406">
        <f t="shared" si="80"/>
        <v>0.58161367590326707</v>
      </c>
      <c r="BT156" s="406">
        <f t="shared" si="81"/>
        <v>0.33333333333333326</v>
      </c>
      <c r="BU156" s="74">
        <f t="shared" si="82"/>
        <v>3600670.5191196296</v>
      </c>
      <c r="BV156" s="316"/>
      <c r="BW156" s="74">
        <v>12750574</v>
      </c>
      <c r="BX156" s="74">
        <v>6493909.0629043775</v>
      </c>
      <c r="BY156" s="74">
        <v>6334156.5653817942</v>
      </c>
      <c r="BZ156" s="74">
        <v>2898759.212358051</v>
      </c>
      <c r="CA156" s="74">
        <f t="shared" si="83"/>
        <v>348525.13529645384</v>
      </c>
      <c r="CB156" s="74">
        <f t="shared" si="84"/>
        <v>303.09964080613418</v>
      </c>
      <c r="CC156" s="74">
        <f t="shared" si="85"/>
        <v>269.836773250004</v>
      </c>
      <c r="CD156" s="74">
        <f t="shared" si="86"/>
        <v>-33.262867556130175</v>
      </c>
      <c r="CE156" s="74">
        <f t="shared" si="87"/>
        <v>21.132827508435181</v>
      </c>
      <c r="CF156" s="74">
        <f t="shared" si="88"/>
        <v>5.0441608794400015</v>
      </c>
      <c r="CG156" s="74">
        <f t="shared" si="89"/>
        <v>0.59105433130431184</v>
      </c>
      <c r="CH156" s="74">
        <f t="shared" si="90"/>
        <v>-0.38514482548203544</v>
      </c>
      <c r="CI156" s="74">
        <f t="shared" si="91"/>
        <v>42646.045912022193</v>
      </c>
      <c r="CJ156" s="74">
        <f t="shared" si="92"/>
        <v>10179.116654709924</v>
      </c>
      <c r="CK156" s="74">
        <f t="shared" si="93"/>
        <v>1192.7476405721013</v>
      </c>
      <c r="CL156" s="74">
        <f t="shared" si="94"/>
        <v>-777.22225782274757</v>
      </c>
      <c r="CM156" s="316"/>
      <c r="CN156" s="74">
        <v>6036.6589165132254</v>
      </c>
      <c r="CO156" s="74">
        <v>256.84055599999999</v>
      </c>
    </row>
    <row r="157" spans="1:93" x14ac:dyDescent="0.2">
      <c r="A157" s="74">
        <v>440</v>
      </c>
      <c r="B157" s="74" t="s">
        <v>278</v>
      </c>
      <c r="C157" s="74">
        <v>15</v>
      </c>
      <c r="D157" s="74">
        <v>5622</v>
      </c>
      <c r="E157" s="89">
        <v>17628339.319432523</v>
      </c>
      <c r="F157" s="74">
        <v>6536128.2511475943</v>
      </c>
      <c r="G157" s="74">
        <v>1457913.818</v>
      </c>
      <c r="H157" s="74">
        <v>380713.50319999998</v>
      </c>
      <c r="I157" s="74">
        <v>12209097.331659555</v>
      </c>
      <c r="J157" s="74">
        <v>761228.07915618038</v>
      </c>
      <c r="K157" s="74">
        <v>-1326489.8967506385</v>
      </c>
      <c r="L157" s="74">
        <v>-1244698</v>
      </c>
      <c r="M157" s="75">
        <v>327875</v>
      </c>
      <c r="N157" s="75">
        <v>46988.96850169434</v>
      </c>
      <c r="O157" s="178">
        <f t="shared" si="65"/>
        <v>1520417.735481862</v>
      </c>
      <c r="P157" s="179">
        <f t="shared" si="66"/>
        <v>270.4407213592782</v>
      </c>
      <c r="Q157" s="74"/>
      <c r="R157" s="89">
        <v>35727875.380000003</v>
      </c>
      <c r="S157" s="74">
        <v>16946223.431582257</v>
      </c>
      <c r="T157" s="74">
        <v>571070.2548</v>
      </c>
      <c r="U157" s="74">
        <v>15245414.517365728</v>
      </c>
      <c r="V157" s="74">
        <v>2538798.5126452036</v>
      </c>
      <c r="W157" s="74">
        <v>541090.81799999997</v>
      </c>
      <c r="X157" s="178">
        <f t="shared" si="67"/>
        <v>114722.15439318866</v>
      </c>
      <c r="Y157" s="179">
        <f t="shared" si="68"/>
        <v>20.405932834078381</v>
      </c>
      <c r="Z157" s="74"/>
      <c r="AA157" s="84">
        <f t="shared" si="69"/>
        <v>1405695.5810886733</v>
      </c>
      <c r="AB157" s="132">
        <f t="shared" si="70"/>
        <v>250.03478852519982</v>
      </c>
      <c r="AD157" s="180">
        <v>-1382275.9321918034</v>
      </c>
      <c r="AE157" s="187">
        <v>-1305230.6662368146</v>
      </c>
      <c r="AF157" s="187">
        <v>-1227021.1500250255</v>
      </c>
      <c r="AG157" s="187">
        <v>-1149382.6736380805</v>
      </c>
      <c r="AH157" s="188">
        <v>-1070540.8652975333</v>
      </c>
      <c r="AJ157" s="74">
        <f t="shared" si="71"/>
        <v>10410095.180434663</v>
      </c>
      <c r="AK157" s="74">
        <f t="shared" si="72"/>
        <v>190356.75160000002</v>
      </c>
      <c r="AL157" s="74">
        <f t="shared" si="73"/>
        <v>3036317.1857061721</v>
      </c>
      <c r="AM157" s="74">
        <f t="shared" si="74"/>
        <v>18099536.06056748</v>
      </c>
      <c r="AN157" s="74">
        <f t="shared" si="75"/>
        <v>-1382275.9321918034</v>
      </c>
      <c r="AO157" s="74">
        <f t="shared" si="76"/>
        <v>-1305230.6662368146</v>
      </c>
      <c r="AP157" s="74">
        <f t="shared" si="77"/>
        <v>-1227021.1500250255</v>
      </c>
      <c r="AQ157" s="74">
        <f t="shared" si="78"/>
        <v>-1149382.6736380805</v>
      </c>
      <c r="AR157" s="74">
        <f t="shared" si="79"/>
        <v>-1070540.8652975333</v>
      </c>
      <c r="AS157" s="75">
        <v>1564</v>
      </c>
      <c r="AT157" s="75"/>
      <c r="AU157" s="75"/>
      <c r="AV157" s="75">
        <v>15</v>
      </c>
      <c r="AW157" s="75">
        <v>1502.3759931710922</v>
      </c>
      <c r="AX157" s="75">
        <v>-2057.7492841420212</v>
      </c>
      <c r="AY157" s="75">
        <v>1777.5704334890233</v>
      </c>
      <c r="AZ157" s="316"/>
      <c r="BA157" s="74"/>
      <c r="BB157" s="74"/>
      <c r="BC157" s="74"/>
      <c r="BD157" s="74"/>
      <c r="BE157" s="74"/>
      <c r="BF157" s="74"/>
      <c r="BG157" s="74"/>
      <c r="BM157" s="316"/>
      <c r="BN157" s="74">
        <v>17628339.319432523</v>
      </c>
      <c r="BO157" s="74">
        <v>16950266.989999998</v>
      </c>
      <c r="BP157" s="74">
        <v>17074000</v>
      </c>
      <c r="BQ157" s="74">
        <v>368495.46</v>
      </c>
      <c r="BR157" s="74">
        <v>370000</v>
      </c>
      <c r="BS157" s="406">
        <f t="shared" si="80"/>
        <v>0.61430177776563633</v>
      </c>
      <c r="BT157" s="406">
        <f t="shared" si="81"/>
        <v>0.33333333333333337</v>
      </c>
      <c r="BU157" s="74">
        <f t="shared" si="82"/>
        <v>3487397.7224445567</v>
      </c>
      <c r="BV157" s="316"/>
      <c r="BW157" s="74">
        <v>35727875.380000003</v>
      </c>
      <c r="BX157" s="74">
        <v>17628339.319432523</v>
      </c>
      <c r="BY157" s="74">
        <v>18975207.504382256</v>
      </c>
      <c r="BZ157" s="74">
        <v>8374755.5723475944</v>
      </c>
      <c r="CA157" s="74">
        <f t="shared" si="83"/>
        <v>-1326489.8967506425</v>
      </c>
      <c r="CB157" s="74">
        <f t="shared" si="84"/>
        <v>20.405932834077717</v>
      </c>
      <c r="CC157" s="74">
        <f t="shared" si="85"/>
        <v>270.44072135927763</v>
      </c>
      <c r="CD157" s="74">
        <f t="shared" si="86"/>
        <v>250.03478852519993</v>
      </c>
      <c r="CE157" s="74">
        <f t="shared" si="87"/>
        <v>-232.16482857289492</v>
      </c>
      <c r="CF157" s="74">
        <f t="shared" si="88"/>
        <v>-218.2534952018901</v>
      </c>
      <c r="CG157" s="74">
        <f t="shared" si="89"/>
        <v>-204.44373419389561</v>
      </c>
      <c r="CH157" s="74">
        <f t="shared" si="90"/>
        <v>-190.41993335068196</v>
      </c>
      <c r="CI157" s="74">
        <f t="shared" si="91"/>
        <v>-1305230.6662368153</v>
      </c>
      <c r="CJ157" s="74">
        <f t="shared" si="92"/>
        <v>-1227021.1500250262</v>
      </c>
      <c r="CK157" s="74">
        <f t="shared" si="93"/>
        <v>-1149382.6736380812</v>
      </c>
      <c r="CL157" s="74">
        <f t="shared" si="94"/>
        <v>-1070540.865297534</v>
      </c>
      <c r="CM157" s="316"/>
      <c r="CN157" s="74">
        <v>17709.441686692749</v>
      </c>
      <c r="CO157" s="74">
        <v>619.76616799999999</v>
      </c>
    </row>
    <row r="158" spans="1:93" x14ac:dyDescent="0.2">
      <c r="A158" s="74">
        <v>441</v>
      </c>
      <c r="B158" s="74" t="s">
        <v>279</v>
      </c>
      <c r="C158" s="74">
        <v>9</v>
      </c>
      <c r="D158" s="74">
        <v>4473</v>
      </c>
      <c r="E158" s="89">
        <v>12513850.605619404</v>
      </c>
      <c r="F158" s="74">
        <v>6215419.9647541009</v>
      </c>
      <c r="G158" s="74">
        <v>1651511.0234999999</v>
      </c>
      <c r="H158" s="74">
        <v>1361704.6844000001</v>
      </c>
      <c r="I158" s="74">
        <v>1069096.4923236372</v>
      </c>
      <c r="J158" s="74">
        <v>904594.89208835689</v>
      </c>
      <c r="K158" s="74">
        <v>-678572.22119244223</v>
      </c>
      <c r="L158" s="74">
        <v>-553468</v>
      </c>
      <c r="M158" s="75">
        <v>757000</v>
      </c>
      <c r="N158" s="75">
        <v>41696.329474057893</v>
      </c>
      <c r="O158" s="178">
        <f t="shared" si="65"/>
        <v>-1744867.4402716942</v>
      </c>
      <c r="P158" s="179">
        <f t="shared" si="66"/>
        <v>-390.08885317945322</v>
      </c>
      <c r="Q158" s="74"/>
      <c r="R158" s="89">
        <v>35105300</v>
      </c>
      <c r="S158" s="74">
        <v>14941029.403388748</v>
      </c>
      <c r="T158" s="74">
        <v>2042557.0266</v>
      </c>
      <c r="U158" s="74">
        <v>11292237.070956783</v>
      </c>
      <c r="V158" s="74">
        <v>3016946.2076676511</v>
      </c>
      <c r="W158" s="74">
        <v>1855043.0234999999</v>
      </c>
      <c r="X158" s="178">
        <f t="shared" si="67"/>
        <v>-1957487.2678868175</v>
      </c>
      <c r="Y158" s="179">
        <f t="shared" si="68"/>
        <v>-437.62290809005532</v>
      </c>
      <c r="Z158" s="74"/>
      <c r="AA158" s="84">
        <f t="shared" si="69"/>
        <v>212619.82761512324</v>
      </c>
      <c r="AB158" s="132">
        <f t="shared" si="70"/>
        <v>47.534054910602109</v>
      </c>
      <c r="AD158" s="180">
        <v>-193986.5850829838</v>
      </c>
      <c r="AE158" s="187">
        <v>-132687.49674846491</v>
      </c>
      <c r="AF158" s="187">
        <v>-70462.102579960352</v>
      </c>
      <c r="AG158" s="187">
        <v>-8691.0415912010158</v>
      </c>
      <c r="AH158" s="188">
        <v>-1722.7528043811444</v>
      </c>
      <c r="AJ158" s="74">
        <f t="shared" si="71"/>
        <v>8725609.4386346471</v>
      </c>
      <c r="AK158" s="74">
        <f t="shared" si="72"/>
        <v>680852.34219999984</v>
      </c>
      <c r="AL158" s="74">
        <f t="shared" si="73"/>
        <v>10223140.578633146</v>
      </c>
      <c r="AM158" s="74">
        <f t="shared" si="74"/>
        <v>22591449.394380596</v>
      </c>
      <c r="AN158" s="74">
        <f t="shared" si="75"/>
        <v>-193986.5850829838</v>
      </c>
      <c r="AO158" s="74">
        <f t="shared" si="76"/>
        <v>-132687.49674846491</v>
      </c>
      <c r="AP158" s="74">
        <f t="shared" si="77"/>
        <v>-70462.102579960352</v>
      </c>
      <c r="AQ158" s="74">
        <f t="shared" si="78"/>
        <v>-8691.0415912010158</v>
      </c>
      <c r="AR158" s="74">
        <f t="shared" si="79"/>
        <v>-1722.7528043811444</v>
      </c>
      <c r="AS158" s="75">
        <v>1910</v>
      </c>
      <c r="AT158" s="75"/>
      <c r="AU158" s="75"/>
      <c r="AV158" s="75">
        <v>0</v>
      </c>
      <c r="AW158" s="75">
        <v>8856.4037630863386</v>
      </c>
      <c r="AX158" s="75">
        <v>-1128.9157763226085</v>
      </c>
      <c r="AY158" s="75">
        <v>2112.3513155792944</v>
      </c>
      <c r="AZ158" s="316"/>
      <c r="BA158" s="74"/>
      <c r="BB158" s="74"/>
      <c r="BC158" s="74"/>
      <c r="BD158" s="74"/>
      <c r="BE158" s="74"/>
      <c r="BF158" s="74"/>
      <c r="BG158" s="74"/>
      <c r="BM158" s="316"/>
      <c r="BN158" s="74">
        <v>12513850.605619404</v>
      </c>
      <c r="BO158" s="74">
        <v>20720122.270000003</v>
      </c>
      <c r="BP158" s="74">
        <v>22213000</v>
      </c>
      <c r="BQ158" s="74">
        <v>524495.97</v>
      </c>
      <c r="BR158" s="74">
        <v>518000</v>
      </c>
      <c r="BS158" s="406">
        <f t="shared" si="80"/>
        <v>0.58400323050402458</v>
      </c>
      <c r="BT158" s="406">
        <f t="shared" si="81"/>
        <v>0.33333333333333326</v>
      </c>
      <c r="BU158" s="74">
        <f t="shared" si="82"/>
        <v>11656919.673019998</v>
      </c>
      <c r="BV158" s="316"/>
      <c r="BW158" s="74">
        <v>35105300</v>
      </c>
      <c r="BX158" s="74">
        <v>12513850.605619404</v>
      </c>
      <c r="BY158" s="74">
        <v>18635097.453488749</v>
      </c>
      <c r="BZ158" s="74">
        <v>9228635.6726541016</v>
      </c>
      <c r="CA158" s="74">
        <f t="shared" si="83"/>
        <v>-678572.22119244421</v>
      </c>
      <c r="CB158" s="74">
        <f t="shared" si="84"/>
        <v>-437.62290809005589</v>
      </c>
      <c r="CC158" s="74">
        <f t="shared" si="85"/>
        <v>-390.08885317945339</v>
      </c>
      <c r="CD158" s="74">
        <f t="shared" si="86"/>
        <v>47.534054910602492</v>
      </c>
      <c r="CE158" s="74">
        <f t="shared" si="87"/>
        <v>-29.664094958297486</v>
      </c>
      <c r="CF158" s="74">
        <f t="shared" si="88"/>
        <v>-15.752761587292666</v>
      </c>
      <c r="CG158" s="74">
        <f t="shared" si="89"/>
        <v>-1.9430005792981806</v>
      </c>
      <c r="CH158" s="74">
        <f t="shared" si="90"/>
        <v>-0.38514482548203544</v>
      </c>
      <c r="CI158" s="74">
        <f t="shared" si="91"/>
        <v>-132687.49674846465</v>
      </c>
      <c r="CJ158" s="74">
        <f t="shared" si="92"/>
        <v>-70462.10257996009</v>
      </c>
      <c r="CK158" s="74">
        <f t="shared" si="93"/>
        <v>-8691.0415912007611</v>
      </c>
      <c r="CL158" s="74">
        <f t="shared" si="94"/>
        <v>-1722.7528043811444</v>
      </c>
      <c r="CM158" s="316"/>
      <c r="CN158" s="74">
        <v>14696.940631383413</v>
      </c>
      <c r="CO158" s="74">
        <v>2216.728556</v>
      </c>
    </row>
    <row r="159" spans="1:93" x14ac:dyDescent="0.2">
      <c r="A159" s="74">
        <v>444</v>
      </c>
      <c r="B159" s="74" t="s">
        <v>272</v>
      </c>
      <c r="C159" s="74">
        <v>33</v>
      </c>
      <c r="D159" s="74">
        <v>45988</v>
      </c>
      <c r="E159" s="89">
        <v>118661981.20151147</v>
      </c>
      <c r="F159" s="74">
        <v>73361791.643160537</v>
      </c>
      <c r="G159" s="74">
        <v>14272271.904900001</v>
      </c>
      <c r="H159" s="74">
        <v>7384734.7309999997</v>
      </c>
      <c r="I159" s="74">
        <v>19906843.125912614</v>
      </c>
      <c r="J159" s="74">
        <v>7050444.5682321042</v>
      </c>
      <c r="K159" s="74">
        <v>1741465.0762853224</v>
      </c>
      <c r="L159" s="74">
        <v>-660072</v>
      </c>
      <c r="M159" s="75">
        <v>272000</v>
      </c>
      <c r="N159" s="75">
        <v>514930.56430368277</v>
      </c>
      <c r="O159" s="178">
        <f t="shared" si="65"/>
        <v>5182428.4122827947</v>
      </c>
      <c r="P159" s="179">
        <f t="shared" si="66"/>
        <v>112.69088484567267</v>
      </c>
      <c r="Q159" s="74"/>
      <c r="R159" s="89">
        <v>292045775</v>
      </c>
      <c r="S159" s="74">
        <v>185834917.35588908</v>
      </c>
      <c r="T159" s="74">
        <v>11077102.0965</v>
      </c>
      <c r="U159" s="74">
        <v>66684919.002353534</v>
      </c>
      <c r="V159" s="74">
        <v>23514185.39783353</v>
      </c>
      <c r="W159" s="74">
        <v>13884199.904900001</v>
      </c>
      <c r="X159" s="178">
        <f t="shared" si="67"/>
        <v>8949548.757476151</v>
      </c>
      <c r="Y159" s="179">
        <f t="shared" si="68"/>
        <v>194.60617459937703</v>
      </c>
      <c r="Z159" s="74"/>
      <c r="AA159" s="84">
        <f t="shared" si="69"/>
        <v>-3767120.3451933563</v>
      </c>
      <c r="AB159" s="132">
        <f t="shared" si="70"/>
        <v>-81.915289753704357</v>
      </c>
      <c r="AD159" s="180">
        <v>3958693.2397983605</v>
      </c>
      <c r="AE159" s="187">
        <v>3209284.0634799739</v>
      </c>
      <c r="AF159" s="187">
        <v>2469398.4625457432</v>
      </c>
      <c r="AG159" s="187">
        <v>1724841.7517813938</v>
      </c>
      <c r="AH159" s="188">
        <v>990128.30495910312</v>
      </c>
      <c r="AJ159" s="74">
        <f t="shared" si="71"/>
        <v>112473125.71272855</v>
      </c>
      <c r="AK159" s="74">
        <f t="shared" si="72"/>
        <v>3692367.3655000003</v>
      </c>
      <c r="AL159" s="74">
        <f t="shared" si="73"/>
        <v>46778075.87644092</v>
      </c>
      <c r="AM159" s="74">
        <f t="shared" si="74"/>
        <v>173383793.79848853</v>
      </c>
      <c r="AN159" s="74">
        <f t="shared" si="75"/>
        <v>3958693.2397983605</v>
      </c>
      <c r="AO159" s="74">
        <f t="shared" si="76"/>
        <v>3209284.0634799739</v>
      </c>
      <c r="AP159" s="74">
        <f t="shared" si="77"/>
        <v>2469398.4625457432</v>
      </c>
      <c r="AQ159" s="74">
        <f t="shared" si="78"/>
        <v>1724841.7517813938</v>
      </c>
      <c r="AR159" s="74">
        <f t="shared" si="79"/>
        <v>990128.30495910312</v>
      </c>
      <c r="AS159" s="75">
        <v>15789</v>
      </c>
      <c r="AT159" s="75"/>
      <c r="AU159" s="75"/>
      <c r="AV159" s="75">
        <v>329</v>
      </c>
      <c r="AW159" s="75">
        <v>47202.252239900008</v>
      </c>
      <c r="AX159" s="75">
        <v>3010.3680674553339</v>
      </c>
      <c r="AY159" s="75">
        <v>16463.740829601426</v>
      </c>
      <c r="AZ159" s="316"/>
      <c r="BA159" s="74"/>
      <c r="BB159" s="74"/>
      <c r="BC159" s="74"/>
      <c r="BD159" s="74"/>
      <c r="BE159" s="74"/>
      <c r="BF159" s="74"/>
      <c r="BG159" s="74"/>
      <c r="BM159" s="316"/>
      <c r="BN159" s="74">
        <v>118661981.20151147</v>
      </c>
      <c r="BO159" s="74">
        <v>161120640.93999997</v>
      </c>
      <c r="BP159" s="74">
        <v>171999000</v>
      </c>
      <c r="BQ159" s="74">
        <v>3059303.92</v>
      </c>
      <c r="BR159" s="74">
        <v>3275000</v>
      </c>
      <c r="BS159" s="406">
        <f t="shared" si="80"/>
        <v>0.60523139199579645</v>
      </c>
      <c r="BT159" s="406">
        <f t="shared" si="81"/>
        <v>0.33333333333333337</v>
      </c>
      <c r="BU159" s="74">
        <f t="shared" si="82"/>
        <v>64983281.782327667</v>
      </c>
      <c r="BV159" s="316"/>
      <c r="BW159" s="74">
        <v>292045775</v>
      </c>
      <c r="BX159" s="74">
        <v>118661981.20151147</v>
      </c>
      <c r="BY159" s="74">
        <v>211184291.35728911</v>
      </c>
      <c r="BZ159" s="74">
        <v>95018798.279060543</v>
      </c>
      <c r="CA159" s="74">
        <f t="shared" si="83"/>
        <v>1741465.0762852924</v>
      </c>
      <c r="CB159" s="74">
        <f t="shared" si="84"/>
        <v>194.60617459937683</v>
      </c>
      <c r="CC159" s="74">
        <f t="shared" si="85"/>
        <v>112.69088484567185</v>
      </c>
      <c r="CD159" s="74">
        <f t="shared" si="86"/>
        <v>-81.915289753704982</v>
      </c>
      <c r="CE159" s="74">
        <f t="shared" si="87"/>
        <v>69.785249706009992</v>
      </c>
      <c r="CF159" s="74">
        <f t="shared" si="88"/>
        <v>53.696583077014807</v>
      </c>
      <c r="CG159" s="74">
        <f t="shared" si="89"/>
        <v>37.506344085009296</v>
      </c>
      <c r="CH159" s="74">
        <f t="shared" si="90"/>
        <v>21.530144928222946</v>
      </c>
      <c r="CI159" s="74">
        <f t="shared" si="91"/>
        <v>3209284.0634799874</v>
      </c>
      <c r="CJ159" s="74">
        <f t="shared" si="92"/>
        <v>2469398.4625457572</v>
      </c>
      <c r="CK159" s="74">
        <f t="shared" si="93"/>
        <v>1724841.7517814075</v>
      </c>
      <c r="CL159" s="74">
        <f t="shared" si="94"/>
        <v>990128.30495911685</v>
      </c>
      <c r="CM159" s="316"/>
      <c r="CN159" s="74">
        <v>188494.34076080829</v>
      </c>
      <c r="CO159" s="74">
        <v>12021.661189999999</v>
      </c>
    </row>
    <row r="160" spans="1:93" x14ac:dyDescent="0.2">
      <c r="A160" s="74">
        <v>445</v>
      </c>
      <c r="B160" s="74" t="s">
        <v>129</v>
      </c>
      <c r="C160" s="74">
        <v>2</v>
      </c>
      <c r="D160" s="74">
        <v>15086</v>
      </c>
      <c r="E160" s="89">
        <v>43138274.995394297</v>
      </c>
      <c r="F160" s="74">
        <v>24676963.067970131</v>
      </c>
      <c r="G160" s="74">
        <v>9843476.4306000005</v>
      </c>
      <c r="H160" s="74">
        <v>2198546.6732000001</v>
      </c>
      <c r="I160" s="74">
        <v>11995406.438590975</v>
      </c>
      <c r="J160" s="74">
        <v>2174548.3831544602</v>
      </c>
      <c r="K160" s="74">
        <v>-3399389.9714153982</v>
      </c>
      <c r="L160" s="74">
        <v>-334651</v>
      </c>
      <c r="M160" s="75">
        <v>-850000</v>
      </c>
      <c r="N160" s="75">
        <v>173210.78626297301</v>
      </c>
      <c r="O160" s="178">
        <f t="shared" si="65"/>
        <v>3339835.8129688427</v>
      </c>
      <c r="P160" s="179">
        <f t="shared" si="66"/>
        <v>221.38643861652145</v>
      </c>
      <c r="Q160" s="74"/>
      <c r="R160" s="89">
        <v>107161400.69</v>
      </c>
      <c r="S160" s="74">
        <v>62653087.052006535</v>
      </c>
      <c r="T160" s="74">
        <v>3297820.0098000001</v>
      </c>
      <c r="U160" s="74">
        <v>28353771.248460636</v>
      </c>
      <c r="V160" s="74">
        <v>7252412.715709731</v>
      </c>
      <c r="W160" s="74">
        <v>8658825.4306000005</v>
      </c>
      <c r="X160" s="178">
        <f t="shared" si="67"/>
        <v>3054515.766576916</v>
      </c>
      <c r="Y160" s="179">
        <f t="shared" si="68"/>
        <v>202.47353616445153</v>
      </c>
      <c r="Z160" s="74"/>
      <c r="AA160" s="84">
        <f t="shared" si="69"/>
        <v>285320.04639192671</v>
      </c>
      <c r="AB160" s="132">
        <f t="shared" si="70"/>
        <v>18.912902452069911</v>
      </c>
      <c r="AD160" s="180">
        <v>-222476.07213752973</v>
      </c>
      <c r="AE160" s="187">
        <v>-15733.830551446143</v>
      </c>
      <c r="AF160" s="187">
        <v>26872.591075452037</v>
      </c>
      <c r="AG160" s="187">
        <v>8916.6456420568484</v>
      </c>
      <c r="AH160" s="188">
        <v>-5810.2948372219862</v>
      </c>
      <c r="AJ160" s="74">
        <f t="shared" si="71"/>
        <v>37976123.984036401</v>
      </c>
      <c r="AK160" s="74">
        <f t="shared" si="72"/>
        <v>1099273.3366</v>
      </c>
      <c r="AL160" s="74">
        <f t="shared" si="73"/>
        <v>16358364.80986966</v>
      </c>
      <c r="AM160" s="74">
        <f t="shared" si="74"/>
        <v>64023125.694605701</v>
      </c>
      <c r="AN160" s="74">
        <f t="shared" si="75"/>
        <v>-222476.07213752973</v>
      </c>
      <c r="AO160" s="74">
        <f t="shared" si="76"/>
        <v>-15733.830551446143</v>
      </c>
      <c r="AP160" s="74">
        <f t="shared" si="77"/>
        <v>26872.591075452037</v>
      </c>
      <c r="AQ160" s="74">
        <f t="shared" si="78"/>
        <v>8916.6456420568484</v>
      </c>
      <c r="AR160" s="74">
        <f t="shared" si="79"/>
        <v>-5810.2948372219862</v>
      </c>
      <c r="AS160" s="75">
        <v>5148</v>
      </c>
      <c r="AT160" s="75"/>
      <c r="AU160" s="75"/>
      <c r="AV160" s="75">
        <v>563</v>
      </c>
      <c r="AW160" s="75">
        <v>15774.386695700032</v>
      </c>
      <c r="AX160" s="75">
        <v>1390.4167494822352</v>
      </c>
      <c r="AY160" s="75">
        <v>5077.8643325552712</v>
      </c>
      <c r="AZ160" s="316"/>
      <c r="BA160" s="74"/>
      <c r="BB160" s="74"/>
      <c r="BC160" s="74"/>
      <c r="BD160" s="74"/>
      <c r="BE160" s="74"/>
      <c r="BF160" s="74"/>
      <c r="BG160" s="74"/>
      <c r="BM160" s="316"/>
      <c r="BN160" s="74">
        <v>43138274.995394297</v>
      </c>
      <c r="BO160" s="74">
        <v>59738078.740000002</v>
      </c>
      <c r="BP160" s="74">
        <v>65665000</v>
      </c>
      <c r="BQ160" s="74">
        <v>1350056.4100000001</v>
      </c>
      <c r="BR160" s="74">
        <v>1401000</v>
      </c>
      <c r="BS160" s="406">
        <f t="shared" si="80"/>
        <v>0.60613332512272722</v>
      </c>
      <c r="BT160" s="406">
        <f t="shared" si="81"/>
        <v>0.33333333333333337</v>
      </c>
      <c r="BU160" s="74">
        <f t="shared" si="82"/>
        <v>18036839.171009533</v>
      </c>
      <c r="BV160" s="316"/>
      <c r="BW160" s="74">
        <v>107161400.69</v>
      </c>
      <c r="BX160" s="74">
        <v>43138274.995394297</v>
      </c>
      <c r="BY160" s="74">
        <v>75794383.492406532</v>
      </c>
      <c r="BZ160" s="74">
        <v>36718986.171770126</v>
      </c>
      <c r="CA160" s="74">
        <f t="shared" si="83"/>
        <v>-3399389.9714154024</v>
      </c>
      <c r="CB160" s="74">
        <f t="shared" si="84"/>
        <v>202.47353616445093</v>
      </c>
      <c r="CC160" s="74">
        <f t="shared" si="85"/>
        <v>221.38643861652133</v>
      </c>
      <c r="CD160" s="74">
        <f t="shared" si="86"/>
        <v>18.912902452070398</v>
      </c>
      <c r="CE160" s="74">
        <f t="shared" si="87"/>
        <v>-1.0429424997653931</v>
      </c>
      <c r="CF160" s="74">
        <f t="shared" si="88"/>
        <v>1.7812933233098263</v>
      </c>
      <c r="CG160" s="74">
        <f t="shared" si="89"/>
        <v>0.59105433130431184</v>
      </c>
      <c r="CH160" s="74">
        <f t="shared" si="90"/>
        <v>-0.38514482548203544</v>
      </c>
      <c r="CI160" s="74">
        <f t="shared" si="91"/>
        <v>-15733.83055146072</v>
      </c>
      <c r="CJ160" s="74">
        <f t="shared" si="92"/>
        <v>26872.591075452037</v>
      </c>
      <c r="CK160" s="74">
        <f t="shared" si="93"/>
        <v>8916.6456420568484</v>
      </c>
      <c r="CL160" s="74">
        <f t="shared" si="94"/>
        <v>-5810.2948372219862</v>
      </c>
      <c r="CM160" s="316"/>
      <c r="CN160" s="74">
        <v>63838.89707156142</v>
      </c>
      <c r="CO160" s="74">
        <v>3579.0294680000002</v>
      </c>
    </row>
    <row r="161" spans="1:93" x14ac:dyDescent="0.2">
      <c r="A161" s="74">
        <v>475</v>
      </c>
      <c r="B161" s="74" t="s">
        <v>281</v>
      </c>
      <c r="C161" s="74">
        <v>15</v>
      </c>
      <c r="D161" s="74">
        <v>5487</v>
      </c>
      <c r="E161" s="89">
        <v>15969482.253531128</v>
      </c>
      <c r="F161" s="74">
        <v>8266226.7115933122</v>
      </c>
      <c r="G161" s="74">
        <v>2062101.18</v>
      </c>
      <c r="H161" s="74">
        <v>1090205.9438</v>
      </c>
      <c r="I161" s="74">
        <v>6580044.5042459946</v>
      </c>
      <c r="J161" s="74">
        <v>1124615.005893976</v>
      </c>
      <c r="K161" s="74">
        <v>-1220835.1691205476</v>
      </c>
      <c r="L161" s="74">
        <v>15935</v>
      </c>
      <c r="M161" s="75">
        <v>-50000</v>
      </c>
      <c r="N161" s="75">
        <v>50050.798581017385</v>
      </c>
      <c r="O161" s="178">
        <f t="shared" si="65"/>
        <v>1948861.721462626</v>
      </c>
      <c r="P161" s="179">
        <f t="shared" si="66"/>
        <v>355.17800646302641</v>
      </c>
      <c r="Q161" s="74"/>
      <c r="R161" s="89">
        <v>41116000</v>
      </c>
      <c r="S161" s="74">
        <v>19012307.637439277</v>
      </c>
      <c r="T161" s="74">
        <v>1635308.9157</v>
      </c>
      <c r="U161" s="74">
        <v>15672855.964741338</v>
      </c>
      <c r="V161" s="74">
        <v>3750743.0196572021</v>
      </c>
      <c r="W161" s="74">
        <v>2028036.18</v>
      </c>
      <c r="X161" s="178">
        <f t="shared" si="67"/>
        <v>983251.71753782034</v>
      </c>
      <c r="Y161" s="179">
        <f t="shared" si="68"/>
        <v>179.19659514084569</v>
      </c>
      <c r="Z161" s="74"/>
      <c r="AA161" s="84">
        <f t="shared" si="69"/>
        <v>965610.00392480567</v>
      </c>
      <c r="AB161" s="132">
        <f t="shared" si="70"/>
        <v>175.98141132218072</v>
      </c>
      <c r="AD161" s="180">
        <v>-942752.72653293004</v>
      </c>
      <c r="AE161" s="187">
        <v>-867557.53366650804</v>
      </c>
      <c r="AF161" s="187">
        <v>-791226.04745980457</v>
      </c>
      <c r="AG161" s="187">
        <v>-715451.88880893879</v>
      </c>
      <c r="AH161" s="188">
        <v>-638503.29358222545</v>
      </c>
      <c r="AJ161" s="74">
        <f t="shared" si="71"/>
        <v>10746080.925845966</v>
      </c>
      <c r="AK161" s="74">
        <f t="shared" si="72"/>
        <v>545102.9719</v>
      </c>
      <c r="AL161" s="74">
        <f t="shared" si="73"/>
        <v>9092811.4604953434</v>
      </c>
      <c r="AM161" s="74">
        <f t="shared" si="74"/>
        <v>25146517.746468872</v>
      </c>
      <c r="AN161" s="74">
        <f t="shared" si="75"/>
        <v>-942752.72653293004</v>
      </c>
      <c r="AO161" s="74">
        <f t="shared" si="76"/>
        <v>-867557.53366650804</v>
      </c>
      <c r="AP161" s="74">
        <f t="shared" si="77"/>
        <v>-791226.04745980457</v>
      </c>
      <c r="AQ161" s="74">
        <f t="shared" si="78"/>
        <v>-715451.88880893879</v>
      </c>
      <c r="AR161" s="74">
        <f t="shared" si="79"/>
        <v>-638503.29358222545</v>
      </c>
      <c r="AS161" s="75">
        <v>2347</v>
      </c>
      <c r="AT161" s="75"/>
      <c r="AU161" s="75"/>
      <c r="AV161" s="75">
        <v>96</v>
      </c>
      <c r="AW161" s="75">
        <v>7755.7748285333073</v>
      </c>
      <c r="AX161" s="75">
        <v>-1491.1370616541385</v>
      </c>
      <c r="AY161" s="75">
        <v>2626.1280137632261</v>
      </c>
      <c r="AZ161" s="316"/>
      <c r="BA161" s="74"/>
      <c r="BB161" s="74"/>
      <c r="BC161" s="74"/>
      <c r="BD161" s="74"/>
      <c r="BE161" s="74"/>
      <c r="BF161" s="74"/>
      <c r="BG161" s="74"/>
      <c r="BM161" s="316"/>
      <c r="BN161" s="74">
        <v>15969482.253531128</v>
      </c>
      <c r="BO161" s="74">
        <v>23697425.999999996</v>
      </c>
      <c r="BP161" s="74">
        <v>24700000</v>
      </c>
      <c r="BQ161" s="74">
        <v>446053.97</v>
      </c>
      <c r="BR161" s="74">
        <v>400000</v>
      </c>
      <c r="BS161" s="406">
        <f t="shared" si="80"/>
        <v>0.56521707573701607</v>
      </c>
      <c r="BT161" s="406">
        <f t="shared" si="81"/>
        <v>0.33333333333333337</v>
      </c>
      <c r="BU161" s="74">
        <f t="shared" si="82"/>
        <v>10498104.305138022</v>
      </c>
      <c r="BV161" s="316"/>
      <c r="BW161" s="74">
        <v>41116000</v>
      </c>
      <c r="BX161" s="74">
        <v>15969482.253531128</v>
      </c>
      <c r="BY161" s="74">
        <v>22709717.733139277</v>
      </c>
      <c r="BZ161" s="74">
        <v>11418533.835393313</v>
      </c>
      <c r="CA161" s="74">
        <f t="shared" si="83"/>
        <v>-1220835.1691205529</v>
      </c>
      <c r="CB161" s="74">
        <f t="shared" si="84"/>
        <v>179.19659514084506</v>
      </c>
      <c r="CC161" s="74">
        <f t="shared" si="85"/>
        <v>355.17800646302504</v>
      </c>
      <c r="CD161" s="74">
        <f t="shared" si="86"/>
        <v>175.98141132217998</v>
      </c>
      <c r="CE161" s="74">
        <f t="shared" si="87"/>
        <v>-158.11145136987497</v>
      </c>
      <c r="CF161" s="74">
        <f t="shared" si="88"/>
        <v>-144.20011799887016</v>
      </c>
      <c r="CG161" s="74">
        <f t="shared" si="89"/>
        <v>-130.39035699087566</v>
      </c>
      <c r="CH161" s="74">
        <f t="shared" si="90"/>
        <v>-116.36655614766201</v>
      </c>
      <c r="CI161" s="74">
        <f t="shared" si="91"/>
        <v>-867557.53366650396</v>
      </c>
      <c r="CJ161" s="74">
        <f t="shared" si="92"/>
        <v>-791226.04745980049</v>
      </c>
      <c r="CK161" s="74">
        <f t="shared" si="93"/>
        <v>-715451.88880893472</v>
      </c>
      <c r="CL161" s="74">
        <f t="shared" si="94"/>
        <v>-638503.29358222149</v>
      </c>
      <c r="CM161" s="316"/>
      <c r="CN161" s="74">
        <v>19643.325971959039</v>
      </c>
      <c r="CO161" s="74">
        <v>1774.7538619999998</v>
      </c>
    </row>
    <row r="162" spans="1:93" x14ac:dyDescent="0.2">
      <c r="A162" s="74">
        <v>480</v>
      </c>
      <c r="B162" s="74" t="s">
        <v>282</v>
      </c>
      <c r="C162" s="74">
        <v>2</v>
      </c>
      <c r="D162" s="74">
        <v>1990</v>
      </c>
      <c r="E162" s="89">
        <v>5045415.8252700465</v>
      </c>
      <c r="F162" s="74">
        <v>2681176.4268881185</v>
      </c>
      <c r="G162" s="74">
        <v>543089.42800000007</v>
      </c>
      <c r="H162" s="74">
        <v>252636.00799999997</v>
      </c>
      <c r="I162" s="74">
        <v>1345316.3438367434</v>
      </c>
      <c r="J162" s="74">
        <v>411946.43673742667</v>
      </c>
      <c r="K162" s="74">
        <v>261707.27360177401</v>
      </c>
      <c r="L162" s="74">
        <v>-475710</v>
      </c>
      <c r="M162" s="75">
        <v>-7300</v>
      </c>
      <c r="N162" s="75">
        <v>17584.6586703137</v>
      </c>
      <c r="O162" s="178">
        <f t="shared" si="65"/>
        <v>-14969.249535670504</v>
      </c>
      <c r="P162" s="179">
        <f t="shared" si="66"/>
        <v>-7.522235947573118</v>
      </c>
      <c r="Q162" s="74"/>
      <c r="R162" s="89">
        <v>12625740</v>
      </c>
      <c r="S162" s="74">
        <v>6521860.3580162646</v>
      </c>
      <c r="T162" s="74">
        <v>378954.01199999999</v>
      </c>
      <c r="U162" s="74">
        <v>4342631.3959371224</v>
      </c>
      <c r="V162" s="74">
        <v>1373897.034956713</v>
      </c>
      <c r="W162" s="74">
        <v>60079.428000000073</v>
      </c>
      <c r="X162" s="178">
        <f t="shared" si="67"/>
        <v>51682.228910099715</v>
      </c>
      <c r="Y162" s="179">
        <f t="shared" si="68"/>
        <v>25.970969301557645</v>
      </c>
      <c r="Z162" s="74"/>
      <c r="AA162" s="84">
        <f t="shared" si="69"/>
        <v>-66651.478445770219</v>
      </c>
      <c r="AB162" s="132">
        <f t="shared" si="70"/>
        <v>-33.49320524913076</v>
      </c>
      <c r="AD162" s="180">
        <v>74941.251000870005</v>
      </c>
      <c r="AE162" s="187">
        <v>42512.698750857176</v>
      </c>
      <c r="AF162" s="187">
        <v>10496.252159156767</v>
      </c>
      <c r="AG162" s="187">
        <v>1176.1981192955805</v>
      </c>
      <c r="AH162" s="188">
        <v>-766.4382027092505</v>
      </c>
      <c r="AJ162" s="74">
        <f t="shared" si="71"/>
        <v>3840683.9311281461</v>
      </c>
      <c r="AK162" s="74">
        <f t="shared" si="72"/>
        <v>126318.00400000002</v>
      </c>
      <c r="AL162" s="74">
        <f t="shared" si="73"/>
        <v>2997315.052100379</v>
      </c>
      <c r="AM162" s="74">
        <f t="shared" si="74"/>
        <v>7580324.1747299535</v>
      </c>
      <c r="AN162" s="74">
        <f t="shared" si="75"/>
        <v>74941.251000870005</v>
      </c>
      <c r="AO162" s="74">
        <f t="shared" si="76"/>
        <v>42512.698750857176</v>
      </c>
      <c r="AP162" s="74">
        <f t="shared" si="77"/>
        <v>10496.252159156767</v>
      </c>
      <c r="AQ162" s="74">
        <f t="shared" si="78"/>
        <v>1176.1981192955805</v>
      </c>
      <c r="AR162" s="74">
        <f t="shared" si="79"/>
        <v>-766.4382027092505</v>
      </c>
      <c r="AS162" s="75">
        <v>457</v>
      </c>
      <c r="AT162" s="75"/>
      <c r="AU162" s="75"/>
      <c r="AV162" s="75">
        <v>75</v>
      </c>
      <c r="AW162" s="75">
        <v>2473.1594969478761</v>
      </c>
      <c r="AX162" s="75">
        <v>-632.83895523394222</v>
      </c>
      <c r="AY162" s="75">
        <v>961.95059821928635</v>
      </c>
      <c r="AZ162" s="316"/>
      <c r="BA162" s="74"/>
      <c r="BB162" s="74"/>
      <c r="BC162" s="74"/>
      <c r="BD162" s="74"/>
      <c r="BE162" s="74"/>
      <c r="BF162" s="74"/>
      <c r="BG162" s="74"/>
      <c r="BM162" s="316"/>
      <c r="BN162" s="74">
        <v>5045415.8252700465</v>
      </c>
      <c r="BO162" s="74">
        <v>7074087.7300000004</v>
      </c>
      <c r="BP162" s="74">
        <v>7561000</v>
      </c>
      <c r="BQ162" s="74">
        <v>149930.16999999998</v>
      </c>
      <c r="BR162" s="74">
        <v>152000</v>
      </c>
      <c r="BS162" s="406">
        <f t="shared" si="80"/>
        <v>0.58889392294445808</v>
      </c>
      <c r="BT162" s="406">
        <f t="shared" si="81"/>
        <v>0.33333333333333337</v>
      </c>
      <c r="BU162" s="74">
        <f t="shared" si="82"/>
        <v>4220972.9239214398</v>
      </c>
      <c r="BV162" s="316"/>
      <c r="BW162" s="74">
        <v>12625740</v>
      </c>
      <c r="BX162" s="74">
        <v>5045415.8252700465</v>
      </c>
      <c r="BY162" s="74">
        <v>7443903.798016265</v>
      </c>
      <c r="BZ162" s="74">
        <v>3476901.8628881187</v>
      </c>
      <c r="CA162" s="74">
        <f t="shared" si="83"/>
        <v>261707.27360177276</v>
      </c>
      <c r="CB162" s="74">
        <f t="shared" si="84"/>
        <v>25.970969301557879</v>
      </c>
      <c r="CC162" s="74">
        <f t="shared" si="85"/>
        <v>-7.5222359475736074</v>
      </c>
      <c r="CD162" s="74">
        <f t="shared" si="86"/>
        <v>-33.493205249131485</v>
      </c>
      <c r="CE162" s="74">
        <f t="shared" si="87"/>
        <v>21.363165201436491</v>
      </c>
      <c r="CF162" s="74">
        <f t="shared" si="88"/>
        <v>5.2744985724413116</v>
      </c>
      <c r="CG162" s="74">
        <f t="shared" si="89"/>
        <v>0.59105433130431184</v>
      </c>
      <c r="CH162" s="74">
        <f t="shared" si="90"/>
        <v>-0.38514482548203544</v>
      </c>
      <c r="CI162" s="74">
        <f t="shared" si="91"/>
        <v>42512.698750858617</v>
      </c>
      <c r="CJ162" s="74">
        <f t="shared" si="92"/>
        <v>10496.25215915821</v>
      </c>
      <c r="CK162" s="74">
        <f t="shared" si="93"/>
        <v>1176.1981192955805</v>
      </c>
      <c r="CL162" s="74">
        <f t="shared" si="94"/>
        <v>-766.4382027092505</v>
      </c>
      <c r="CM162" s="316"/>
      <c r="CN162" s="74">
        <v>6439.0822104214085</v>
      </c>
      <c r="CO162" s="74">
        <v>411.26791999999995</v>
      </c>
    </row>
    <row r="163" spans="1:93" x14ac:dyDescent="0.2">
      <c r="A163" s="74">
        <v>481</v>
      </c>
      <c r="B163" s="74" t="s">
        <v>283</v>
      </c>
      <c r="C163" s="74">
        <v>2</v>
      </c>
      <c r="D163" s="74">
        <v>9612</v>
      </c>
      <c r="E163" s="89">
        <v>25020397.914837413</v>
      </c>
      <c r="F163" s="74">
        <v>16520253.890124584</v>
      </c>
      <c r="G163" s="74">
        <v>2325649.5683999998</v>
      </c>
      <c r="H163" s="74">
        <v>1518634.8614000001</v>
      </c>
      <c r="I163" s="74">
        <v>6688518.9194693193</v>
      </c>
      <c r="J163" s="74">
        <v>1294920.6536419406</v>
      </c>
      <c r="K163" s="74">
        <v>180558.41929749332</v>
      </c>
      <c r="L163" s="74">
        <v>-1858795</v>
      </c>
      <c r="M163" s="75">
        <v>73900</v>
      </c>
      <c r="N163" s="75">
        <v>111861.26883792641</v>
      </c>
      <c r="O163" s="178">
        <f t="shared" si="65"/>
        <v>1835104.6663338505</v>
      </c>
      <c r="P163" s="179">
        <f t="shared" si="66"/>
        <v>190.91808846586042</v>
      </c>
      <c r="Q163" s="74"/>
      <c r="R163" s="89">
        <v>54556436</v>
      </c>
      <c r="S163" s="74">
        <v>40996221.275904194</v>
      </c>
      <c r="T163" s="74">
        <v>2277952.2921000002</v>
      </c>
      <c r="U163" s="74">
        <v>8249332.8636951214</v>
      </c>
      <c r="V163" s="74">
        <v>4318735.3691733852</v>
      </c>
      <c r="W163" s="74">
        <v>540754.56839999976</v>
      </c>
      <c r="X163" s="178">
        <f t="shared" si="67"/>
        <v>1826560.3692727014</v>
      </c>
      <c r="Y163" s="179">
        <f t="shared" si="68"/>
        <v>190.0291686717334</v>
      </c>
      <c r="Z163" s="74"/>
      <c r="AA163" s="84">
        <f t="shared" si="69"/>
        <v>8544.2970611490309</v>
      </c>
      <c r="AB163" s="132">
        <f t="shared" si="70"/>
        <v>0.88891979412703193</v>
      </c>
      <c r="AD163" s="180">
        <v>31496.554094438645</v>
      </c>
      <c r="AE163" s="187">
        <v>27586.055061555708</v>
      </c>
      <c r="AF163" s="187">
        <v>17121.791423654049</v>
      </c>
      <c r="AG163" s="187">
        <v>5681.2142324970455</v>
      </c>
      <c r="AH163" s="188">
        <v>-3702.0120625333248</v>
      </c>
      <c r="AJ163" s="74">
        <f t="shared" si="71"/>
        <v>24475967.385779612</v>
      </c>
      <c r="AK163" s="74">
        <f t="shared" si="72"/>
        <v>759317.43070000014</v>
      </c>
      <c r="AL163" s="74">
        <f t="shared" si="73"/>
        <v>1560813.9442258021</v>
      </c>
      <c r="AM163" s="74">
        <f t="shared" si="74"/>
        <v>29536038.085162587</v>
      </c>
      <c r="AN163" s="74">
        <f t="shared" si="75"/>
        <v>31496.554094438645</v>
      </c>
      <c r="AO163" s="74">
        <f t="shared" si="76"/>
        <v>27586.055061555708</v>
      </c>
      <c r="AP163" s="74">
        <f t="shared" si="77"/>
        <v>17121.791423654049</v>
      </c>
      <c r="AQ163" s="74">
        <f t="shared" si="78"/>
        <v>5681.2142324970455</v>
      </c>
      <c r="AR163" s="74">
        <f t="shared" si="79"/>
        <v>-3702.0120625333248</v>
      </c>
      <c r="AS163" s="75">
        <v>3294</v>
      </c>
      <c r="AT163" s="75"/>
      <c r="AU163" s="75"/>
      <c r="AV163" s="75">
        <v>32</v>
      </c>
      <c r="AW163" s="75">
        <v>2931.6905159312601</v>
      </c>
      <c r="AX163" s="75">
        <v>1237.7898226687444</v>
      </c>
      <c r="AY163" s="75">
        <v>3023.8147155314446</v>
      </c>
      <c r="AZ163" s="316"/>
      <c r="BA163" s="74"/>
      <c r="BB163" s="74"/>
      <c r="BC163" s="74"/>
      <c r="BD163" s="74"/>
      <c r="BE163" s="74"/>
      <c r="BF163" s="74"/>
      <c r="BG163" s="74"/>
      <c r="BM163" s="316"/>
      <c r="BN163" s="74">
        <v>25020397.914837413</v>
      </c>
      <c r="BO163" s="74">
        <v>27993367.719999995</v>
      </c>
      <c r="BP163" s="74">
        <v>29520000</v>
      </c>
      <c r="BQ163" s="74">
        <v>707867.58</v>
      </c>
      <c r="BR163" s="74">
        <v>732000</v>
      </c>
      <c r="BS163" s="406">
        <f t="shared" si="80"/>
        <v>0.59702983894677941</v>
      </c>
      <c r="BT163" s="406">
        <f t="shared" si="81"/>
        <v>0.33333333333333337</v>
      </c>
      <c r="BU163" s="74">
        <f t="shared" si="82"/>
        <v>4765187.0790547403</v>
      </c>
      <c r="BV163" s="316"/>
      <c r="BW163" s="74">
        <v>54556436</v>
      </c>
      <c r="BX163" s="74">
        <v>25020397.914837413</v>
      </c>
      <c r="BY163" s="74">
        <v>45599823.136404194</v>
      </c>
      <c r="BZ163" s="74">
        <v>20364538.319924586</v>
      </c>
      <c r="CA163" s="74">
        <f t="shared" si="83"/>
        <v>180558.41929748392</v>
      </c>
      <c r="CB163" s="74">
        <f t="shared" si="84"/>
        <v>190.02916867173334</v>
      </c>
      <c r="CC163" s="74">
        <f t="shared" si="85"/>
        <v>190.9180884658594</v>
      </c>
      <c r="CD163" s="74">
        <f t="shared" si="86"/>
        <v>0.88891979412605338</v>
      </c>
      <c r="CE163" s="74">
        <f t="shared" si="87"/>
        <v>2.8699599523050048</v>
      </c>
      <c r="CF163" s="74">
        <f t="shared" si="88"/>
        <v>1.7812933233098263</v>
      </c>
      <c r="CG163" s="74">
        <f t="shared" si="89"/>
        <v>0.59105433130431184</v>
      </c>
      <c r="CH163" s="74">
        <f t="shared" si="90"/>
        <v>-0.38514482548203544</v>
      </c>
      <c r="CI163" s="74">
        <f t="shared" si="91"/>
        <v>27586.055061555708</v>
      </c>
      <c r="CJ163" s="74">
        <f t="shared" si="92"/>
        <v>17121.791423654049</v>
      </c>
      <c r="CK163" s="74">
        <f t="shared" si="93"/>
        <v>5681.2142324970455</v>
      </c>
      <c r="CL163" s="74">
        <f t="shared" si="94"/>
        <v>-3702.0120625333248</v>
      </c>
      <c r="CM163" s="316"/>
      <c r="CN163" s="74">
        <v>41730.800409841147</v>
      </c>
      <c r="CO163" s="74">
        <v>2472.1962859999999</v>
      </c>
    </row>
    <row r="164" spans="1:93" x14ac:dyDescent="0.2">
      <c r="A164" s="74">
        <v>483</v>
      </c>
      <c r="B164" s="74" t="s">
        <v>284</v>
      </c>
      <c r="C164" s="74">
        <v>17</v>
      </c>
      <c r="D164" s="74">
        <v>1076</v>
      </c>
      <c r="E164" s="89">
        <v>3872076.7643325822</v>
      </c>
      <c r="F164" s="74">
        <v>1234372.4423505228</v>
      </c>
      <c r="G164" s="74">
        <v>333758.19950000005</v>
      </c>
      <c r="H164" s="74">
        <v>117276.4284</v>
      </c>
      <c r="I164" s="74">
        <v>2081691.4577304763</v>
      </c>
      <c r="J164" s="74">
        <v>231792.10566687689</v>
      </c>
      <c r="K164" s="74">
        <v>-80834.448165230875</v>
      </c>
      <c r="L164" s="74">
        <v>-282816</v>
      </c>
      <c r="M164" s="75">
        <v>98120</v>
      </c>
      <c r="N164" s="75">
        <v>6203.4791621520926</v>
      </c>
      <c r="O164" s="178">
        <f t="shared" si="65"/>
        <v>-132513.09968778491</v>
      </c>
      <c r="P164" s="179">
        <f t="shared" si="66"/>
        <v>-123.15343837154731</v>
      </c>
      <c r="Q164" s="74"/>
      <c r="R164" s="89">
        <v>8155580</v>
      </c>
      <c r="S164" s="74">
        <v>2575204.8861923297</v>
      </c>
      <c r="T164" s="74">
        <v>175914.64260000002</v>
      </c>
      <c r="U164" s="74">
        <v>4145783.7393449647</v>
      </c>
      <c r="V164" s="74">
        <v>773057.99565655575</v>
      </c>
      <c r="W164" s="74">
        <v>149062.19950000005</v>
      </c>
      <c r="X164" s="178">
        <f t="shared" si="67"/>
        <v>-336556.53670614958</v>
      </c>
      <c r="Y164" s="179">
        <f t="shared" si="68"/>
        <v>-312.78488541463713</v>
      </c>
      <c r="Z164" s="74"/>
      <c r="AA164" s="84">
        <f t="shared" si="69"/>
        <v>204043.43701836467</v>
      </c>
      <c r="AB164" s="132">
        <f t="shared" si="70"/>
        <v>189.63144704308985</v>
      </c>
      <c r="AD164" s="180">
        <v>-199561.12783781774</v>
      </c>
      <c r="AE164" s="187">
        <v>-184815.360109684</v>
      </c>
      <c r="AF164" s="187">
        <v>-169846.76540248282</v>
      </c>
      <c r="AG164" s="187">
        <v>-154987.46255788073</v>
      </c>
      <c r="AH164" s="188">
        <v>-139897.85285058286</v>
      </c>
      <c r="AJ164" s="74">
        <f t="shared" si="71"/>
        <v>1340832.4438418068</v>
      </c>
      <c r="AK164" s="74">
        <f t="shared" si="72"/>
        <v>58638.214200000017</v>
      </c>
      <c r="AL164" s="74">
        <f t="shared" si="73"/>
        <v>2064092.2816144885</v>
      </c>
      <c r="AM164" s="74">
        <f t="shared" si="74"/>
        <v>4283503.2356674178</v>
      </c>
      <c r="AN164" s="74">
        <f t="shared" si="75"/>
        <v>-199561.12783781774</v>
      </c>
      <c r="AO164" s="74">
        <f t="shared" si="76"/>
        <v>-184815.360109684</v>
      </c>
      <c r="AP164" s="74">
        <f t="shared" si="77"/>
        <v>-169846.76540248282</v>
      </c>
      <c r="AQ164" s="74">
        <f t="shared" si="78"/>
        <v>-154987.46255788073</v>
      </c>
      <c r="AR164" s="74">
        <f t="shared" si="79"/>
        <v>-139897.85285058286</v>
      </c>
      <c r="AS164" s="75">
        <v>391</v>
      </c>
      <c r="AT164" s="75"/>
      <c r="AU164" s="75"/>
      <c r="AV164" s="75">
        <v>2</v>
      </c>
      <c r="AW164" s="75">
        <v>1327.79665457334</v>
      </c>
      <c r="AX164" s="75">
        <v>-886.91625524832364</v>
      </c>
      <c r="AY164" s="75">
        <v>541.26588998967884</v>
      </c>
      <c r="AZ164" s="316"/>
      <c r="BA164" s="74"/>
      <c r="BB164" s="74"/>
      <c r="BC164" s="74"/>
      <c r="BD164" s="74"/>
      <c r="BE164" s="74"/>
      <c r="BF164" s="74"/>
      <c r="BG164" s="74"/>
      <c r="BM164" s="316"/>
      <c r="BN164" s="74">
        <v>3872076.7643325822</v>
      </c>
      <c r="BO164" s="74">
        <v>4056514.65</v>
      </c>
      <c r="BP164" s="74">
        <v>4447000</v>
      </c>
      <c r="BQ164" s="74">
        <v>93826</v>
      </c>
      <c r="BR164" s="74">
        <v>108000</v>
      </c>
      <c r="BS164" s="406">
        <f t="shared" si="80"/>
        <v>0.52067020027456823</v>
      </c>
      <c r="BT164" s="406">
        <f t="shared" si="81"/>
        <v>0.33333333333333337</v>
      </c>
      <c r="BU164" s="74">
        <f t="shared" si="82"/>
        <v>2524523.7234389363</v>
      </c>
      <c r="BV164" s="316"/>
      <c r="BW164" s="74">
        <v>8155580</v>
      </c>
      <c r="BX164" s="74">
        <v>3872076.7643325822</v>
      </c>
      <c r="BY164" s="74">
        <v>3084877.7282923297</v>
      </c>
      <c r="BZ164" s="74">
        <v>1685407.070250523</v>
      </c>
      <c r="CA164" s="74">
        <f t="shared" si="83"/>
        <v>-80834.448165231326</v>
      </c>
      <c r="CB164" s="74">
        <f t="shared" si="84"/>
        <v>-312.78488541463787</v>
      </c>
      <c r="CC164" s="74">
        <f t="shared" si="85"/>
        <v>-123.15343837154785</v>
      </c>
      <c r="CD164" s="74">
        <f t="shared" si="86"/>
        <v>189.63144704309002</v>
      </c>
      <c r="CE164" s="74">
        <f t="shared" si="87"/>
        <v>-171.76148709078501</v>
      </c>
      <c r="CF164" s="74">
        <f t="shared" si="88"/>
        <v>-157.8501537197802</v>
      </c>
      <c r="CG164" s="74">
        <f t="shared" si="89"/>
        <v>-144.0403927117857</v>
      </c>
      <c r="CH164" s="74">
        <f t="shared" si="90"/>
        <v>-130.01659186857205</v>
      </c>
      <c r="CI164" s="74">
        <f t="shared" si="91"/>
        <v>-184815.36010968467</v>
      </c>
      <c r="CJ164" s="74">
        <f t="shared" si="92"/>
        <v>-169846.76540248349</v>
      </c>
      <c r="CK164" s="74">
        <f t="shared" si="93"/>
        <v>-154987.4625578814</v>
      </c>
      <c r="CL164" s="74">
        <f t="shared" si="94"/>
        <v>-139897.85285058353</v>
      </c>
      <c r="CM164" s="316"/>
      <c r="CN164" s="74">
        <v>2482.7176717278862</v>
      </c>
      <c r="CO164" s="74">
        <v>190.91511600000001</v>
      </c>
    </row>
    <row r="165" spans="1:93" x14ac:dyDescent="0.2">
      <c r="A165" s="74">
        <v>484</v>
      </c>
      <c r="B165" s="74" t="s">
        <v>285</v>
      </c>
      <c r="C165" s="74">
        <v>4</v>
      </c>
      <c r="D165" s="74">
        <v>3055</v>
      </c>
      <c r="E165" s="89">
        <v>8171894.1985009033</v>
      </c>
      <c r="F165" s="74">
        <v>3497751.0846267329</v>
      </c>
      <c r="G165" s="74">
        <v>1262496.9510000001</v>
      </c>
      <c r="H165" s="74">
        <v>887315.26840000006</v>
      </c>
      <c r="I165" s="74">
        <v>972701.4216291781</v>
      </c>
      <c r="J165" s="74">
        <v>592026.10072605289</v>
      </c>
      <c r="K165" s="74">
        <v>-353441.73405280849</v>
      </c>
      <c r="L165" s="74">
        <v>287052</v>
      </c>
      <c r="M165" s="75">
        <v>91450</v>
      </c>
      <c r="N165" s="75">
        <v>24912.353511907826</v>
      </c>
      <c r="O165" s="178">
        <f t="shared" si="65"/>
        <v>-909630.75265984051</v>
      </c>
      <c r="P165" s="179">
        <f t="shared" si="66"/>
        <v>-297.75147386574156</v>
      </c>
      <c r="Q165" s="74"/>
      <c r="R165" s="89">
        <v>23621412</v>
      </c>
      <c r="S165" s="74">
        <v>8674182.8956187777</v>
      </c>
      <c r="T165" s="74">
        <v>1330972.9026000001</v>
      </c>
      <c r="U165" s="74">
        <v>9215766.3921283856</v>
      </c>
      <c r="V165" s="74">
        <v>1974487.0494485092</v>
      </c>
      <c r="W165" s="74">
        <v>1640998.9510000001</v>
      </c>
      <c r="X165" s="178">
        <f t="shared" si="67"/>
        <v>-785003.80920432508</v>
      </c>
      <c r="Y165" s="179">
        <f t="shared" si="68"/>
        <v>-256.95705702269231</v>
      </c>
      <c r="Z165" s="74"/>
      <c r="AA165" s="84">
        <f t="shared" si="69"/>
        <v>-124626.94345551543</v>
      </c>
      <c r="AB165" s="132">
        <f t="shared" si="70"/>
        <v>-40.794416843049241</v>
      </c>
      <c r="AD165" s="180">
        <v>137353.2023277909</v>
      </c>
      <c r="AE165" s="187">
        <v>87569.671109806382</v>
      </c>
      <c r="AF165" s="187">
        <v>38418.794558226109</v>
      </c>
      <c r="AG165" s="187">
        <v>1805.6709821346726</v>
      </c>
      <c r="AH165" s="188">
        <v>-1176.6174418476182</v>
      </c>
      <c r="AJ165" s="74">
        <f t="shared" si="71"/>
        <v>5176431.8109920453</v>
      </c>
      <c r="AK165" s="74">
        <f t="shared" si="72"/>
        <v>443657.63420000009</v>
      </c>
      <c r="AL165" s="74">
        <f t="shared" si="73"/>
        <v>8243064.9704992073</v>
      </c>
      <c r="AM165" s="74">
        <f t="shared" si="74"/>
        <v>15449517.801499097</v>
      </c>
      <c r="AN165" s="74">
        <f t="shared" si="75"/>
        <v>137353.2023277909</v>
      </c>
      <c r="AO165" s="74">
        <f t="shared" si="76"/>
        <v>87569.671109806382</v>
      </c>
      <c r="AP165" s="74">
        <f t="shared" si="77"/>
        <v>38418.794558226109</v>
      </c>
      <c r="AQ165" s="74">
        <f t="shared" si="78"/>
        <v>1805.6709821346726</v>
      </c>
      <c r="AR165" s="74">
        <f t="shared" si="79"/>
        <v>-1176.6174418476182</v>
      </c>
      <c r="AS165" s="75">
        <v>1228</v>
      </c>
      <c r="AT165" s="75"/>
      <c r="AU165" s="75"/>
      <c r="AV165" s="75">
        <v>0</v>
      </c>
      <c r="AW165" s="75">
        <v>6877.4020887410788</v>
      </c>
      <c r="AX165" s="75">
        <v>-1006.7335293352545</v>
      </c>
      <c r="AY165" s="75">
        <v>1382.4609487224564</v>
      </c>
      <c r="AZ165" s="316"/>
      <c r="BA165" s="74"/>
      <c r="BB165" s="74"/>
      <c r="BC165" s="74"/>
      <c r="BD165" s="74"/>
      <c r="BE165" s="74"/>
      <c r="BF165" s="74"/>
      <c r="BG165" s="74"/>
      <c r="BM165" s="316"/>
      <c r="BN165" s="74">
        <v>8171894.1985009033</v>
      </c>
      <c r="BO165" s="74">
        <v>14539588.550000001</v>
      </c>
      <c r="BP165" s="74">
        <v>14928000</v>
      </c>
      <c r="BQ165" s="74">
        <v>349566.1</v>
      </c>
      <c r="BR165" s="74">
        <v>361000</v>
      </c>
      <c r="BS165" s="406">
        <f t="shared" si="80"/>
        <v>0.59676304653509171</v>
      </c>
      <c r="BT165" s="406">
        <f t="shared" si="81"/>
        <v>0.33333333333333337</v>
      </c>
      <c r="BU165" s="74">
        <f t="shared" si="82"/>
        <v>9272084.1851688549</v>
      </c>
      <c r="BV165" s="316"/>
      <c r="BW165" s="74">
        <v>23621412</v>
      </c>
      <c r="BX165" s="74">
        <v>8171894.1985009033</v>
      </c>
      <c r="BY165" s="74">
        <v>11267652.749218777</v>
      </c>
      <c r="BZ165" s="74">
        <v>5647563.3040267332</v>
      </c>
      <c r="CA165" s="74">
        <f t="shared" si="83"/>
        <v>-353441.73405281105</v>
      </c>
      <c r="CB165" s="74">
        <f t="shared" si="84"/>
        <v>-256.95705702269316</v>
      </c>
      <c r="CC165" s="74">
        <f t="shared" si="85"/>
        <v>-297.75147386574235</v>
      </c>
      <c r="CD165" s="74">
        <f t="shared" si="86"/>
        <v>-40.794416843049191</v>
      </c>
      <c r="CE165" s="74">
        <f t="shared" si="87"/>
        <v>28.664376795354197</v>
      </c>
      <c r="CF165" s="74">
        <f t="shared" si="88"/>
        <v>12.575710166359018</v>
      </c>
      <c r="CG165" s="74">
        <f t="shared" si="89"/>
        <v>0.59105433130431184</v>
      </c>
      <c r="CH165" s="74">
        <f t="shared" si="90"/>
        <v>-0.38514482548203544</v>
      </c>
      <c r="CI165" s="74">
        <f t="shared" si="91"/>
        <v>87569.671109807066</v>
      </c>
      <c r="CJ165" s="74">
        <f t="shared" si="92"/>
        <v>38418.7945582268</v>
      </c>
      <c r="CK165" s="74">
        <f t="shared" si="93"/>
        <v>1805.6709821346726</v>
      </c>
      <c r="CL165" s="74">
        <f t="shared" si="94"/>
        <v>-1176.6174418476182</v>
      </c>
      <c r="CM165" s="316"/>
      <c r="CN165" s="74">
        <v>9072.6855970961024</v>
      </c>
      <c r="CO165" s="74">
        <v>1444.4667159999999</v>
      </c>
    </row>
    <row r="166" spans="1:93" x14ac:dyDescent="0.2">
      <c r="A166" s="74">
        <v>489</v>
      </c>
      <c r="B166" s="74" t="s">
        <v>286</v>
      </c>
      <c r="C166" s="74">
        <v>8</v>
      </c>
      <c r="D166" s="74">
        <v>1835</v>
      </c>
      <c r="E166" s="89">
        <v>5081685.2522720899</v>
      </c>
      <c r="F166" s="74">
        <v>2178058.1941897743</v>
      </c>
      <c r="G166" s="74">
        <v>505623.20850000001</v>
      </c>
      <c r="H166" s="74">
        <v>531019.28080000007</v>
      </c>
      <c r="I166" s="74">
        <v>921878.45403203438</v>
      </c>
      <c r="J166" s="74">
        <v>423123.10347109102</v>
      </c>
      <c r="K166" s="74">
        <v>741397.29173486971</v>
      </c>
      <c r="L166" s="74">
        <v>-377906</v>
      </c>
      <c r="M166" s="75">
        <v>-11000</v>
      </c>
      <c r="N166" s="75">
        <v>13734.539376686482</v>
      </c>
      <c r="O166" s="178">
        <f t="shared" si="65"/>
        <v>-155757.18016763404</v>
      </c>
      <c r="P166" s="179">
        <f t="shared" si="66"/>
        <v>-84.881297094078491</v>
      </c>
      <c r="Q166" s="74"/>
      <c r="R166" s="89">
        <v>14191700</v>
      </c>
      <c r="S166" s="74">
        <v>5010984.8275282066</v>
      </c>
      <c r="T166" s="74">
        <v>796528.9212000001</v>
      </c>
      <c r="U166" s="74">
        <v>7129407.1898948792</v>
      </c>
      <c r="V166" s="74">
        <v>1411172.7288738531</v>
      </c>
      <c r="W166" s="74">
        <v>116717.20850000001</v>
      </c>
      <c r="X166" s="178">
        <f t="shared" si="67"/>
        <v>273110.87599693798</v>
      </c>
      <c r="Y166" s="179">
        <f t="shared" si="68"/>
        <v>148.83426484846757</v>
      </c>
      <c r="Z166" s="74"/>
      <c r="AA166" s="84">
        <f t="shared" si="69"/>
        <v>-428868.05616457202</v>
      </c>
      <c r="AB166" s="132">
        <f t="shared" si="70"/>
        <v>-233.71556194254606</v>
      </c>
      <c r="AD166" s="180">
        <v>436512.14291764144</v>
      </c>
      <c r="AE166" s="187">
        <v>406609.43267705169</v>
      </c>
      <c r="AF166" s="187">
        <v>377086.72941284557</v>
      </c>
      <c r="AG166" s="187">
        <v>347377.64086251543</v>
      </c>
      <c r="AH166" s="188">
        <v>318061.31540981249</v>
      </c>
      <c r="AJ166" s="74">
        <f t="shared" si="71"/>
        <v>2832926.6333384323</v>
      </c>
      <c r="AK166" s="74">
        <f t="shared" si="72"/>
        <v>265509.64040000003</v>
      </c>
      <c r="AL166" s="74">
        <f t="shared" si="73"/>
        <v>6207528.7358628446</v>
      </c>
      <c r="AM166" s="74">
        <f t="shared" si="74"/>
        <v>9110014.7477279101</v>
      </c>
      <c r="AN166" s="74">
        <f t="shared" si="75"/>
        <v>436512.14291764144</v>
      </c>
      <c r="AO166" s="74">
        <f t="shared" si="76"/>
        <v>406609.43267705169</v>
      </c>
      <c r="AP166" s="74">
        <f t="shared" si="77"/>
        <v>377086.72941284557</v>
      </c>
      <c r="AQ166" s="74">
        <f t="shared" si="78"/>
        <v>347377.64086251543</v>
      </c>
      <c r="AR166" s="74">
        <f t="shared" si="79"/>
        <v>318061.31540981249</v>
      </c>
      <c r="AS166" s="75">
        <v>965</v>
      </c>
      <c r="AT166" s="75"/>
      <c r="AU166" s="75"/>
      <c r="AV166" s="75">
        <v>0</v>
      </c>
      <c r="AW166" s="75">
        <v>5308.7012716838399</v>
      </c>
      <c r="AX166" s="75">
        <v>-965.02038511301907</v>
      </c>
      <c r="AY166" s="75">
        <v>988.0496254027621</v>
      </c>
      <c r="AZ166" s="316"/>
      <c r="BA166" s="74"/>
      <c r="BB166" s="74"/>
      <c r="BC166" s="74"/>
      <c r="BD166" s="74"/>
      <c r="BE166" s="74"/>
      <c r="BF166" s="74"/>
      <c r="BG166" s="74"/>
      <c r="BM166" s="316"/>
      <c r="BN166" s="74">
        <v>5081685.2522720899</v>
      </c>
      <c r="BO166" s="74">
        <v>8484335.2899999972</v>
      </c>
      <c r="BP166" s="74">
        <v>9183000</v>
      </c>
      <c r="BQ166" s="74">
        <v>303365.7</v>
      </c>
      <c r="BR166" s="74">
        <v>359000</v>
      </c>
      <c r="BS166" s="406">
        <f t="shared" si="80"/>
        <v>0.56534328696737324</v>
      </c>
      <c r="BT166" s="406">
        <f t="shared" si="81"/>
        <v>0.33333333333333337</v>
      </c>
      <c r="BU166" s="74">
        <f t="shared" si="82"/>
        <v>7936975.6530004758</v>
      </c>
      <c r="BV166" s="316"/>
      <c r="BW166" s="74">
        <v>14191700</v>
      </c>
      <c r="BX166" s="74">
        <v>5081685.2522720899</v>
      </c>
      <c r="BY166" s="74">
        <v>6313136.9572282061</v>
      </c>
      <c r="BZ166" s="74">
        <v>3214700.6834897744</v>
      </c>
      <c r="CA166" s="74">
        <f t="shared" si="83"/>
        <v>741397.29173486819</v>
      </c>
      <c r="CB166" s="74">
        <f t="shared" si="84"/>
        <v>148.83426484846797</v>
      </c>
      <c r="CC166" s="74">
        <f t="shared" si="85"/>
        <v>-84.881297094079173</v>
      </c>
      <c r="CD166" s="74">
        <f t="shared" si="86"/>
        <v>-233.71556194254714</v>
      </c>
      <c r="CE166" s="74">
        <f t="shared" si="87"/>
        <v>221.58552189485215</v>
      </c>
      <c r="CF166" s="74">
        <f t="shared" si="88"/>
        <v>205.49685526585696</v>
      </c>
      <c r="CG166" s="74">
        <f t="shared" si="89"/>
        <v>189.30661627385146</v>
      </c>
      <c r="CH166" s="74">
        <f t="shared" si="90"/>
        <v>173.33041711706511</v>
      </c>
      <c r="CI166" s="74">
        <f t="shared" si="91"/>
        <v>406609.43267705367</v>
      </c>
      <c r="CJ166" s="74">
        <f t="shared" si="92"/>
        <v>377086.72941284755</v>
      </c>
      <c r="CK166" s="74">
        <f t="shared" si="93"/>
        <v>347377.64086251741</v>
      </c>
      <c r="CL166" s="74">
        <f t="shared" si="94"/>
        <v>318061.31540981447</v>
      </c>
      <c r="CM166" s="316"/>
      <c r="CN166" s="74">
        <v>5114.1977286375031</v>
      </c>
      <c r="CO166" s="74">
        <v>864.44999200000007</v>
      </c>
    </row>
    <row r="167" spans="1:93" x14ac:dyDescent="0.2">
      <c r="A167" s="74">
        <v>491</v>
      </c>
      <c r="B167" s="74" t="s">
        <v>287</v>
      </c>
      <c r="C167" s="74">
        <v>10</v>
      </c>
      <c r="D167" s="74">
        <v>52122</v>
      </c>
      <c r="E167" s="89">
        <v>138196590.61854523</v>
      </c>
      <c r="F167" s="74">
        <v>87721065.66582489</v>
      </c>
      <c r="G167" s="74">
        <v>21496459.4267</v>
      </c>
      <c r="H167" s="74">
        <v>11987881.5232</v>
      </c>
      <c r="I167" s="74">
        <v>15333416.874443898</v>
      </c>
      <c r="J167" s="74">
        <v>8851296.9700308368</v>
      </c>
      <c r="K167" s="74">
        <v>-9833567.5417955555</v>
      </c>
      <c r="L167" s="74">
        <v>913284</v>
      </c>
      <c r="M167" s="75">
        <v>3550000</v>
      </c>
      <c r="N167" s="75">
        <v>517846.58056992665</v>
      </c>
      <c r="O167" s="178">
        <f t="shared" si="65"/>
        <v>2341092.8804287612</v>
      </c>
      <c r="P167" s="179">
        <f t="shared" si="66"/>
        <v>44.915637934629544</v>
      </c>
      <c r="Q167" s="74"/>
      <c r="R167" s="89">
        <v>377907500</v>
      </c>
      <c r="S167" s="74">
        <v>198550455.15677309</v>
      </c>
      <c r="T167" s="74">
        <v>17981822.2848</v>
      </c>
      <c r="U167" s="74">
        <v>103951371.71221559</v>
      </c>
      <c r="V167" s="74">
        <v>29520271.516264968</v>
      </c>
      <c r="W167" s="74">
        <v>25959743.4267</v>
      </c>
      <c r="X167" s="178">
        <f t="shared" si="67"/>
        <v>-1943835.9032463431</v>
      </c>
      <c r="Y167" s="179">
        <f t="shared" si="68"/>
        <v>-37.293962304714768</v>
      </c>
      <c r="Z167" s="74"/>
      <c r="AA167" s="84">
        <f t="shared" si="69"/>
        <v>4284928.7836751044</v>
      </c>
      <c r="AB167" s="132">
        <f t="shared" si="70"/>
        <v>82.209600239344311</v>
      </c>
      <c r="AD167" s="180">
        <v>-4067803.3941691183</v>
      </c>
      <c r="AE167" s="187">
        <v>-3353510.7310410626</v>
      </c>
      <c r="AF167" s="187">
        <v>-2628424.2130775494</v>
      </c>
      <c r="AG167" s="187">
        <v>-1908631.8498188609</v>
      </c>
      <c r="AH167" s="188">
        <v>-1177683.302268879</v>
      </c>
      <c r="AJ167" s="74">
        <f t="shared" si="71"/>
        <v>110829389.4909482</v>
      </c>
      <c r="AK167" s="74">
        <f t="shared" si="72"/>
        <v>5993940.7616000008</v>
      </c>
      <c r="AL167" s="74">
        <f t="shared" si="73"/>
        <v>88617954.837771684</v>
      </c>
      <c r="AM167" s="74">
        <f t="shared" si="74"/>
        <v>239710909.38145477</v>
      </c>
      <c r="AN167" s="74">
        <f t="shared" si="75"/>
        <v>-4067803.3941691183</v>
      </c>
      <c r="AO167" s="74">
        <f t="shared" si="76"/>
        <v>-3353510.7310410626</v>
      </c>
      <c r="AP167" s="74">
        <f t="shared" si="77"/>
        <v>-2628424.2130775494</v>
      </c>
      <c r="AQ167" s="74">
        <f t="shared" si="78"/>
        <v>-1908631.8498188609</v>
      </c>
      <c r="AR167" s="74">
        <f t="shared" si="79"/>
        <v>-1177683.302268879</v>
      </c>
      <c r="AS167" s="75">
        <v>21663</v>
      </c>
      <c r="AT167" s="75"/>
      <c r="AU167" s="75"/>
      <c r="AV167" s="75">
        <v>511</v>
      </c>
      <c r="AW167" s="75">
        <v>78277.06446071995</v>
      </c>
      <c r="AX167" s="75">
        <v>-8092.7206297546554</v>
      </c>
      <c r="AY167" s="75">
        <v>20668.974546234131</v>
      </c>
      <c r="AZ167" s="316"/>
      <c r="BA167" s="74"/>
      <c r="BB167" s="74"/>
      <c r="BC167" s="74"/>
      <c r="BD167" s="74"/>
      <c r="BE167" s="74"/>
      <c r="BF167" s="74"/>
      <c r="BG167" s="74"/>
      <c r="BM167" s="316"/>
      <c r="BN167" s="74">
        <v>138196590.61854523</v>
      </c>
      <c r="BO167" s="74">
        <v>232053839.09999999</v>
      </c>
      <c r="BP167" s="74">
        <v>233631000</v>
      </c>
      <c r="BQ167" s="74">
        <v>5407718.049999997</v>
      </c>
      <c r="BR167" s="74">
        <v>5613000</v>
      </c>
      <c r="BS167" s="406">
        <f t="shared" si="80"/>
        <v>0.55819257328540806</v>
      </c>
      <c r="BT167" s="406">
        <f t="shared" si="81"/>
        <v>0.33333333333333337</v>
      </c>
      <c r="BU167" s="74">
        <f t="shared" si="82"/>
        <v>99453361.842210263</v>
      </c>
      <c r="BV167" s="316"/>
      <c r="BW167" s="74">
        <v>377907500</v>
      </c>
      <c r="BX167" s="74">
        <v>138196590.61854523</v>
      </c>
      <c r="BY167" s="74">
        <v>238028736.86827308</v>
      </c>
      <c r="BZ167" s="74">
        <v>121205406.61572489</v>
      </c>
      <c r="CA167" s="74">
        <f t="shared" si="83"/>
        <v>-9833567.5417956058</v>
      </c>
      <c r="CB167" s="74">
        <f t="shared" si="84"/>
        <v>-37.293962304715123</v>
      </c>
      <c r="CC167" s="74">
        <f t="shared" si="85"/>
        <v>44.91563793462862</v>
      </c>
      <c r="CD167" s="74">
        <f t="shared" si="86"/>
        <v>82.209600239343743</v>
      </c>
      <c r="CE167" s="74">
        <f t="shared" si="87"/>
        <v>-64.339640287038733</v>
      </c>
      <c r="CF167" s="74">
        <f t="shared" si="88"/>
        <v>-50.428306916033918</v>
      </c>
      <c r="CG167" s="74">
        <f t="shared" si="89"/>
        <v>-36.61854590803943</v>
      </c>
      <c r="CH167" s="74">
        <f t="shared" si="90"/>
        <v>-22.59474506482578</v>
      </c>
      <c r="CI167" s="74">
        <f t="shared" si="91"/>
        <v>-3353510.7310410328</v>
      </c>
      <c r="CJ167" s="74">
        <f t="shared" si="92"/>
        <v>-2628424.21307752</v>
      </c>
      <c r="CK167" s="74">
        <f t="shared" si="93"/>
        <v>-1908631.8498188311</v>
      </c>
      <c r="CL167" s="74">
        <f t="shared" si="94"/>
        <v>-1177683.3022688492</v>
      </c>
      <c r="CM167" s="316"/>
      <c r="CN167" s="74">
        <v>204012.68322552901</v>
      </c>
      <c r="CO167" s="74">
        <v>19515.155967999999</v>
      </c>
    </row>
    <row r="168" spans="1:93" x14ac:dyDescent="0.2">
      <c r="A168" s="74">
        <v>494</v>
      </c>
      <c r="B168" s="74" t="s">
        <v>288</v>
      </c>
      <c r="C168" s="74">
        <v>17</v>
      </c>
      <c r="D168" s="74">
        <v>8909</v>
      </c>
      <c r="E168" s="89">
        <v>26390650.361904807</v>
      </c>
      <c r="F168" s="74">
        <v>13099300.450443761</v>
      </c>
      <c r="G168" s="74">
        <v>4100151.6719999998</v>
      </c>
      <c r="H168" s="74">
        <v>833821.53980000003</v>
      </c>
      <c r="I168" s="74">
        <v>12975297.434506949</v>
      </c>
      <c r="J168" s="74">
        <v>1353386.6768833254</v>
      </c>
      <c r="K168" s="74">
        <v>-1553214.1069209697</v>
      </c>
      <c r="L168" s="74">
        <v>21242</v>
      </c>
      <c r="M168" s="75">
        <v>-190000</v>
      </c>
      <c r="N168" s="75">
        <v>74337.058657534551</v>
      </c>
      <c r="O168" s="178">
        <f t="shared" si="65"/>
        <v>4323672.3634657934</v>
      </c>
      <c r="P168" s="179">
        <f t="shared" si="66"/>
        <v>485.31511544121599</v>
      </c>
      <c r="Q168" s="74"/>
      <c r="R168" s="89">
        <v>61585770</v>
      </c>
      <c r="S168" s="74">
        <v>29452419.800264776</v>
      </c>
      <c r="T168" s="74">
        <v>1250732.3097000001</v>
      </c>
      <c r="U168" s="74">
        <v>24774218.010552369</v>
      </c>
      <c r="V168" s="74">
        <v>4513727.4574973555</v>
      </c>
      <c r="W168" s="74">
        <v>3931393.6719999998</v>
      </c>
      <c r="X168" s="178">
        <f t="shared" si="67"/>
        <v>2336721.2500144988</v>
      </c>
      <c r="Y168" s="179">
        <f t="shared" si="68"/>
        <v>262.2877146721853</v>
      </c>
      <c r="Z168" s="74"/>
      <c r="AA168" s="84">
        <f t="shared" si="69"/>
        <v>1986951.1134512946</v>
      </c>
      <c r="AB168" s="132">
        <f t="shared" si="70"/>
        <v>223.02740076903072</v>
      </c>
      <c r="AD168" s="302">
        <v>-1949838.7598365208</v>
      </c>
      <c r="AE168" s="303">
        <v>-1827747.6402362015</v>
      </c>
      <c r="AF168" s="303">
        <v>-1703811.5712339196</v>
      </c>
      <c r="AG168" s="303">
        <v>-1580780.4104136967</v>
      </c>
      <c r="AH168" s="304">
        <v>-1455842.3687015062</v>
      </c>
      <c r="AI168"/>
      <c r="AJ168" s="74">
        <f t="shared" si="71"/>
        <v>16353119.349821014</v>
      </c>
      <c r="AK168" s="74">
        <f t="shared" si="72"/>
        <v>416910.76990000007</v>
      </c>
      <c r="AL168" s="74">
        <f t="shared" si="73"/>
        <v>11798920.57604542</v>
      </c>
      <c r="AM168" s="74">
        <f t="shared" si="74"/>
        <v>35195119.638095193</v>
      </c>
      <c r="AN168" s="74">
        <f t="shared" si="75"/>
        <v>-1949838.7598365208</v>
      </c>
      <c r="AO168" s="74">
        <f t="shared" si="76"/>
        <v>-1827747.6402362015</v>
      </c>
      <c r="AP168" s="74">
        <f t="shared" si="77"/>
        <v>-1703811.5712339196</v>
      </c>
      <c r="AQ168" s="74">
        <f t="shared" si="78"/>
        <v>-1580780.4104136967</v>
      </c>
      <c r="AR168" s="74">
        <f t="shared" si="79"/>
        <v>-1455842.3687015062</v>
      </c>
      <c r="AS168" s="75">
        <v>3483</v>
      </c>
      <c r="AT168" s="75"/>
      <c r="AU168" s="75"/>
      <c r="AV168" s="75">
        <v>174</v>
      </c>
      <c r="AW168" s="75">
        <v>9083.3037597538423</v>
      </c>
      <c r="AX168" s="75">
        <v>-3670.9570338994681</v>
      </c>
      <c r="AY168" s="75">
        <v>3160.3407806140303</v>
      </c>
      <c r="AZ168" s="316"/>
      <c r="BA168" s="74"/>
      <c r="BB168" s="74"/>
      <c r="BC168" s="74"/>
      <c r="BD168" s="74"/>
      <c r="BE168" s="74"/>
      <c r="BF168" s="74"/>
      <c r="BG168" s="74"/>
      <c r="BM168" s="316"/>
      <c r="BN168" s="74">
        <v>26390650.361904807</v>
      </c>
      <c r="BO168" s="74">
        <v>34292120.670000002</v>
      </c>
      <c r="BP168" s="74">
        <v>34526000</v>
      </c>
      <c r="BQ168" s="74">
        <v>628493.27</v>
      </c>
      <c r="BR168" s="74">
        <v>637000</v>
      </c>
      <c r="BS168" s="406">
        <f t="shared" si="80"/>
        <v>0.55523856649883818</v>
      </c>
      <c r="BT168" s="406">
        <f t="shared" si="81"/>
        <v>0.33333333333333337</v>
      </c>
      <c r="BU168" s="74">
        <f t="shared" si="82"/>
        <v>13406047.249738481</v>
      </c>
      <c r="BV168" s="316"/>
      <c r="BW168" s="74">
        <v>61585770</v>
      </c>
      <c r="BX168" s="74">
        <v>26390650.361904807</v>
      </c>
      <c r="BY168" s="74">
        <v>34803303.781964779</v>
      </c>
      <c r="BZ168" s="74">
        <v>18033273.662243761</v>
      </c>
      <c r="CA168" s="74">
        <f t="shared" si="83"/>
        <v>-1553214.1069209713</v>
      </c>
      <c r="CB168" s="74">
        <f t="shared" si="84"/>
        <v>262.28771467218559</v>
      </c>
      <c r="CC168" s="74">
        <f t="shared" si="85"/>
        <v>485.31511544121588</v>
      </c>
      <c r="CD168" s="74">
        <f t="shared" si="86"/>
        <v>223.02740076903029</v>
      </c>
      <c r="CE168" s="74">
        <f t="shared" si="87"/>
        <v>-205.15744081672528</v>
      </c>
      <c r="CF168" s="74">
        <f t="shared" si="88"/>
        <v>-191.24610744572047</v>
      </c>
      <c r="CG168" s="74">
        <f t="shared" si="89"/>
        <v>-177.43634643772597</v>
      </c>
      <c r="CH168" s="74">
        <f t="shared" si="90"/>
        <v>-163.41254559451232</v>
      </c>
      <c r="CI168" s="74">
        <f t="shared" si="91"/>
        <v>-1827747.6402362057</v>
      </c>
      <c r="CJ168" s="74">
        <f t="shared" si="92"/>
        <v>-1703811.5712339235</v>
      </c>
      <c r="CK168" s="74">
        <f t="shared" si="93"/>
        <v>-1580780.4104137006</v>
      </c>
      <c r="CL168" s="74">
        <f t="shared" si="94"/>
        <v>-1455842.3687015104</v>
      </c>
      <c r="CM168" s="316"/>
      <c r="CN168" s="74">
        <v>30128.84375913686</v>
      </c>
      <c r="CO168" s="74">
        <v>1357.383902</v>
      </c>
    </row>
    <row r="169" spans="1:93" x14ac:dyDescent="0.2">
      <c r="A169" s="74">
        <v>495</v>
      </c>
      <c r="B169" s="74" t="s">
        <v>289</v>
      </c>
      <c r="C169" s="74">
        <v>13</v>
      </c>
      <c r="D169" s="74">
        <v>1488</v>
      </c>
      <c r="E169" s="89">
        <v>4261447.0144693255</v>
      </c>
      <c r="F169" s="74">
        <v>1921862.7862420899</v>
      </c>
      <c r="G169" s="74">
        <v>474901.55250000005</v>
      </c>
      <c r="H169" s="74">
        <v>842938.2794</v>
      </c>
      <c r="I169" s="74">
        <v>870869.56055657216</v>
      </c>
      <c r="J169" s="74">
        <v>335529.10291730438</v>
      </c>
      <c r="K169" s="74">
        <v>214609.38296891158</v>
      </c>
      <c r="L169" s="74">
        <v>-388195</v>
      </c>
      <c r="M169" s="75">
        <v>670</v>
      </c>
      <c r="N169" s="75">
        <v>12381.33650062253</v>
      </c>
      <c r="O169" s="178">
        <f t="shared" si="65"/>
        <v>24119.986616175622</v>
      </c>
      <c r="P169" s="179">
        <f t="shared" si="66"/>
        <v>16.209668424849209</v>
      </c>
      <c r="Q169" s="74"/>
      <c r="R169" s="89">
        <v>11826310</v>
      </c>
      <c r="S169" s="74">
        <v>4293554.8206262337</v>
      </c>
      <c r="T169" s="74">
        <v>1264407.4190999998</v>
      </c>
      <c r="U169" s="74">
        <v>5258569.908401628</v>
      </c>
      <c r="V169" s="74">
        <v>1119034.8999998732</v>
      </c>
      <c r="W169" s="74">
        <v>87376.552500000049</v>
      </c>
      <c r="X169" s="178">
        <f t="shared" si="67"/>
        <v>196633.60062773526</v>
      </c>
      <c r="Y169" s="179">
        <f t="shared" si="68"/>
        <v>132.14623698100488</v>
      </c>
      <c r="Z169" s="74"/>
      <c r="AA169" s="84">
        <f t="shared" si="69"/>
        <v>-172513.61401155964</v>
      </c>
      <c r="AB169" s="132">
        <f t="shared" si="70"/>
        <v>-115.93656855615566</v>
      </c>
      <c r="AD169" s="180">
        <v>178712.19771105226</v>
      </c>
      <c r="AE169" s="187">
        <v>154464.1144205904</v>
      </c>
      <c r="AF169" s="187">
        <v>130524.17847664558</v>
      </c>
      <c r="AG169" s="187">
        <v>106433.10285654136</v>
      </c>
      <c r="AH169" s="188">
        <v>82660.518511243281</v>
      </c>
      <c r="AJ169" s="74">
        <f t="shared" si="71"/>
        <v>2371692.0343841435</v>
      </c>
      <c r="AK169" s="74">
        <f t="shared" si="72"/>
        <v>421469.13969999983</v>
      </c>
      <c r="AL169" s="74">
        <f t="shared" si="73"/>
        <v>4387700.3478450561</v>
      </c>
      <c r="AM169" s="74">
        <f t="shared" si="74"/>
        <v>7564862.9855306745</v>
      </c>
      <c r="AN169" s="74">
        <f t="shared" si="75"/>
        <v>178712.19771105226</v>
      </c>
      <c r="AO169" s="74">
        <f t="shared" si="76"/>
        <v>154464.1144205904</v>
      </c>
      <c r="AP169" s="74">
        <f t="shared" si="77"/>
        <v>130524.17847664558</v>
      </c>
      <c r="AQ169" s="74">
        <f t="shared" si="78"/>
        <v>106433.10285654136</v>
      </c>
      <c r="AR169" s="74">
        <f t="shared" si="79"/>
        <v>82660.518511243281</v>
      </c>
      <c r="AS169" s="75">
        <v>527</v>
      </c>
      <c r="AT169" s="75"/>
      <c r="AU169" s="75"/>
      <c r="AV169" s="75">
        <v>1</v>
      </c>
      <c r="AW169" s="75">
        <v>3710.4450474885971</v>
      </c>
      <c r="AX169" s="75">
        <v>-648.46017809077102</v>
      </c>
      <c r="AY169" s="75">
        <v>783.50579708256885</v>
      </c>
      <c r="AZ169" s="316"/>
      <c r="BA169" s="74"/>
      <c r="BB169" s="74"/>
      <c r="BC169" s="74"/>
      <c r="BD169" s="74"/>
      <c r="BE169" s="74"/>
      <c r="BF169" s="74"/>
      <c r="BG169" s="74"/>
      <c r="BM169" s="316"/>
      <c r="BN169" s="74">
        <v>4261447.0144693255</v>
      </c>
      <c r="BO169" s="74">
        <v>7230506.7899999991</v>
      </c>
      <c r="BP169" s="74">
        <v>7924000</v>
      </c>
      <c r="BQ169" s="74">
        <v>141390.96</v>
      </c>
      <c r="BR169" s="74">
        <v>146000</v>
      </c>
      <c r="BS169" s="406">
        <f t="shared" si="80"/>
        <v>0.55238424416768539</v>
      </c>
      <c r="BT169" s="406">
        <f t="shared" si="81"/>
        <v>0.33333333333333326</v>
      </c>
      <c r="BU169" s="74">
        <f t="shared" si="82"/>
        <v>5385815.5278965365</v>
      </c>
      <c r="BV169" s="316"/>
      <c r="BW169" s="74">
        <v>11826310</v>
      </c>
      <c r="BX169" s="74">
        <v>4261447.0144693255</v>
      </c>
      <c r="BY169" s="74">
        <v>6032863.7922262335</v>
      </c>
      <c r="BZ169" s="74">
        <v>3239702.6181420898</v>
      </c>
      <c r="CA169" s="74">
        <f t="shared" si="83"/>
        <v>214609.38296891117</v>
      </c>
      <c r="CB169" s="74">
        <f t="shared" si="84"/>
        <v>132.14623698100445</v>
      </c>
      <c r="CC169" s="74">
        <f t="shared" si="85"/>
        <v>16.209668424848694</v>
      </c>
      <c r="CD169" s="74">
        <f t="shared" si="86"/>
        <v>-115.93656855615575</v>
      </c>
      <c r="CE169" s="74">
        <f t="shared" si="87"/>
        <v>103.80652850846076</v>
      </c>
      <c r="CF169" s="74">
        <f t="shared" si="88"/>
        <v>87.717861879465573</v>
      </c>
      <c r="CG169" s="74">
        <f t="shared" si="89"/>
        <v>71.527622887460055</v>
      </c>
      <c r="CH169" s="74">
        <f t="shared" si="90"/>
        <v>55.551423730673712</v>
      </c>
      <c r="CI169" s="74">
        <f t="shared" si="91"/>
        <v>154464.11442058961</v>
      </c>
      <c r="CJ169" s="74">
        <f t="shared" si="92"/>
        <v>130524.17847664477</v>
      </c>
      <c r="CK169" s="74">
        <f t="shared" si="93"/>
        <v>106433.10285654056</v>
      </c>
      <c r="CL169" s="74">
        <f t="shared" si="94"/>
        <v>82660.518511242481</v>
      </c>
      <c r="CM169" s="316"/>
      <c r="CN169" s="74">
        <v>4373.4197105775729</v>
      </c>
      <c r="CO169" s="74">
        <v>1372.2251059999999</v>
      </c>
    </row>
    <row r="170" spans="1:93" x14ac:dyDescent="0.2">
      <c r="A170" s="74">
        <v>498</v>
      </c>
      <c r="B170" s="74" t="s">
        <v>290</v>
      </c>
      <c r="C170" s="74">
        <v>19</v>
      </c>
      <c r="D170" s="74">
        <v>2321</v>
      </c>
      <c r="E170" s="89">
        <v>8977533.1277424768</v>
      </c>
      <c r="F170" s="74">
        <v>3484465.5493456456</v>
      </c>
      <c r="G170" s="74">
        <v>1197278.8495</v>
      </c>
      <c r="H170" s="74">
        <v>974508.61300000013</v>
      </c>
      <c r="I170" s="74">
        <v>2773406.8293015989</v>
      </c>
      <c r="J170" s="74">
        <v>452470.24705664557</v>
      </c>
      <c r="K170" s="74">
        <v>-122686.07046232563</v>
      </c>
      <c r="L170" s="74">
        <v>38261</v>
      </c>
      <c r="M170" s="75">
        <v>-34000</v>
      </c>
      <c r="N170" s="75">
        <v>22095.271489685634</v>
      </c>
      <c r="O170" s="178">
        <f t="shared" si="65"/>
        <v>-191732.8385112267</v>
      </c>
      <c r="P170" s="179">
        <f t="shared" si="66"/>
        <v>-82.607858040166604</v>
      </c>
      <c r="Q170" s="74"/>
      <c r="R170" s="89">
        <v>20564542</v>
      </c>
      <c r="S170" s="74">
        <v>7981782.5330884382</v>
      </c>
      <c r="T170" s="74">
        <v>1461762.9195000001</v>
      </c>
      <c r="U170" s="74">
        <v>8703392.9284687191</v>
      </c>
      <c r="V170" s="74">
        <v>1509049.4185618917</v>
      </c>
      <c r="W170" s="74">
        <v>1201539.8495</v>
      </c>
      <c r="X170" s="178">
        <f t="shared" si="67"/>
        <v>292985.64911904931</v>
      </c>
      <c r="Y170" s="179">
        <f t="shared" si="68"/>
        <v>126.23250716029699</v>
      </c>
      <c r="Z170" s="74"/>
      <c r="AA170" s="84">
        <f t="shared" si="69"/>
        <v>-484718.48763027601</v>
      </c>
      <c r="AB170" s="132">
        <f t="shared" si="70"/>
        <v>-208.84036520046359</v>
      </c>
      <c r="AD170" s="180">
        <v>494387.11180132453</v>
      </c>
      <c r="AE170" s="187">
        <v>456564.66467957594</v>
      </c>
      <c r="AF170" s="187">
        <v>419222.8694336781</v>
      </c>
      <c r="AG170" s="187">
        <v>381645.32473323331</v>
      </c>
      <c r="AH170" s="188">
        <v>344564.56649033219</v>
      </c>
      <c r="AJ170" s="74">
        <f t="shared" si="71"/>
        <v>4497316.9837427922</v>
      </c>
      <c r="AK170" s="74">
        <f t="shared" si="72"/>
        <v>487254.30649999995</v>
      </c>
      <c r="AL170" s="74">
        <f t="shared" si="73"/>
        <v>5929986.0991671197</v>
      </c>
      <c r="AM170" s="74">
        <f t="shared" si="74"/>
        <v>11587008.872257523</v>
      </c>
      <c r="AN170" s="74">
        <f t="shared" si="75"/>
        <v>494387.11180132453</v>
      </c>
      <c r="AO170" s="74">
        <f t="shared" si="76"/>
        <v>456564.66467957594</v>
      </c>
      <c r="AP170" s="74">
        <f t="shared" si="77"/>
        <v>419222.8694336781</v>
      </c>
      <c r="AQ170" s="74">
        <f t="shared" si="78"/>
        <v>381645.32473323331</v>
      </c>
      <c r="AR170" s="74">
        <f t="shared" si="79"/>
        <v>344564.56649033219</v>
      </c>
      <c r="AS170" s="75">
        <v>805</v>
      </c>
      <c r="AT170" s="75"/>
      <c r="AU170" s="75"/>
      <c r="AV170" s="75">
        <v>13</v>
      </c>
      <c r="AW170" s="75">
        <v>4977.9178332438114</v>
      </c>
      <c r="AX170" s="75">
        <v>-386.56603200919238</v>
      </c>
      <c r="AY170" s="75">
        <v>1056.579171505246</v>
      </c>
      <c r="AZ170" s="316"/>
      <c r="BA170" s="74"/>
      <c r="BB170" s="74"/>
      <c r="BC170" s="74"/>
      <c r="BD170" s="74"/>
      <c r="BE170" s="74"/>
      <c r="BF170" s="74"/>
      <c r="BG170" s="74"/>
      <c r="BM170" s="316"/>
      <c r="BN170" s="74">
        <v>8977533.1277424768</v>
      </c>
      <c r="BO170" s="74">
        <v>10605731.249999998</v>
      </c>
      <c r="BP170" s="74">
        <v>11393000</v>
      </c>
      <c r="BQ170" s="74">
        <v>312843</v>
      </c>
      <c r="BR170" s="74">
        <v>353000</v>
      </c>
      <c r="BS170" s="406">
        <f t="shared" si="80"/>
        <v>0.56344769668920303</v>
      </c>
      <c r="BT170" s="406">
        <f t="shared" si="81"/>
        <v>0.33333333333333326</v>
      </c>
      <c r="BU170" s="74">
        <f t="shared" si="82"/>
        <v>6863879.2002100395</v>
      </c>
      <c r="BV170" s="316"/>
      <c r="BW170" s="74">
        <v>20564542</v>
      </c>
      <c r="BX170" s="74">
        <v>8977533.1277424768</v>
      </c>
      <c r="BY170" s="74">
        <v>10640824.302088439</v>
      </c>
      <c r="BZ170" s="74">
        <v>5656253.0118456455</v>
      </c>
      <c r="CA170" s="74">
        <f t="shared" si="83"/>
        <v>-122686.07046232613</v>
      </c>
      <c r="CB170" s="74">
        <f t="shared" si="84"/>
        <v>126.23250716029719</v>
      </c>
      <c r="CC170" s="74">
        <f t="shared" si="85"/>
        <v>-82.607858040166434</v>
      </c>
      <c r="CD170" s="74">
        <f t="shared" si="86"/>
        <v>-208.84036520046362</v>
      </c>
      <c r="CE170" s="74">
        <f t="shared" si="87"/>
        <v>196.71032515276863</v>
      </c>
      <c r="CF170" s="74">
        <f t="shared" si="88"/>
        <v>180.62165852377345</v>
      </c>
      <c r="CG170" s="74">
        <f t="shared" si="89"/>
        <v>164.43141953176794</v>
      </c>
      <c r="CH170" s="74">
        <f t="shared" si="90"/>
        <v>148.45522037498159</v>
      </c>
      <c r="CI170" s="74">
        <f t="shared" si="91"/>
        <v>456564.664679576</v>
      </c>
      <c r="CJ170" s="74">
        <f t="shared" si="92"/>
        <v>419222.86943367816</v>
      </c>
      <c r="CK170" s="74">
        <f t="shared" si="93"/>
        <v>381645.32473323337</v>
      </c>
      <c r="CL170" s="74">
        <f t="shared" si="94"/>
        <v>344564.5664903323</v>
      </c>
      <c r="CM170" s="316"/>
      <c r="CN170" s="74">
        <v>8292.4188673739027</v>
      </c>
      <c r="CO170" s="74">
        <v>1586.4093700000001</v>
      </c>
    </row>
    <row r="171" spans="1:93" x14ac:dyDescent="0.2">
      <c r="A171" s="74">
        <v>499</v>
      </c>
      <c r="B171" s="74" t="s">
        <v>291</v>
      </c>
      <c r="C171" s="74">
        <v>15</v>
      </c>
      <c r="D171" s="74">
        <v>19536</v>
      </c>
      <c r="E171" s="89">
        <v>59686414.568805426</v>
      </c>
      <c r="F171" s="74">
        <v>31155500.258997325</v>
      </c>
      <c r="G171" s="74">
        <v>5389785.5645000003</v>
      </c>
      <c r="H171" s="74">
        <v>2888285.6878</v>
      </c>
      <c r="I171" s="74">
        <v>19755746.034554023</v>
      </c>
      <c r="J171" s="74">
        <v>2895751.8574583977</v>
      </c>
      <c r="K171" s="74">
        <v>2257095.6570163397</v>
      </c>
      <c r="L171" s="74">
        <v>-1321634</v>
      </c>
      <c r="M171" s="75">
        <v>-375000</v>
      </c>
      <c r="N171" s="75">
        <v>209486.79158500012</v>
      </c>
      <c r="O171" s="178">
        <f t="shared" si="65"/>
        <v>3168603.2831056565</v>
      </c>
      <c r="P171" s="179">
        <f t="shared" si="66"/>
        <v>162.19304274701355</v>
      </c>
      <c r="Q171" s="74"/>
      <c r="R171" s="89">
        <v>126046130</v>
      </c>
      <c r="S171" s="74">
        <v>76970421.306080252</v>
      </c>
      <c r="T171" s="74">
        <v>4332428.5317000002</v>
      </c>
      <c r="U171" s="74">
        <v>35247571.959145591</v>
      </c>
      <c r="V171" s="74">
        <v>9657723.7624423206</v>
      </c>
      <c r="W171" s="74">
        <v>3693151.5645000003</v>
      </c>
      <c r="X171" s="178">
        <f t="shared" si="67"/>
        <v>3855167.1238681674</v>
      </c>
      <c r="Y171" s="179">
        <f t="shared" si="68"/>
        <v>197.33656448956631</v>
      </c>
      <c r="Z171" s="74"/>
      <c r="AA171" s="84">
        <f t="shared" si="69"/>
        <v>-686563.8407625109</v>
      </c>
      <c r="AB171" s="132">
        <f t="shared" si="70"/>
        <v>-35.143521742552771</v>
      </c>
      <c r="AD171" s="180">
        <v>767945.24610745034</v>
      </c>
      <c r="AE171" s="187">
        <v>449591.37839074142</v>
      </c>
      <c r="AF171" s="187">
        <v>135283.18712669157</v>
      </c>
      <c r="AG171" s="187">
        <v>11546.837416361037</v>
      </c>
      <c r="AH171" s="188">
        <v>-7524.1893106170446</v>
      </c>
      <c r="AJ171" s="74">
        <f t="shared" si="71"/>
        <v>45814921.047082931</v>
      </c>
      <c r="AK171" s="74">
        <f t="shared" si="72"/>
        <v>1444142.8439000002</v>
      </c>
      <c r="AL171" s="74">
        <f t="shared" si="73"/>
        <v>15491825.924591567</v>
      </c>
      <c r="AM171" s="74">
        <f t="shared" si="74"/>
        <v>66359715.431194574</v>
      </c>
      <c r="AN171" s="74">
        <f t="shared" si="75"/>
        <v>767945.24610745034</v>
      </c>
      <c r="AO171" s="74">
        <f t="shared" si="76"/>
        <v>449591.37839074142</v>
      </c>
      <c r="AP171" s="74">
        <f t="shared" si="77"/>
        <v>135283.18712669157</v>
      </c>
      <c r="AQ171" s="74">
        <f t="shared" si="78"/>
        <v>11546.837416361037</v>
      </c>
      <c r="AR171" s="74">
        <f t="shared" si="79"/>
        <v>-7524.1893106170446</v>
      </c>
      <c r="AS171" s="75">
        <v>9470</v>
      </c>
      <c r="AT171" s="75"/>
      <c r="AU171" s="75"/>
      <c r="AV171" s="75">
        <v>120</v>
      </c>
      <c r="AW171" s="75">
        <v>16051.924125981011</v>
      </c>
      <c r="AX171" s="75">
        <v>-266.54410214943402</v>
      </c>
      <c r="AY171" s="75">
        <v>6761.9719049839232</v>
      </c>
      <c r="AZ171" s="316"/>
      <c r="BA171" s="74"/>
      <c r="BB171" s="74"/>
      <c r="BC171" s="74"/>
      <c r="BD171" s="74"/>
      <c r="BE171" s="74"/>
      <c r="BF171" s="74"/>
      <c r="BG171" s="74"/>
      <c r="BM171" s="316"/>
      <c r="BN171" s="74">
        <v>59686414.568805426</v>
      </c>
      <c r="BO171" s="74">
        <v>62659359.340000018</v>
      </c>
      <c r="BP171" s="74">
        <v>69500000</v>
      </c>
      <c r="BQ171" s="74">
        <v>1489496.4</v>
      </c>
      <c r="BR171" s="74">
        <v>1530000</v>
      </c>
      <c r="BS171" s="406">
        <f t="shared" si="80"/>
        <v>0.59522762471177737</v>
      </c>
      <c r="BT171" s="406">
        <f t="shared" si="81"/>
        <v>0.33333333333333337</v>
      </c>
      <c r="BU171" s="74">
        <f t="shared" si="82"/>
        <v>24510893.486591831</v>
      </c>
      <c r="BV171" s="316"/>
      <c r="BW171" s="74">
        <v>126046130</v>
      </c>
      <c r="BX171" s="74">
        <v>59686414.568805426</v>
      </c>
      <c r="BY171" s="74">
        <v>86692635.402280256</v>
      </c>
      <c r="BZ171" s="74">
        <v>39433571.511297323</v>
      </c>
      <c r="CA171" s="74">
        <f t="shared" si="83"/>
        <v>2257095.6570163341</v>
      </c>
      <c r="CB171" s="74">
        <f t="shared" si="84"/>
        <v>197.33656448956611</v>
      </c>
      <c r="CC171" s="74">
        <f t="shared" si="85"/>
        <v>162.19304274701349</v>
      </c>
      <c r="CD171" s="74">
        <f t="shared" si="86"/>
        <v>-35.143521742552622</v>
      </c>
      <c r="CE171" s="74">
        <f t="shared" si="87"/>
        <v>23.013481694857628</v>
      </c>
      <c r="CF171" s="74">
        <f t="shared" si="88"/>
        <v>6.9248150658624485</v>
      </c>
      <c r="CG171" s="74">
        <f t="shared" si="89"/>
        <v>0.59105433130431184</v>
      </c>
      <c r="CH171" s="74">
        <f t="shared" si="90"/>
        <v>-0.38514482548203544</v>
      </c>
      <c r="CI171" s="74">
        <f t="shared" si="91"/>
        <v>449591.37839073862</v>
      </c>
      <c r="CJ171" s="74">
        <f t="shared" si="92"/>
        <v>135283.1871266888</v>
      </c>
      <c r="CK171" s="74">
        <f t="shared" si="93"/>
        <v>11546.837416361037</v>
      </c>
      <c r="CL171" s="74">
        <f t="shared" si="94"/>
        <v>-7524.1893106170446</v>
      </c>
      <c r="CM171" s="316"/>
      <c r="CN171" s="74">
        <v>79261.16664553048</v>
      </c>
      <c r="CO171" s="74">
        <v>4701.8604220000007</v>
      </c>
    </row>
    <row r="172" spans="1:93" x14ac:dyDescent="0.2">
      <c r="A172" s="74">
        <v>500</v>
      </c>
      <c r="B172" s="74" t="s">
        <v>292</v>
      </c>
      <c r="C172" s="74">
        <v>13</v>
      </c>
      <c r="D172" s="74">
        <v>10426</v>
      </c>
      <c r="E172" s="89">
        <v>30016182.891286325</v>
      </c>
      <c r="F172" s="74">
        <v>14473728.433945045</v>
      </c>
      <c r="G172" s="74">
        <v>2492451.071</v>
      </c>
      <c r="H172" s="74">
        <v>1983167.1724</v>
      </c>
      <c r="I172" s="74">
        <v>8380572.1291721063</v>
      </c>
      <c r="J172" s="74">
        <v>1069072.6937091458</v>
      </c>
      <c r="K172" s="74">
        <v>2384572.1870733406</v>
      </c>
      <c r="L172" s="74">
        <v>-568847</v>
      </c>
      <c r="M172" s="75">
        <v>51060</v>
      </c>
      <c r="N172" s="75">
        <v>117375.84388819545</v>
      </c>
      <c r="O172" s="178">
        <f t="shared" si="65"/>
        <v>366969.63990150765</v>
      </c>
      <c r="P172" s="179">
        <f t="shared" si="66"/>
        <v>35.197548427154004</v>
      </c>
      <c r="Q172" s="74"/>
      <c r="R172" s="89">
        <v>58688890</v>
      </c>
      <c r="S172" s="74">
        <v>39961487.357124783</v>
      </c>
      <c r="T172" s="74">
        <v>2974750.7586000003</v>
      </c>
      <c r="U172" s="74">
        <v>11808062.055960063</v>
      </c>
      <c r="V172" s="74">
        <v>3565501.9028029302</v>
      </c>
      <c r="W172" s="74">
        <v>1974664.071</v>
      </c>
      <c r="X172" s="178">
        <f t="shared" si="67"/>
        <v>1595576.1454877704</v>
      </c>
      <c r="Y172" s="179">
        <f t="shared" si="68"/>
        <v>153.03818775060142</v>
      </c>
      <c r="Z172" s="74"/>
      <c r="AA172" s="84">
        <f t="shared" si="69"/>
        <v>-1228606.5055862628</v>
      </c>
      <c r="AB172" s="132">
        <f t="shared" si="70"/>
        <v>-117.84063932344742</v>
      </c>
      <c r="AD172" s="180">
        <v>1272038.2486312266</v>
      </c>
      <c r="AE172" s="187">
        <v>1102138.7080489986</v>
      </c>
      <c r="AF172" s="187">
        <v>934398.2697750947</v>
      </c>
      <c r="AG172" s="187">
        <v>765598.83804444515</v>
      </c>
      <c r="AH172" s="188">
        <v>599030.98563579074</v>
      </c>
      <c r="AJ172" s="74">
        <f t="shared" si="71"/>
        <v>25487758.923179738</v>
      </c>
      <c r="AK172" s="74">
        <f t="shared" si="72"/>
        <v>991583.58620000025</v>
      </c>
      <c r="AL172" s="74">
        <f t="shared" si="73"/>
        <v>3427489.9267879566</v>
      </c>
      <c r="AM172" s="74">
        <f t="shared" si="74"/>
        <v>28672707.108713675</v>
      </c>
      <c r="AN172" s="74">
        <f t="shared" si="75"/>
        <v>1272038.2486312266</v>
      </c>
      <c r="AO172" s="74">
        <f t="shared" si="76"/>
        <v>1102138.7080489986</v>
      </c>
      <c r="AP172" s="74">
        <f t="shared" si="77"/>
        <v>934398.2697750947</v>
      </c>
      <c r="AQ172" s="74">
        <f t="shared" si="78"/>
        <v>765598.83804444515</v>
      </c>
      <c r="AR172" s="74">
        <f t="shared" si="79"/>
        <v>599030.98563579074</v>
      </c>
      <c r="AS172" s="75">
        <v>4066</v>
      </c>
      <c r="AT172" s="75"/>
      <c r="AU172" s="75"/>
      <c r="AV172" s="75">
        <v>37</v>
      </c>
      <c r="AW172" s="75">
        <v>4817.5749277607702</v>
      </c>
      <c r="AX172" s="75">
        <v>1024.453388304172</v>
      </c>
      <c r="AY172" s="75">
        <v>2496.4292090937847</v>
      </c>
      <c r="AZ172" s="316"/>
      <c r="BA172" s="74"/>
      <c r="BB172" s="74"/>
      <c r="BC172" s="74"/>
      <c r="BD172" s="74"/>
      <c r="BE172" s="74"/>
      <c r="BF172" s="74"/>
      <c r="BG172" s="74"/>
      <c r="BM172" s="316"/>
      <c r="BN172" s="74">
        <v>30016182.891286325</v>
      </c>
      <c r="BO172" s="74">
        <v>25595939.870000005</v>
      </c>
      <c r="BP172" s="74">
        <v>28934000</v>
      </c>
      <c r="BQ172" s="74">
        <v>999808.83</v>
      </c>
      <c r="BR172" s="74">
        <v>884000</v>
      </c>
      <c r="BS172" s="406">
        <f t="shared" si="80"/>
        <v>0.63780806493518805</v>
      </c>
      <c r="BT172" s="406">
        <f t="shared" si="81"/>
        <v>0.33333333333333337</v>
      </c>
      <c r="BU172" s="74">
        <f t="shared" si="82"/>
        <v>8308491.3229550812</v>
      </c>
      <c r="BV172" s="316"/>
      <c r="BW172" s="74">
        <v>58688890</v>
      </c>
      <c r="BX172" s="74">
        <v>30016182.891286325</v>
      </c>
      <c r="BY172" s="74">
        <v>45428689.186724789</v>
      </c>
      <c r="BZ172" s="74">
        <v>18949346.677345045</v>
      </c>
      <c r="CA172" s="74">
        <f t="shared" si="83"/>
        <v>2384572.1870733406</v>
      </c>
      <c r="CB172" s="74">
        <f t="shared" si="84"/>
        <v>153.03818775060199</v>
      </c>
      <c r="CC172" s="74">
        <f t="shared" si="85"/>
        <v>35.197548427154068</v>
      </c>
      <c r="CD172" s="74">
        <f t="shared" si="86"/>
        <v>-117.84063932344793</v>
      </c>
      <c r="CE172" s="74">
        <f t="shared" si="87"/>
        <v>105.71059927575294</v>
      </c>
      <c r="CF172" s="74">
        <f t="shared" si="88"/>
        <v>89.621932646757756</v>
      </c>
      <c r="CG172" s="74">
        <f t="shared" si="89"/>
        <v>73.431693654752237</v>
      </c>
      <c r="CH172" s="74">
        <f t="shared" si="90"/>
        <v>57.455494497965894</v>
      </c>
      <c r="CI172" s="74">
        <f t="shared" si="91"/>
        <v>1102138.7080490002</v>
      </c>
      <c r="CJ172" s="74">
        <f t="shared" si="92"/>
        <v>934398.26977509633</v>
      </c>
      <c r="CK172" s="74">
        <f t="shared" si="93"/>
        <v>765598.83804444678</v>
      </c>
      <c r="CL172" s="74">
        <f t="shared" si="94"/>
        <v>599030.98563579237</v>
      </c>
      <c r="CM172" s="316"/>
      <c r="CN172" s="74">
        <v>41279.554830698209</v>
      </c>
      <c r="CO172" s="74">
        <v>3228.4116760000002</v>
      </c>
    </row>
    <row r="173" spans="1:93" x14ac:dyDescent="0.2">
      <c r="A173" s="74">
        <v>503</v>
      </c>
      <c r="B173" s="74" t="s">
        <v>293</v>
      </c>
      <c r="C173" s="74">
        <v>2</v>
      </c>
      <c r="D173" s="74">
        <v>7594</v>
      </c>
      <c r="E173" s="89">
        <v>17608486.914955087</v>
      </c>
      <c r="F173" s="74">
        <v>11633875.22857202</v>
      </c>
      <c r="G173" s="74">
        <v>1893676.2763000003</v>
      </c>
      <c r="H173" s="74">
        <v>1008176.5294000001</v>
      </c>
      <c r="I173" s="74">
        <v>4344755.2329800641</v>
      </c>
      <c r="J173" s="74">
        <v>1443498.6892105695</v>
      </c>
      <c r="K173" s="74">
        <v>-873381.28137660876</v>
      </c>
      <c r="L173" s="74">
        <v>-188851</v>
      </c>
      <c r="M173" s="75">
        <v>-100600</v>
      </c>
      <c r="N173" s="75">
        <v>71930.791554137395</v>
      </c>
      <c r="O173" s="178">
        <f t="shared" si="65"/>
        <v>1624593.5516850948</v>
      </c>
      <c r="P173" s="179">
        <f t="shared" si="66"/>
        <v>213.9312024868442</v>
      </c>
      <c r="Q173" s="74"/>
      <c r="R173" s="89">
        <v>49835030</v>
      </c>
      <c r="S173" s="74">
        <v>27356976.506782375</v>
      </c>
      <c r="T173" s="74">
        <v>1512264.7941000001</v>
      </c>
      <c r="U173" s="74">
        <v>15135921.303237651</v>
      </c>
      <c r="V173" s="74">
        <v>4814263.1959076766</v>
      </c>
      <c r="W173" s="74">
        <v>1604225.2763000003</v>
      </c>
      <c r="X173" s="178">
        <f t="shared" si="67"/>
        <v>588621.07632770389</v>
      </c>
      <c r="Y173" s="179">
        <f t="shared" si="68"/>
        <v>77.511334781104011</v>
      </c>
      <c r="Z173" s="74"/>
      <c r="AA173" s="84">
        <f t="shared" si="69"/>
        <v>1035972.4753573909</v>
      </c>
      <c r="AB173" s="132">
        <f t="shared" si="70"/>
        <v>136.41986770574019</v>
      </c>
      <c r="AD173" s="180">
        <v>-1004338.0367727539</v>
      </c>
      <c r="AE173" s="187">
        <v>-900267.99947958672</v>
      </c>
      <c r="AF173" s="187">
        <v>-794625.33386017615</v>
      </c>
      <c r="AG173" s="187">
        <v>-689754.00876546605</v>
      </c>
      <c r="AH173" s="188">
        <v>-583257.26516210148</v>
      </c>
      <c r="AJ173" s="74">
        <f t="shared" si="71"/>
        <v>15723101.278210355</v>
      </c>
      <c r="AK173" s="74">
        <f t="shared" si="72"/>
        <v>504088.26469999994</v>
      </c>
      <c r="AL173" s="74">
        <f t="shared" si="73"/>
        <v>10791166.070257585</v>
      </c>
      <c r="AM173" s="74">
        <f t="shared" si="74"/>
        <v>32226543.085044913</v>
      </c>
      <c r="AN173" s="74">
        <f t="shared" si="75"/>
        <v>-1004338.0367727539</v>
      </c>
      <c r="AO173" s="74">
        <f t="shared" si="76"/>
        <v>-900267.99947958672</v>
      </c>
      <c r="AP173" s="74">
        <f t="shared" si="77"/>
        <v>-794625.33386017615</v>
      </c>
      <c r="AQ173" s="74">
        <f t="shared" si="78"/>
        <v>-689754.00876546605</v>
      </c>
      <c r="AR173" s="74">
        <f t="shared" si="79"/>
        <v>-583257.26516210148</v>
      </c>
      <c r="AS173" s="75">
        <v>1677</v>
      </c>
      <c r="AT173" s="75"/>
      <c r="AU173" s="75"/>
      <c r="AV173" s="75">
        <v>0</v>
      </c>
      <c r="AW173" s="75">
        <v>9594.8935049564661</v>
      </c>
      <c r="AX173" s="75">
        <v>-1653.285514907137</v>
      </c>
      <c r="AY173" s="75">
        <v>3370.7645066971072</v>
      </c>
      <c r="AZ173" s="316"/>
      <c r="BA173" s="74"/>
      <c r="BB173" s="74"/>
      <c r="BC173" s="74"/>
      <c r="BD173" s="74"/>
      <c r="BE173" s="74"/>
      <c r="BF173" s="74"/>
      <c r="BG173" s="74"/>
      <c r="BM173" s="316"/>
      <c r="BN173" s="74">
        <v>17608486.914955087</v>
      </c>
      <c r="BO173" s="74">
        <v>30992566.890000001</v>
      </c>
      <c r="BP173" s="74">
        <v>28746000</v>
      </c>
      <c r="BQ173" s="74">
        <v>555911.76</v>
      </c>
      <c r="BR173" s="74">
        <v>575000</v>
      </c>
      <c r="BS173" s="406">
        <f t="shared" si="80"/>
        <v>0.57473826737805855</v>
      </c>
      <c r="BT173" s="406">
        <f t="shared" si="81"/>
        <v>0.33333333333333326</v>
      </c>
      <c r="BU173" s="74">
        <f t="shared" si="82"/>
        <v>13288549.295578087</v>
      </c>
      <c r="BV173" s="316"/>
      <c r="BW173" s="74">
        <v>49835030</v>
      </c>
      <c r="BX173" s="74">
        <v>17608486.914955087</v>
      </c>
      <c r="BY173" s="74">
        <v>30762917.577182379</v>
      </c>
      <c r="BZ173" s="74">
        <v>14535728.034272021</v>
      </c>
      <c r="CA173" s="74">
        <f t="shared" si="83"/>
        <v>-873381.28137660923</v>
      </c>
      <c r="CB173" s="74">
        <f t="shared" si="84"/>
        <v>77.51133478110404</v>
      </c>
      <c r="CC173" s="74">
        <f t="shared" si="85"/>
        <v>213.93120248684428</v>
      </c>
      <c r="CD173" s="74">
        <f t="shared" si="86"/>
        <v>136.41986770574024</v>
      </c>
      <c r="CE173" s="74">
        <f t="shared" si="87"/>
        <v>-118.54990775343524</v>
      </c>
      <c r="CF173" s="74">
        <f t="shared" si="88"/>
        <v>-104.63857438243042</v>
      </c>
      <c r="CG173" s="74">
        <f t="shared" si="89"/>
        <v>-90.828813374435938</v>
      </c>
      <c r="CH173" s="74">
        <f t="shared" si="90"/>
        <v>-76.805012531222275</v>
      </c>
      <c r="CI173" s="74">
        <f t="shared" si="91"/>
        <v>-900267.99947958719</v>
      </c>
      <c r="CJ173" s="74">
        <f t="shared" si="92"/>
        <v>-794625.33386017662</v>
      </c>
      <c r="CK173" s="74">
        <f t="shared" si="93"/>
        <v>-689754.00876546651</v>
      </c>
      <c r="CL173" s="74">
        <f t="shared" si="94"/>
        <v>-583257.26516210195</v>
      </c>
      <c r="CM173" s="316"/>
      <c r="CN173" s="74">
        <v>27260.426189326008</v>
      </c>
      <c r="CO173" s="74">
        <v>1641.2176060000002</v>
      </c>
    </row>
    <row r="174" spans="1:93" x14ac:dyDescent="0.2">
      <c r="A174" s="74">
        <v>504</v>
      </c>
      <c r="B174" s="74" t="s">
        <v>294</v>
      </c>
      <c r="C174" s="74">
        <v>34</v>
      </c>
      <c r="D174" s="74">
        <v>1816</v>
      </c>
      <c r="E174" s="89">
        <v>4700904.9900637316</v>
      </c>
      <c r="F174" s="74">
        <v>2663298.9835739071</v>
      </c>
      <c r="G174" s="74">
        <v>411013.77049999998</v>
      </c>
      <c r="H174" s="74">
        <v>379258.26280000003</v>
      </c>
      <c r="I174" s="74">
        <v>1400621.7566094869</v>
      </c>
      <c r="J174" s="74">
        <v>394679.64001748373</v>
      </c>
      <c r="K174" s="74">
        <v>-152539.77561146973</v>
      </c>
      <c r="L174" s="74">
        <v>-500555</v>
      </c>
      <c r="M174" s="75">
        <v>286300</v>
      </c>
      <c r="N174" s="75">
        <v>16239.644102957343</v>
      </c>
      <c r="O174" s="178">
        <f t="shared" si="65"/>
        <v>197412.29192863405</v>
      </c>
      <c r="P174" s="179">
        <f t="shared" si="66"/>
        <v>108.70720921180289</v>
      </c>
      <c r="Q174" s="74"/>
      <c r="R174" s="89">
        <v>12622386.25</v>
      </c>
      <c r="S174" s="74">
        <v>6137243.9248957234</v>
      </c>
      <c r="T174" s="74">
        <v>568887.39419999998</v>
      </c>
      <c r="U174" s="74">
        <v>4618208.7505410416</v>
      </c>
      <c r="V174" s="74">
        <v>1316309.9345447952</v>
      </c>
      <c r="W174" s="74">
        <v>196758.77049999998</v>
      </c>
      <c r="X174" s="178">
        <f t="shared" si="67"/>
        <v>215022.5246815607</v>
      </c>
      <c r="Y174" s="179">
        <f t="shared" si="68"/>
        <v>118.40447394359069</v>
      </c>
      <c r="Z174" s="74"/>
      <c r="AA174" s="84">
        <f t="shared" si="69"/>
        <v>-17610.232752926648</v>
      </c>
      <c r="AB174" s="132">
        <f t="shared" si="70"/>
        <v>-9.6972647317878025</v>
      </c>
      <c r="AD174" s="180">
        <v>25175.17092381261</v>
      </c>
      <c r="AE174" s="187">
        <v>5211.8472733858889</v>
      </c>
      <c r="AF174" s="187">
        <v>3234.8286751306446</v>
      </c>
      <c r="AG174" s="187">
        <v>1073.3546656486303</v>
      </c>
      <c r="AH174" s="188">
        <v>-699.4230030753763</v>
      </c>
      <c r="AJ174" s="74">
        <f t="shared" si="71"/>
        <v>3473944.9413218163</v>
      </c>
      <c r="AK174" s="74">
        <f t="shared" si="72"/>
        <v>189629.13139999995</v>
      </c>
      <c r="AL174" s="74">
        <f t="shared" si="73"/>
        <v>3217586.9939315547</v>
      </c>
      <c r="AM174" s="74">
        <f t="shared" si="74"/>
        <v>7921481.2599362684</v>
      </c>
      <c r="AN174" s="74">
        <f t="shared" si="75"/>
        <v>25175.17092381261</v>
      </c>
      <c r="AO174" s="74">
        <f t="shared" si="76"/>
        <v>5211.8472733858889</v>
      </c>
      <c r="AP174" s="74">
        <f t="shared" si="77"/>
        <v>3234.8286751306446</v>
      </c>
      <c r="AQ174" s="74">
        <f t="shared" si="78"/>
        <v>1073.3546656486303</v>
      </c>
      <c r="AR174" s="74">
        <f t="shared" si="79"/>
        <v>-699.4230030753763</v>
      </c>
      <c r="AS174" s="75">
        <v>609</v>
      </c>
      <c r="AT174" s="75"/>
      <c r="AU174" s="75"/>
      <c r="AV174" s="75">
        <v>12</v>
      </c>
      <c r="AW174" s="75">
        <v>2489.9169634997911</v>
      </c>
      <c r="AX174" s="75">
        <v>-609.15448671752188</v>
      </c>
      <c r="AY174" s="75">
        <v>921.63029452731143</v>
      </c>
      <c r="AZ174" s="316"/>
      <c r="BA174" s="74"/>
      <c r="BB174" s="74"/>
      <c r="BC174" s="74"/>
      <c r="BD174" s="74"/>
      <c r="BE174" s="74"/>
      <c r="BF174" s="74"/>
      <c r="BG174" s="74"/>
      <c r="BM174" s="316"/>
      <c r="BN174" s="74">
        <v>4700904.9900637316</v>
      </c>
      <c r="BO174" s="74">
        <v>7815337.540000001</v>
      </c>
      <c r="BP174" s="74">
        <v>7902000</v>
      </c>
      <c r="BQ174" s="74">
        <v>187042</v>
      </c>
      <c r="BR174" s="74">
        <v>226000</v>
      </c>
      <c r="BS174" s="406">
        <f t="shared" si="80"/>
        <v>0.56604315941065375</v>
      </c>
      <c r="BT174" s="406">
        <f t="shared" si="81"/>
        <v>0.33333333333333326</v>
      </c>
      <c r="BU174" s="74">
        <f t="shared" si="82"/>
        <v>3986677.5128473965</v>
      </c>
      <c r="BV174" s="316"/>
      <c r="BW174" s="74">
        <v>12622386.25</v>
      </c>
      <c r="BX174" s="74">
        <v>4700904.9900637316</v>
      </c>
      <c r="BY174" s="74">
        <v>7117145.089595723</v>
      </c>
      <c r="BZ174" s="74">
        <v>3453571.0168739073</v>
      </c>
      <c r="CA174" s="74">
        <f t="shared" si="83"/>
        <v>-152539.77561147106</v>
      </c>
      <c r="CB174" s="74">
        <f t="shared" si="84"/>
        <v>118.40447394359038</v>
      </c>
      <c r="CC174" s="74">
        <f t="shared" si="85"/>
        <v>108.70720921180211</v>
      </c>
      <c r="CD174" s="74">
        <f t="shared" si="86"/>
        <v>-9.6972647317882661</v>
      </c>
      <c r="CE174" s="74">
        <f t="shared" si="87"/>
        <v>2.8699599523050048</v>
      </c>
      <c r="CF174" s="74">
        <f t="shared" si="88"/>
        <v>1.7812933233098263</v>
      </c>
      <c r="CG174" s="74">
        <f t="shared" si="89"/>
        <v>0.59105433130431184</v>
      </c>
      <c r="CH174" s="74">
        <f t="shared" si="90"/>
        <v>-0.38514482548203544</v>
      </c>
      <c r="CI174" s="74">
        <f t="shared" si="91"/>
        <v>5211.8472733858889</v>
      </c>
      <c r="CJ174" s="74">
        <f t="shared" si="92"/>
        <v>3234.8286751306446</v>
      </c>
      <c r="CK174" s="74">
        <f t="shared" si="93"/>
        <v>1073.3546656486303</v>
      </c>
      <c r="CL174" s="74">
        <f t="shared" si="94"/>
        <v>-699.4230030753763</v>
      </c>
      <c r="CM174" s="316"/>
      <c r="CN174" s="74">
        <v>6080.0050976321118</v>
      </c>
      <c r="CO174" s="74">
        <v>617.39717199999996</v>
      </c>
    </row>
    <row r="175" spans="1:93" x14ac:dyDescent="0.2">
      <c r="A175" s="74">
        <v>505</v>
      </c>
      <c r="B175" s="74" t="s">
        <v>295</v>
      </c>
      <c r="C175" s="74">
        <v>35</v>
      </c>
      <c r="D175" s="74">
        <v>20837</v>
      </c>
      <c r="E175" s="89">
        <v>61409049.261410162</v>
      </c>
      <c r="F175" s="74">
        <v>34110375.631918721</v>
      </c>
      <c r="G175" s="74">
        <v>8575135.0759999994</v>
      </c>
      <c r="H175" s="74">
        <v>3302325.4380000001</v>
      </c>
      <c r="I175" s="74">
        <v>14852335.481703427</v>
      </c>
      <c r="J175" s="74">
        <v>3135717.027631199</v>
      </c>
      <c r="K175" s="74">
        <v>-1067723.4109920911</v>
      </c>
      <c r="L175" s="74">
        <v>-2081499</v>
      </c>
      <c r="M175" s="75">
        <v>1362000</v>
      </c>
      <c r="N175" s="75">
        <v>222827.22201938374</v>
      </c>
      <c r="O175" s="178">
        <f t="shared" si="65"/>
        <v>1002444.2048704773</v>
      </c>
      <c r="P175" s="179">
        <f t="shared" si="66"/>
        <v>48.10885467536005</v>
      </c>
      <c r="Q175" s="74"/>
      <c r="R175" s="89">
        <v>133102214</v>
      </c>
      <c r="S175" s="74">
        <v>82727804.275594011</v>
      </c>
      <c r="T175" s="74">
        <v>4953488.1569999997</v>
      </c>
      <c r="U175" s="74">
        <v>27535425.431391463</v>
      </c>
      <c r="V175" s="74">
        <v>10458040.03269431</v>
      </c>
      <c r="W175" s="74">
        <v>7855636.0759999994</v>
      </c>
      <c r="X175" s="178">
        <f t="shared" si="67"/>
        <v>428179.97267977893</v>
      </c>
      <c r="Y175" s="179">
        <f t="shared" si="68"/>
        <v>20.549022060746697</v>
      </c>
      <c r="Z175" s="74"/>
      <c r="AA175" s="84">
        <f t="shared" si="69"/>
        <v>574264.23219069839</v>
      </c>
      <c r="AB175" s="132">
        <f t="shared" si="70"/>
        <v>27.559832614613349</v>
      </c>
      <c r="AD175" s="180">
        <v>-487463.23182353307</v>
      </c>
      <c r="AE175" s="187">
        <v>-201907.87666449661</v>
      </c>
      <c r="AF175" s="187">
        <v>37116.808977806853</v>
      </c>
      <c r="AG175" s="187">
        <v>12315.799101387945</v>
      </c>
      <c r="AH175" s="188">
        <v>-8025.2627285691724</v>
      </c>
      <c r="AJ175" s="74">
        <f t="shared" si="71"/>
        <v>48617428.64367529</v>
      </c>
      <c r="AK175" s="74">
        <f t="shared" si="72"/>
        <v>1651162.7189999996</v>
      </c>
      <c r="AL175" s="74">
        <f t="shared" si="73"/>
        <v>12683089.949688036</v>
      </c>
      <c r="AM175" s="74">
        <f t="shared" si="74"/>
        <v>71693164.738589838</v>
      </c>
      <c r="AN175" s="74">
        <f t="shared" si="75"/>
        <v>-487463.23182353307</v>
      </c>
      <c r="AO175" s="74">
        <f t="shared" si="76"/>
        <v>-201907.87666449661</v>
      </c>
      <c r="AP175" s="74">
        <f t="shared" si="77"/>
        <v>37116.808977806853</v>
      </c>
      <c r="AQ175" s="74">
        <f t="shared" si="78"/>
        <v>12315.799101387945</v>
      </c>
      <c r="AR175" s="74">
        <f t="shared" si="79"/>
        <v>-8025.2627285691724</v>
      </c>
      <c r="AS175" s="75">
        <v>8771</v>
      </c>
      <c r="AT175" s="75"/>
      <c r="AU175" s="75"/>
      <c r="AV175" s="75">
        <v>0</v>
      </c>
      <c r="AW175" s="75">
        <v>12650.533691050534</v>
      </c>
      <c r="AX175" s="75">
        <v>95.954970514236678</v>
      </c>
      <c r="AY175" s="75">
        <v>7322.3230050631109</v>
      </c>
      <c r="AZ175" s="316"/>
      <c r="BA175" s="74"/>
      <c r="BB175" s="74"/>
      <c r="BC175" s="74"/>
      <c r="BD175" s="74"/>
      <c r="BE175" s="74"/>
      <c r="BF175" s="74"/>
      <c r="BG175" s="74"/>
      <c r="BM175" s="316"/>
      <c r="BN175" s="74">
        <v>61409049.261410162</v>
      </c>
      <c r="BO175" s="74">
        <v>65197115.970000006</v>
      </c>
      <c r="BP175" s="74">
        <v>71615000</v>
      </c>
      <c r="BQ175" s="74">
        <v>1890260.6</v>
      </c>
      <c r="BR175" s="74">
        <v>1508000</v>
      </c>
      <c r="BS175" s="406">
        <f t="shared" si="80"/>
        <v>0.58767942736294998</v>
      </c>
      <c r="BT175" s="406">
        <f t="shared" si="81"/>
        <v>0.33333333333333326</v>
      </c>
      <c r="BU175" s="74">
        <f t="shared" si="82"/>
        <v>18937689.543759059</v>
      </c>
      <c r="BV175" s="316"/>
      <c r="BW175" s="74">
        <v>133102214</v>
      </c>
      <c r="BX175" s="74">
        <v>61409049.261410162</v>
      </c>
      <c r="BY175" s="74">
        <v>96256427.508594021</v>
      </c>
      <c r="BZ175" s="74">
        <v>45987836.145918719</v>
      </c>
      <c r="CA175" s="74">
        <f t="shared" si="83"/>
        <v>-1067723.4109920894</v>
      </c>
      <c r="CB175" s="74">
        <f t="shared" si="84"/>
        <v>20.549022060746786</v>
      </c>
      <c r="CC175" s="74">
        <f t="shared" si="85"/>
        <v>48.108854675360057</v>
      </c>
      <c r="CD175" s="74">
        <f t="shared" si="86"/>
        <v>27.559832614613271</v>
      </c>
      <c r="CE175" s="74">
        <f t="shared" si="87"/>
        <v>-9.6898726623082663</v>
      </c>
      <c r="CF175" s="74">
        <f t="shared" si="88"/>
        <v>1.7812933233098263</v>
      </c>
      <c r="CG175" s="74">
        <f t="shared" si="89"/>
        <v>0.59105433130431184</v>
      </c>
      <c r="CH175" s="74">
        <f t="shared" si="90"/>
        <v>-0.38514482548203544</v>
      </c>
      <c r="CI175" s="74">
        <f t="shared" si="91"/>
        <v>-201907.87666451733</v>
      </c>
      <c r="CJ175" s="74">
        <f t="shared" si="92"/>
        <v>37116.808977806853</v>
      </c>
      <c r="CK175" s="74">
        <f t="shared" si="93"/>
        <v>12315.799101387945</v>
      </c>
      <c r="CL175" s="74">
        <f t="shared" si="94"/>
        <v>-8025.2627285691724</v>
      </c>
      <c r="CM175" s="316"/>
      <c r="CN175" s="74">
        <v>85275.926401219549</v>
      </c>
      <c r="CO175" s="74">
        <v>5375.8786199999995</v>
      </c>
    </row>
    <row r="176" spans="1:93" x14ac:dyDescent="0.2">
      <c r="A176" s="74">
        <v>507</v>
      </c>
      <c r="B176" s="74" t="s">
        <v>297</v>
      </c>
      <c r="C176" s="74">
        <v>10</v>
      </c>
      <c r="D176" s="74">
        <v>5635</v>
      </c>
      <c r="E176" s="89">
        <v>13920817.315215718</v>
      </c>
      <c r="F176" s="74">
        <v>7243376.0979905175</v>
      </c>
      <c r="G176" s="74">
        <v>2846221.037</v>
      </c>
      <c r="H176" s="74">
        <v>1931487.1838</v>
      </c>
      <c r="I176" s="74">
        <v>871702.3526649212</v>
      </c>
      <c r="J176" s="74">
        <v>1129582.8238116666</v>
      </c>
      <c r="K176" s="74">
        <v>126007.61324428333</v>
      </c>
      <c r="L176" s="74">
        <v>2781</v>
      </c>
      <c r="M176" s="75">
        <v>124340</v>
      </c>
      <c r="N176" s="75">
        <v>51047.982453524564</v>
      </c>
      <c r="O176" s="178">
        <f t="shared" si="65"/>
        <v>405728.77574919537</v>
      </c>
      <c r="P176" s="179">
        <f t="shared" si="66"/>
        <v>72.001557364542208</v>
      </c>
      <c r="Q176" s="74"/>
      <c r="R176" s="89">
        <v>43223230</v>
      </c>
      <c r="S176" s="74">
        <v>17793775.581383258</v>
      </c>
      <c r="T176" s="74">
        <v>2897230.7757000001</v>
      </c>
      <c r="U176" s="74">
        <v>16640622.861040572</v>
      </c>
      <c r="V176" s="74">
        <v>3767311.3637394449</v>
      </c>
      <c r="W176" s="74">
        <v>2973342.037</v>
      </c>
      <c r="X176" s="178">
        <f t="shared" si="67"/>
        <v>849052.61886326969</v>
      </c>
      <c r="Y176" s="179">
        <f t="shared" si="68"/>
        <v>150.67482144867253</v>
      </c>
      <c r="Z176" s="74"/>
      <c r="AA176" s="84">
        <f t="shared" si="69"/>
        <v>-443323.84311407432</v>
      </c>
      <c r="AB176" s="132">
        <f t="shared" si="70"/>
        <v>-78.673264084130309</v>
      </c>
      <c r="AD176" s="180">
        <v>466797.64630402322</v>
      </c>
      <c r="AE176" s="187">
        <v>374971.06744531856</v>
      </c>
      <c r="AF176" s="187">
        <v>284311.4309909307</v>
      </c>
      <c r="AG176" s="187">
        <v>193079.43427097963</v>
      </c>
      <c r="AH176" s="188">
        <v>103053.55202248854</v>
      </c>
      <c r="AJ176" s="74">
        <f t="shared" si="71"/>
        <v>10550399.483392742</v>
      </c>
      <c r="AK176" s="74">
        <f t="shared" si="72"/>
        <v>965743.59190000012</v>
      </c>
      <c r="AL176" s="74">
        <f t="shared" si="73"/>
        <v>15768920.50837565</v>
      </c>
      <c r="AM176" s="74">
        <f t="shared" si="74"/>
        <v>29302412.684784282</v>
      </c>
      <c r="AN176" s="74">
        <f t="shared" si="75"/>
        <v>466797.64630402322</v>
      </c>
      <c r="AO176" s="74">
        <f t="shared" si="76"/>
        <v>374971.06744531856</v>
      </c>
      <c r="AP176" s="74">
        <f t="shared" si="77"/>
        <v>284311.4309909307</v>
      </c>
      <c r="AQ176" s="74">
        <f t="shared" si="78"/>
        <v>193079.43427097963</v>
      </c>
      <c r="AR176" s="74">
        <f t="shared" si="79"/>
        <v>103053.55202248854</v>
      </c>
      <c r="AS176" s="75">
        <v>1423</v>
      </c>
      <c r="AT176" s="75"/>
      <c r="AU176" s="75"/>
      <c r="AV176" s="75">
        <v>0</v>
      </c>
      <c r="AW176" s="75">
        <v>13638.609536878725</v>
      </c>
      <c r="AX176" s="75">
        <v>-1773.4369522895045</v>
      </c>
      <c r="AY176" s="75">
        <v>2637.7285399277785</v>
      </c>
      <c r="AZ176" s="316"/>
      <c r="BA176" s="74"/>
      <c r="BB176" s="74"/>
      <c r="BC176" s="74"/>
      <c r="BD176" s="74"/>
      <c r="BE176" s="74"/>
      <c r="BF176" s="74"/>
      <c r="BG176" s="74"/>
      <c r="BM176" s="316"/>
      <c r="BN176" s="74">
        <v>13920817.315215718</v>
      </c>
      <c r="BO176" s="74">
        <v>29374864.810000006</v>
      </c>
      <c r="BP176" s="74">
        <v>30220000</v>
      </c>
      <c r="BQ176" s="74">
        <v>626145.61</v>
      </c>
      <c r="BR176" s="74">
        <v>691000</v>
      </c>
      <c r="BS176" s="406">
        <f t="shared" si="80"/>
        <v>0.59292641042585137</v>
      </c>
      <c r="BT176" s="406">
        <f t="shared" si="81"/>
        <v>0.33333333333333337</v>
      </c>
      <c r="BU176" s="74">
        <f t="shared" si="82"/>
        <v>18532656.661547713</v>
      </c>
      <c r="BV176" s="316"/>
      <c r="BW176" s="74">
        <v>43223230</v>
      </c>
      <c r="BX176" s="74">
        <v>13920817.315215718</v>
      </c>
      <c r="BY176" s="74">
        <v>23537227.394083258</v>
      </c>
      <c r="BZ176" s="74">
        <v>12021084.318790518</v>
      </c>
      <c r="CA176" s="74">
        <f t="shared" si="83"/>
        <v>126007.61324428083</v>
      </c>
      <c r="CB176" s="74">
        <f t="shared" si="84"/>
        <v>150.67482144867327</v>
      </c>
      <c r="CC176" s="74">
        <f t="shared" si="85"/>
        <v>72.001557364541725</v>
      </c>
      <c r="CD176" s="74">
        <f t="shared" si="86"/>
        <v>-78.673264084131546</v>
      </c>
      <c r="CE176" s="74">
        <f t="shared" si="87"/>
        <v>66.543224036436555</v>
      </c>
      <c r="CF176" s="74">
        <f t="shared" si="88"/>
        <v>50.454557407441371</v>
      </c>
      <c r="CG176" s="74">
        <f t="shared" si="89"/>
        <v>34.264318415435859</v>
      </c>
      <c r="CH176" s="74">
        <f t="shared" si="90"/>
        <v>18.288119258649509</v>
      </c>
      <c r="CI176" s="74">
        <f t="shared" si="91"/>
        <v>374971.06744532002</v>
      </c>
      <c r="CJ176" s="74">
        <f t="shared" si="92"/>
        <v>284311.4309909321</v>
      </c>
      <c r="CK176" s="74">
        <f t="shared" si="93"/>
        <v>193079.43427098106</v>
      </c>
      <c r="CL176" s="74">
        <f t="shared" si="94"/>
        <v>103053.55202248998</v>
      </c>
      <c r="CM176" s="316"/>
      <c r="CN176" s="74">
        <v>18188.593851509871</v>
      </c>
      <c r="CO176" s="74">
        <v>3144.2814619999999</v>
      </c>
    </row>
    <row r="177" spans="1:93" x14ac:dyDescent="0.2">
      <c r="A177" s="74">
        <v>508</v>
      </c>
      <c r="B177" s="74" t="s">
        <v>296</v>
      </c>
      <c r="C177" s="74">
        <v>6</v>
      </c>
      <c r="D177" s="74">
        <v>9563</v>
      </c>
      <c r="E177" s="89">
        <v>24676424.46022325</v>
      </c>
      <c r="F177" s="74">
        <v>16932773.83448619</v>
      </c>
      <c r="G177" s="74">
        <v>3194841.4070000001</v>
      </c>
      <c r="H177" s="74">
        <v>2387609.2968000001</v>
      </c>
      <c r="I177" s="74">
        <v>533953.12389601558</v>
      </c>
      <c r="J177" s="74">
        <v>1682646.2123074168</v>
      </c>
      <c r="K177" s="74">
        <v>-202194.99052737484</v>
      </c>
      <c r="L177" s="74">
        <v>-1126144</v>
      </c>
      <c r="M177" s="75">
        <v>135000</v>
      </c>
      <c r="N177" s="75">
        <v>96815.186927010742</v>
      </c>
      <c r="O177" s="178">
        <f t="shared" si="65"/>
        <v>-1041124.3893339932</v>
      </c>
      <c r="P177" s="179">
        <f t="shared" si="66"/>
        <v>-108.87006058077938</v>
      </c>
      <c r="Q177" s="74"/>
      <c r="R177" s="89">
        <v>72360670</v>
      </c>
      <c r="S177" s="74">
        <v>37579940.972341128</v>
      </c>
      <c r="T177" s="74">
        <v>3581413.9452</v>
      </c>
      <c r="U177" s="74">
        <v>22133457.88055471</v>
      </c>
      <c r="V177" s="74">
        <v>5611852.502668513</v>
      </c>
      <c r="W177" s="74">
        <v>2203697.4070000001</v>
      </c>
      <c r="X177" s="178">
        <f t="shared" si="67"/>
        <v>-1250307.2922356427</v>
      </c>
      <c r="Y177" s="179">
        <f t="shared" si="68"/>
        <v>-130.74425308330467</v>
      </c>
      <c r="Z177" s="74"/>
      <c r="AA177" s="84">
        <f t="shared" si="69"/>
        <v>209182.90290164948</v>
      </c>
      <c r="AB177" s="132">
        <f t="shared" si="70"/>
        <v>21.874192502525304</v>
      </c>
      <c r="AD177" s="180">
        <v>-169346.17177379676</v>
      </c>
      <c r="AE177" s="187">
        <v>-38292.47587775292</v>
      </c>
      <c r="AF177" s="187">
        <v>17034.50805081187</v>
      </c>
      <c r="AG177" s="187">
        <v>5652.2525702631337</v>
      </c>
      <c r="AH177" s="188">
        <v>-3683.1399660847051</v>
      </c>
      <c r="AJ177" s="74">
        <f t="shared" si="71"/>
        <v>20647167.137854937</v>
      </c>
      <c r="AK177" s="74">
        <f t="shared" si="72"/>
        <v>1193804.6483999998</v>
      </c>
      <c r="AL177" s="74">
        <f t="shared" si="73"/>
        <v>21599504.756658696</v>
      </c>
      <c r="AM177" s="74">
        <f t="shared" si="74"/>
        <v>47684245.53977675</v>
      </c>
      <c r="AN177" s="74">
        <f t="shared" si="75"/>
        <v>-169346.17177379676</v>
      </c>
      <c r="AO177" s="74">
        <f t="shared" si="76"/>
        <v>-38292.47587775292</v>
      </c>
      <c r="AP177" s="74">
        <f t="shared" si="77"/>
        <v>17034.50805081187</v>
      </c>
      <c r="AQ177" s="74">
        <f t="shared" si="78"/>
        <v>5652.2525702631337</v>
      </c>
      <c r="AR177" s="74">
        <f t="shared" si="79"/>
        <v>-3683.1399660847051</v>
      </c>
      <c r="AS177" s="75">
        <v>2738</v>
      </c>
      <c r="AT177" s="75"/>
      <c r="AU177" s="75"/>
      <c r="AV177" s="75">
        <v>0</v>
      </c>
      <c r="AW177" s="75">
        <v>20456.878345212681</v>
      </c>
      <c r="AX177" s="75">
        <v>-1221.1615677581658</v>
      </c>
      <c r="AY177" s="75">
        <v>3929.2062903610963</v>
      </c>
      <c r="AZ177" s="316"/>
      <c r="BA177" s="74"/>
      <c r="BB177" s="74"/>
      <c r="BC177" s="74"/>
      <c r="BD177" s="74"/>
      <c r="BE177" s="74"/>
      <c r="BF177" s="74"/>
      <c r="BG177" s="74"/>
      <c r="BM177" s="316"/>
      <c r="BN177" s="74">
        <v>24676424.46022325</v>
      </c>
      <c r="BO177" s="74">
        <v>44758129.619999997</v>
      </c>
      <c r="BP177" s="74">
        <v>46223000</v>
      </c>
      <c r="BQ177" s="74">
        <v>768211.7</v>
      </c>
      <c r="BR177" s="74">
        <v>806000</v>
      </c>
      <c r="BS177" s="406">
        <f t="shared" si="80"/>
        <v>0.54941989273083935</v>
      </c>
      <c r="BT177" s="406">
        <f t="shared" si="81"/>
        <v>0.33333333333333326</v>
      </c>
      <c r="BU177" s="74">
        <f t="shared" si="82"/>
        <v>25326516.056492411</v>
      </c>
      <c r="BV177" s="316"/>
      <c r="BW177" s="74">
        <v>72360670</v>
      </c>
      <c r="BX177" s="74">
        <v>24676424.46022325</v>
      </c>
      <c r="BY177" s="74">
        <v>44356196.324541129</v>
      </c>
      <c r="BZ177" s="74">
        <v>22515224.53828619</v>
      </c>
      <c r="CA177" s="74">
        <f t="shared" si="83"/>
        <v>-202194.99052738145</v>
      </c>
      <c r="CB177" s="74">
        <f t="shared" si="84"/>
        <v>-130.74425308330541</v>
      </c>
      <c r="CC177" s="74">
        <f t="shared" si="85"/>
        <v>-108.87006058077992</v>
      </c>
      <c r="CD177" s="74">
        <f t="shared" si="86"/>
        <v>21.874192502525489</v>
      </c>
      <c r="CE177" s="74">
        <f t="shared" si="87"/>
        <v>-4.0042325502204843</v>
      </c>
      <c r="CF177" s="74">
        <f t="shared" si="88"/>
        <v>1.7812933233098263</v>
      </c>
      <c r="CG177" s="74">
        <f t="shared" si="89"/>
        <v>0.59105433130431184</v>
      </c>
      <c r="CH177" s="74">
        <f t="shared" si="90"/>
        <v>-0.38514482548203544</v>
      </c>
      <c r="CI177" s="74">
        <f t="shared" si="91"/>
        <v>-38292.475877758494</v>
      </c>
      <c r="CJ177" s="74">
        <f t="shared" si="92"/>
        <v>17034.50805081187</v>
      </c>
      <c r="CK177" s="74">
        <f t="shared" si="93"/>
        <v>5652.2525702631337</v>
      </c>
      <c r="CL177" s="74">
        <f t="shared" si="94"/>
        <v>-3683.1399660847051</v>
      </c>
      <c r="CM177" s="316"/>
      <c r="CN177" s="74">
        <v>36911.179181965119</v>
      </c>
      <c r="CO177" s="74">
        <v>3886.805832</v>
      </c>
    </row>
    <row r="178" spans="1:93" x14ac:dyDescent="0.2">
      <c r="A178" s="74">
        <v>529</v>
      </c>
      <c r="B178" s="74" t="s">
        <v>298</v>
      </c>
      <c r="C178" s="74">
        <v>2</v>
      </c>
      <c r="D178" s="74">
        <v>19579</v>
      </c>
      <c r="E178" s="89">
        <v>51410652.669191048</v>
      </c>
      <c r="F178" s="74">
        <v>28068174.768637471</v>
      </c>
      <c r="G178" s="74">
        <v>7265930.5725000007</v>
      </c>
      <c r="H178" s="74">
        <v>7218136.0126</v>
      </c>
      <c r="I178" s="74">
        <v>4039608.6288450249</v>
      </c>
      <c r="J178" s="74">
        <v>2312639.592159058</v>
      </c>
      <c r="K178" s="74">
        <v>3249168.9988771346</v>
      </c>
      <c r="L178" s="74">
        <v>-1063833</v>
      </c>
      <c r="M178" s="75">
        <v>1530000</v>
      </c>
      <c r="N178" s="75">
        <v>254985.49650777047</v>
      </c>
      <c r="O178" s="178">
        <f t="shared" si="65"/>
        <v>1464158.4009354115</v>
      </c>
      <c r="P178" s="179">
        <f t="shared" si="66"/>
        <v>74.78208289163959</v>
      </c>
      <c r="Q178" s="74"/>
      <c r="R178" s="89">
        <v>120849622</v>
      </c>
      <c r="S178" s="74">
        <v>81982427.347660571</v>
      </c>
      <c r="T178" s="74">
        <v>10827204.0189</v>
      </c>
      <c r="U178" s="74">
        <v>14590421.677841697</v>
      </c>
      <c r="V178" s="74">
        <v>7712965.5587142548</v>
      </c>
      <c r="W178" s="74">
        <v>7732097.5725000007</v>
      </c>
      <c r="X178" s="178">
        <f t="shared" si="67"/>
        <v>1995494.1756165326</v>
      </c>
      <c r="Y178" s="179">
        <f t="shared" si="68"/>
        <v>101.92012746394262</v>
      </c>
      <c r="Z178" s="74"/>
      <c r="AA178" s="84">
        <f t="shared" si="69"/>
        <v>-531335.77468112111</v>
      </c>
      <c r="AB178" s="132">
        <f t="shared" si="70"/>
        <v>-27.138044572303034</v>
      </c>
      <c r="AD178" s="180">
        <v>612896.3057646883</v>
      </c>
      <c r="AE178" s="187">
        <v>293841.72058730072</v>
      </c>
      <c r="AF178" s="187">
        <v>34875.941977083086</v>
      </c>
      <c r="AG178" s="187">
        <v>11572.252752607121</v>
      </c>
      <c r="AH178" s="188">
        <v>-7540.7505381127721</v>
      </c>
      <c r="AJ178" s="74">
        <f t="shared" si="71"/>
        <v>53914252.5790231</v>
      </c>
      <c r="AK178" s="74">
        <f t="shared" si="72"/>
        <v>3609068.0062999995</v>
      </c>
      <c r="AL178" s="74">
        <f t="shared" si="73"/>
        <v>10550813.048996672</v>
      </c>
      <c r="AM178" s="74">
        <f t="shared" si="74"/>
        <v>69438969.330808952</v>
      </c>
      <c r="AN178" s="74">
        <f t="shared" si="75"/>
        <v>612896.3057646883</v>
      </c>
      <c r="AO178" s="74">
        <f t="shared" si="76"/>
        <v>293841.72058730072</v>
      </c>
      <c r="AP178" s="74">
        <f t="shared" si="77"/>
        <v>34875.941977083086</v>
      </c>
      <c r="AQ178" s="74">
        <f t="shared" si="78"/>
        <v>11572.252752607121</v>
      </c>
      <c r="AR178" s="74">
        <f t="shared" si="79"/>
        <v>-7540.7505381127721</v>
      </c>
      <c r="AS178" s="75">
        <v>9934</v>
      </c>
      <c r="AT178" s="75"/>
      <c r="AU178" s="75"/>
      <c r="AV178" s="75">
        <v>194</v>
      </c>
      <c r="AW178" s="75">
        <v>16835.649288742283</v>
      </c>
      <c r="AX178" s="75">
        <v>4641.5649866402164</v>
      </c>
      <c r="AY178" s="75">
        <v>5400.3259665551968</v>
      </c>
      <c r="AZ178" s="316"/>
      <c r="BA178" s="74"/>
      <c r="BB178" s="74"/>
      <c r="BC178" s="74"/>
      <c r="BD178" s="74"/>
      <c r="BE178" s="74"/>
      <c r="BF178" s="74"/>
      <c r="BG178" s="74"/>
      <c r="BM178" s="316"/>
      <c r="BN178" s="74">
        <v>51410652.669191048</v>
      </c>
      <c r="BO178" s="74">
        <v>64561811.609999999</v>
      </c>
      <c r="BP178" s="74">
        <v>68808000</v>
      </c>
      <c r="BQ178" s="74">
        <v>1428389.98</v>
      </c>
      <c r="BR178" s="74">
        <v>1701000</v>
      </c>
      <c r="BS178" s="406">
        <f t="shared" si="80"/>
        <v>0.65763181602796961</v>
      </c>
      <c r="BT178" s="406">
        <f t="shared" si="81"/>
        <v>0.33333333333333326</v>
      </c>
      <c r="BU178" s="74">
        <f t="shared" si="82"/>
        <v>19200308.014429003</v>
      </c>
      <c r="BV178" s="316"/>
      <c r="BW178" s="74">
        <v>120849622</v>
      </c>
      <c r="BX178" s="74">
        <v>51410652.669191048</v>
      </c>
      <c r="BY178" s="74">
        <v>100075561.93906058</v>
      </c>
      <c r="BZ178" s="74">
        <v>42552241.353737466</v>
      </c>
      <c r="CA178" s="74">
        <f t="shared" si="83"/>
        <v>3249168.9988771342</v>
      </c>
      <c r="CB178" s="74">
        <f t="shared" si="84"/>
        <v>101.92012746394215</v>
      </c>
      <c r="CC178" s="74">
        <f t="shared" si="85"/>
        <v>74.782082891639675</v>
      </c>
      <c r="CD178" s="74">
        <f t="shared" si="86"/>
        <v>-27.138044572302476</v>
      </c>
      <c r="CE178" s="74">
        <f t="shared" si="87"/>
        <v>15.008004524607481</v>
      </c>
      <c r="CF178" s="74">
        <f t="shared" si="88"/>
        <v>1.7812933233098263</v>
      </c>
      <c r="CG178" s="74">
        <f t="shared" si="89"/>
        <v>0.59105433130431184</v>
      </c>
      <c r="CH178" s="74">
        <f t="shared" si="90"/>
        <v>-0.38514482548203544</v>
      </c>
      <c r="CI178" s="74">
        <f t="shared" si="91"/>
        <v>293841.72058728989</v>
      </c>
      <c r="CJ178" s="74">
        <f t="shared" si="92"/>
        <v>34875.941977083086</v>
      </c>
      <c r="CK178" s="74">
        <f t="shared" si="93"/>
        <v>11572.252752607121</v>
      </c>
      <c r="CL178" s="74">
        <f t="shared" si="94"/>
        <v>-7540.7505381127721</v>
      </c>
      <c r="CM178" s="316"/>
      <c r="CN178" s="74">
        <v>85780.690373869438</v>
      </c>
      <c r="CO178" s="74">
        <v>11750.453974</v>
      </c>
    </row>
    <row r="179" spans="1:93" x14ac:dyDescent="0.2">
      <c r="A179" s="74">
        <v>531</v>
      </c>
      <c r="B179" s="74" t="s">
        <v>299</v>
      </c>
      <c r="C179" s="74">
        <v>4</v>
      </c>
      <c r="D179" s="74">
        <v>5169</v>
      </c>
      <c r="E179" s="89">
        <v>12151213.87454528</v>
      </c>
      <c r="F179" s="74">
        <v>8346394.7944817971</v>
      </c>
      <c r="G179" s="74">
        <v>1571204.3489000003</v>
      </c>
      <c r="H179" s="74">
        <v>537844.82559999998</v>
      </c>
      <c r="I179" s="74">
        <v>3115592.6075690016</v>
      </c>
      <c r="J179" s="74">
        <v>898116.92699691141</v>
      </c>
      <c r="K179" s="74">
        <v>-901192.83959212282</v>
      </c>
      <c r="L179" s="74">
        <v>-181406</v>
      </c>
      <c r="M179" s="75">
        <v>40000</v>
      </c>
      <c r="N179" s="75">
        <v>49180.810202303357</v>
      </c>
      <c r="O179" s="178">
        <f t="shared" si="65"/>
        <v>1324521.5996126123</v>
      </c>
      <c r="P179" s="179">
        <f t="shared" si="66"/>
        <v>256.24329650079557</v>
      </c>
      <c r="Q179" s="74"/>
      <c r="R179" s="89">
        <v>34799041</v>
      </c>
      <c r="S179" s="74">
        <v>19172391.70320804</v>
      </c>
      <c r="T179" s="74">
        <v>806767.23840000003</v>
      </c>
      <c r="U179" s="74">
        <v>10791243.949237393</v>
      </c>
      <c r="V179" s="74">
        <v>2995341.3186869929</v>
      </c>
      <c r="W179" s="74">
        <v>1429798.3489000003</v>
      </c>
      <c r="X179" s="178">
        <f t="shared" si="67"/>
        <v>396501.55843243003</v>
      </c>
      <c r="Y179" s="179">
        <f t="shared" si="68"/>
        <v>76.707594976287496</v>
      </c>
      <c r="Z179" s="74"/>
      <c r="AA179" s="84">
        <f t="shared" si="69"/>
        <v>928020.04118018225</v>
      </c>
      <c r="AB179" s="132">
        <f t="shared" si="70"/>
        <v>179.53570152450808</v>
      </c>
      <c r="AD179" s="180">
        <v>-906487.46111118747</v>
      </c>
      <c r="AE179" s="187">
        <v>-835650.21818672342</v>
      </c>
      <c r="AF179" s="187">
        <v>-763742.53599199955</v>
      </c>
      <c r="AG179" s="187">
        <v>-692359.88134167599</v>
      </c>
      <c r="AH179" s="188">
        <v>-619870.85478310462</v>
      </c>
      <c r="AJ179" s="74">
        <f t="shared" si="71"/>
        <v>10825996.908726243</v>
      </c>
      <c r="AK179" s="74">
        <f t="shared" si="72"/>
        <v>268922.41280000005</v>
      </c>
      <c r="AL179" s="74">
        <f t="shared" si="73"/>
        <v>7675651.3416683916</v>
      </c>
      <c r="AM179" s="74">
        <f t="shared" si="74"/>
        <v>22647827.12545472</v>
      </c>
      <c r="AN179" s="74">
        <f t="shared" si="75"/>
        <v>-906487.46111118747</v>
      </c>
      <c r="AO179" s="74">
        <f t="shared" si="76"/>
        <v>-835650.21818672342</v>
      </c>
      <c r="AP179" s="74">
        <f t="shared" si="77"/>
        <v>-763742.53599199955</v>
      </c>
      <c r="AQ179" s="74">
        <f t="shared" si="78"/>
        <v>-692359.88134167599</v>
      </c>
      <c r="AR179" s="74">
        <f t="shared" si="79"/>
        <v>-619870.85478310462</v>
      </c>
      <c r="AS179" s="75">
        <v>1367</v>
      </c>
      <c r="AT179" s="75"/>
      <c r="AU179" s="75"/>
      <c r="AV179" s="75">
        <v>0</v>
      </c>
      <c r="AW179" s="75">
        <v>6632.5089453401852</v>
      </c>
      <c r="AX179" s="75">
        <v>-1372.6097851213983</v>
      </c>
      <c r="AY179" s="75">
        <v>2097.2243916900816</v>
      </c>
      <c r="AZ179" s="316"/>
      <c r="BA179" s="74"/>
      <c r="BB179" s="74"/>
      <c r="BC179" s="74"/>
      <c r="BD179" s="74"/>
      <c r="BE179" s="74"/>
      <c r="BF179" s="74"/>
      <c r="BG179" s="74"/>
      <c r="BM179" s="316"/>
      <c r="BN179" s="74">
        <v>12151213.87454528</v>
      </c>
      <c r="BO179" s="74">
        <v>21234175.390000001</v>
      </c>
      <c r="BP179" s="74">
        <v>21985000</v>
      </c>
      <c r="BQ179" s="74">
        <v>564204.93000000005</v>
      </c>
      <c r="BR179" s="74">
        <v>588000</v>
      </c>
      <c r="BS179" s="406">
        <f t="shared" si="80"/>
        <v>0.56466595698202704</v>
      </c>
      <c r="BT179" s="406">
        <f t="shared" si="81"/>
        <v>0.33333333333333337</v>
      </c>
      <c r="BU179" s="74">
        <f t="shared" si="82"/>
        <v>8871682.893766351</v>
      </c>
      <c r="BV179" s="316"/>
      <c r="BW179" s="74">
        <v>34799041</v>
      </c>
      <c r="BX179" s="74">
        <v>12151213.87454528</v>
      </c>
      <c r="BY179" s="74">
        <v>21550363.290508043</v>
      </c>
      <c r="BZ179" s="74">
        <v>10455443.968981797</v>
      </c>
      <c r="CA179" s="74">
        <f t="shared" si="83"/>
        <v>-901192.83959212468</v>
      </c>
      <c r="CB179" s="74">
        <f t="shared" si="84"/>
        <v>76.707594976286728</v>
      </c>
      <c r="CC179" s="74">
        <f t="shared" si="85"/>
        <v>256.243296500795</v>
      </c>
      <c r="CD179" s="74">
        <f t="shared" si="86"/>
        <v>179.53570152450828</v>
      </c>
      <c r="CE179" s="74">
        <f t="shared" si="87"/>
        <v>-161.66574157220327</v>
      </c>
      <c r="CF179" s="74">
        <f t="shared" si="88"/>
        <v>-147.75440820119846</v>
      </c>
      <c r="CG179" s="74">
        <f t="shared" si="89"/>
        <v>-133.94464719320396</v>
      </c>
      <c r="CH179" s="74">
        <f t="shared" si="90"/>
        <v>-119.92084634999031</v>
      </c>
      <c r="CI179" s="74">
        <f t="shared" si="91"/>
        <v>-835650.21818671876</v>
      </c>
      <c r="CJ179" s="74">
        <f t="shared" si="92"/>
        <v>-763742.53599199478</v>
      </c>
      <c r="CK179" s="74">
        <f t="shared" si="93"/>
        <v>-692359.88134167134</v>
      </c>
      <c r="CL179" s="74">
        <f t="shared" si="94"/>
        <v>-619870.85478309996</v>
      </c>
      <c r="CM179" s="316"/>
      <c r="CN179" s="74">
        <v>19207.837660191839</v>
      </c>
      <c r="CO179" s="74">
        <v>875.56134399999996</v>
      </c>
    </row>
    <row r="180" spans="1:93" x14ac:dyDescent="0.2">
      <c r="A180" s="74">
        <v>535</v>
      </c>
      <c r="B180" s="74" t="s">
        <v>300</v>
      </c>
      <c r="C180" s="74">
        <v>17</v>
      </c>
      <c r="D180" s="74">
        <v>10396</v>
      </c>
      <c r="E180" s="89">
        <v>34358023.787229165</v>
      </c>
      <c r="F180" s="74">
        <v>14210996.003625531</v>
      </c>
      <c r="G180" s="74">
        <v>2623123.5185000002</v>
      </c>
      <c r="H180" s="74">
        <v>1255523.933</v>
      </c>
      <c r="I180" s="74">
        <v>14590674.695142645</v>
      </c>
      <c r="J180" s="74">
        <v>1962260.0181300072</v>
      </c>
      <c r="K180" s="74">
        <v>648349.79844050645</v>
      </c>
      <c r="L180" s="74">
        <v>-923772</v>
      </c>
      <c r="M180" s="75">
        <v>954000</v>
      </c>
      <c r="N180" s="75">
        <v>78810.759462208167</v>
      </c>
      <c r="O180" s="178">
        <f t="shared" si="65"/>
        <v>1041942.9390717298</v>
      </c>
      <c r="P180" s="179">
        <f t="shared" si="66"/>
        <v>100.22536928354461</v>
      </c>
      <c r="Q180" s="74"/>
      <c r="R180" s="89">
        <v>80153630</v>
      </c>
      <c r="S180" s="74">
        <v>31362506.365186095</v>
      </c>
      <c r="T180" s="74">
        <v>1883285.8995000001</v>
      </c>
      <c r="U180" s="74">
        <v>38379846.905769557</v>
      </c>
      <c r="V180" s="74">
        <v>6544402.330736286</v>
      </c>
      <c r="W180" s="74">
        <v>2653351.5185000002</v>
      </c>
      <c r="X180" s="178">
        <f t="shared" si="67"/>
        <v>669763.01969194412</v>
      </c>
      <c r="Y180" s="179">
        <f t="shared" si="68"/>
        <v>64.425069227774543</v>
      </c>
      <c r="Z180" s="74"/>
      <c r="AA180" s="84">
        <f t="shared" si="69"/>
        <v>372179.91937978566</v>
      </c>
      <c r="AB180" s="132">
        <f t="shared" si="70"/>
        <v>35.800300055770073</v>
      </c>
      <c r="AD180" s="180">
        <v>-328873.14778039476</v>
      </c>
      <c r="AE180" s="187">
        <v>-186403.81571563767</v>
      </c>
      <c r="AF180" s="187">
        <v>-41781.593990671565</v>
      </c>
      <c r="AG180" s="187">
        <v>6144.600828239626</v>
      </c>
      <c r="AH180" s="188">
        <v>-4003.9656057112402</v>
      </c>
      <c r="AJ180" s="74">
        <f t="shared" si="71"/>
        <v>17151510.361560564</v>
      </c>
      <c r="AK180" s="74">
        <f t="shared" si="72"/>
        <v>627761.9665000001</v>
      </c>
      <c r="AL180" s="74">
        <f t="shared" si="73"/>
        <v>23789172.210626911</v>
      </c>
      <c r="AM180" s="74">
        <f t="shared" si="74"/>
        <v>45795606.212770835</v>
      </c>
      <c r="AN180" s="74">
        <f t="shared" si="75"/>
        <v>-328873.14778039476</v>
      </c>
      <c r="AO180" s="74">
        <f t="shared" si="76"/>
        <v>-186403.81571563767</v>
      </c>
      <c r="AP180" s="74">
        <f t="shared" si="77"/>
        <v>-41781.593990671565</v>
      </c>
      <c r="AQ180" s="74">
        <f t="shared" si="78"/>
        <v>6144.600828239626</v>
      </c>
      <c r="AR180" s="74">
        <f t="shared" si="79"/>
        <v>-4003.9656057112402</v>
      </c>
      <c r="AS180" s="75">
        <v>2831</v>
      </c>
      <c r="AT180" s="75"/>
      <c r="AU180" s="75"/>
      <c r="AV180" s="75">
        <v>0</v>
      </c>
      <c r="AW180" s="75">
        <v>18833.808770777327</v>
      </c>
      <c r="AX180" s="75">
        <v>-5764.2868695429052</v>
      </c>
      <c r="AY180" s="75">
        <v>4582.1423126062791</v>
      </c>
      <c r="AZ180" s="316"/>
      <c r="BA180" s="74"/>
      <c r="BB180" s="74"/>
      <c r="BC180" s="74"/>
      <c r="BD180" s="74"/>
      <c r="BE180" s="74"/>
      <c r="BF180" s="74"/>
      <c r="BG180" s="74"/>
      <c r="BM180" s="316"/>
      <c r="BN180" s="74">
        <v>34358023.787229165</v>
      </c>
      <c r="BO180" s="74">
        <v>42724692.069999993</v>
      </c>
      <c r="BP180" s="74">
        <v>44506000</v>
      </c>
      <c r="BQ180" s="74">
        <v>1063616.8400000001</v>
      </c>
      <c r="BR180" s="74">
        <v>1575000</v>
      </c>
      <c r="BS180" s="406">
        <f t="shared" si="80"/>
        <v>0.54687945414335803</v>
      </c>
      <c r="BT180" s="406">
        <f t="shared" si="81"/>
        <v>0.33333333333333337</v>
      </c>
      <c r="BU180" s="74">
        <f t="shared" si="82"/>
        <v>29019664.321673695</v>
      </c>
      <c r="BV180" s="316"/>
      <c r="BW180" s="74">
        <v>80153630</v>
      </c>
      <c r="BX180" s="74">
        <v>34358023.787229165</v>
      </c>
      <c r="BY180" s="74">
        <v>35868915.783186093</v>
      </c>
      <c r="BZ180" s="74">
        <v>18089643.455125529</v>
      </c>
      <c r="CA180" s="74">
        <f t="shared" si="83"/>
        <v>648349.79844049923</v>
      </c>
      <c r="CB180" s="74">
        <f t="shared" si="84"/>
        <v>64.425069227773733</v>
      </c>
      <c r="CC180" s="74">
        <f t="shared" si="85"/>
        <v>100.22536928354423</v>
      </c>
      <c r="CD180" s="74">
        <f t="shared" si="86"/>
        <v>35.800300055770492</v>
      </c>
      <c r="CE180" s="74">
        <f t="shared" si="87"/>
        <v>-17.930340103465486</v>
      </c>
      <c r="CF180" s="74">
        <f t="shared" si="88"/>
        <v>-4.0190067324606655</v>
      </c>
      <c r="CG180" s="74">
        <f t="shared" si="89"/>
        <v>0.59105433130431184</v>
      </c>
      <c r="CH180" s="74">
        <f t="shared" si="90"/>
        <v>-0.38514482548203544</v>
      </c>
      <c r="CI180" s="74">
        <f t="shared" si="91"/>
        <v>-186403.81571562719</v>
      </c>
      <c r="CJ180" s="74">
        <f t="shared" si="92"/>
        <v>-41781.59399066108</v>
      </c>
      <c r="CK180" s="74">
        <f t="shared" si="93"/>
        <v>6144.600828239626</v>
      </c>
      <c r="CL180" s="74">
        <f t="shared" si="94"/>
        <v>-4003.9656057112402</v>
      </c>
      <c r="CM180" s="316"/>
      <c r="CN180" s="74">
        <v>32174.964399203931</v>
      </c>
      <c r="CO180" s="74">
        <v>2043.8761699999998</v>
      </c>
    </row>
    <row r="181" spans="1:93" x14ac:dyDescent="0.2">
      <c r="A181" s="74">
        <v>536</v>
      </c>
      <c r="B181" s="74" t="s">
        <v>301</v>
      </c>
      <c r="C181" s="74">
        <v>6</v>
      </c>
      <c r="D181" s="74">
        <v>34884</v>
      </c>
      <c r="E181" s="89">
        <v>88092530.586032018</v>
      </c>
      <c r="F181" s="74">
        <v>56350799.319997251</v>
      </c>
      <c r="G181" s="74">
        <v>9915887.7959999982</v>
      </c>
      <c r="H181" s="74">
        <v>5916838.6742000002</v>
      </c>
      <c r="I181" s="74">
        <v>19484625.453521669</v>
      </c>
      <c r="J181" s="74">
        <v>4323656.4505107682</v>
      </c>
      <c r="K181" s="74">
        <v>-1873068.0773626922</v>
      </c>
      <c r="L181" s="74">
        <v>-2186345</v>
      </c>
      <c r="M181" s="75">
        <v>234900</v>
      </c>
      <c r="N181" s="75">
        <v>373058.88781418529</v>
      </c>
      <c r="O181" s="178">
        <f t="shared" si="65"/>
        <v>4447822.9186491519</v>
      </c>
      <c r="P181" s="179">
        <f t="shared" si="66"/>
        <v>127.50323697537989</v>
      </c>
      <c r="Q181" s="74"/>
      <c r="R181" s="89">
        <v>206005348.19999999</v>
      </c>
      <c r="S181" s="74">
        <v>137552405.92494336</v>
      </c>
      <c r="T181" s="74">
        <v>8875258.0112999994</v>
      </c>
      <c r="U181" s="74">
        <v>39976961.492458522</v>
      </c>
      <c r="V181" s="74">
        <v>14419978.54035211</v>
      </c>
      <c r="W181" s="74">
        <v>7964442.7959999982</v>
      </c>
      <c r="X181" s="178">
        <f t="shared" si="67"/>
        <v>2783698.5650539994</v>
      </c>
      <c r="Y181" s="179">
        <f t="shared" si="68"/>
        <v>79.79872047511752</v>
      </c>
      <c r="Z181" s="74"/>
      <c r="AA181" s="84">
        <f t="shared" si="69"/>
        <v>1664124.3535951525</v>
      </c>
      <c r="AB181" s="132">
        <f t="shared" si="70"/>
        <v>47.704516500262372</v>
      </c>
      <c r="AD181" s="180">
        <v>-1518807.5567046644</v>
      </c>
      <c r="AE181" s="187">
        <v>-1040748.6706189596</v>
      </c>
      <c r="AF181" s="187">
        <v>-555465.71730482741</v>
      </c>
      <c r="AG181" s="187">
        <v>-73726.014301947842</v>
      </c>
      <c r="AH181" s="188">
        <v>-13435.392092115324</v>
      </c>
      <c r="AJ181" s="74">
        <f t="shared" si="71"/>
        <v>81201606.604946107</v>
      </c>
      <c r="AK181" s="74">
        <f t="shared" si="72"/>
        <v>2958419.3370999992</v>
      </c>
      <c r="AL181" s="74">
        <f t="shared" si="73"/>
        <v>20492336.038936853</v>
      </c>
      <c r="AM181" s="74">
        <f t="shared" si="74"/>
        <v>117912817.61396797</v>
      </c>
      <c r="AN181" s="74">
        <f t="shared" si="75"/>
        <v>-1518807.5567046644</v>
      </c>
      <c r="AO181" s="74">
        <f t="shared" si="76"/>
        <v>-1040748.6706189596</v>
      </c>
      <c r="AP181" s="74">
        <f t="shared" si="77"/>
        <v>-555465.71730482741</v>
      </c>
      <c r="AQ181" s="74">
        <f t="shared" si="78"/>
        <v>-73726.014301947842</v>
      </c>
      <c r="AR181" s="74">
        <f t="shared" si="79"/>
        <v>-13435.392092115324</v>
      </c>
      <c r="AS181" s="75">
        <v>12755</v>
      </c>
      <c r="AT181" s="75"/>
      <c r="AU181" s="75"/>
      <c r="AV181" s="75">
        <v>21</v>
      </c>
      <c r="AW181" s="75">
        <v>22593.110315242153</v>
      </c>
      <c r="AX181" s="75">
        <v>1670.2275282247915</v>
      </c>
      <c r="AY181" s="75">
        <v>10096.322089841342</v>
      </c>
      <c r="AZ181" s="316"/>
      <c r="BA181" s="74"/>
      <c r="BB181" s="74"/>
      <c r="BC181" s="74"/>
      <c r="BD181" s="74"/>
      <c r="BE181" s="74"/>
      <c r="BF181" s="74"/>
      <c r="BG181" s="74"/>
      <c r="BM181" s="316"/>
      <c r="BN181" s="74">
        <v>88092530.586032018</v>
      </c>
      <c r="BO181" s="74">
        <v>111869562.01999998</v>
      </c>
      <c r="BP181" s="74">
        <v>122212000</v>
      </c>
      <c r="BQ181" s="74">
        <v>2647979</v>
      </c>
      <c r="BR181" s="74">
        <v>2808000</v>
      </c>
      <c r="BS181" s="406">
        <f t="shared" si="80"/>
        <v>0.59033214329420347</v>
      </c>
      <c r="BT181" s="406">
        <f t="shared" si="81"/>
        <v>0.33333333333333326</v>
      </c>
      <c r="BU181" s="74">
        <f t="shared" si="82"/>
        <v>28715590.051415496</v>
      </c>
      <c r="BV181" s="316"/>
      <c r="BW181" s="74">
        <v>206005348.19999999</v>
      </c>
      <c r="BX181" s="74">
        <v>88092530.586032018</v>
      </c>
      <c r="BY181" s="74">
        <v>156343551.73224336</v>
      </c>
      <c r="BZ181" s="74">
        <v>72183525.790197253</v>
      </c>
      <c r="CA181" s="74">
        <f t="shared" si="83"/>
        <v>-1873068.0773627071</v>
      </c>
      <c r="CB181" s="74">
        <f t="shared" si="84"/>
        <v>79.798720475117463</v>
      </c>
      <c r="CC181" s="74">
        <f t="shared" si="85"/>
        <v>127.50323697537969</v>
      </c>
      <c r="CD181" s="74">
        <f t="shared" si="86"/>
        <v>47.70451650026223</v>
      </c>
      <c r="CE181" s="74">
        <f t="shared" si="87"/>
        <v>-29.834556547957224</v>
      </c>
      <c r="CF181" s="74">
        <f t="shared" si="88"/>
        <v>-15.923223176952403</v>
      </c>
      <c r="CG181" s="74">
        <f t="shared" si="89"/>
        <v>-2.1134621689579181</v>
      </c>
      <c r="CH181" s="74">
        <f t="shared" si="90"/>
        <v>-0.38514482548203544</v>
      </c>
      <c r="CI181" s="74">
        <f t="shared" si="91"/>
        <v>-1040748.6706189398</v>
      </c>
      <c r="CJ181" s="74">
        <f t="shared" si="92"/>
        <v>-555465.71730480762</v>
      </c>
      <c r="CK181" s="74">
        <f t="shared" si="93"/>
        <v>-73726.014301928008</v>
      </c>
      <c r="CL181" s="74">
        <f t="shared" si="94"/>
        <v>-13435.392092115324</v>
      </c>
      <c r="CM181" s="316"/>
      <c r="CN181" s="74">
        <v>146324.38229312681</v>
      </c>
      <c r="CO181" s="74">
        <v>9632.0629580000004</v>
      </c>
    </row>
    <row r="182" spans="1:93" x14ac:dyDescent="0.2">
      <c r="A182" s="74">
        <v>538</v>
      </c>
      <c r="B182" s="74" t="s">
        <v>302</v>
      </c>
      <c r="C182" s="74">
        <v>2</v>
      </c>
      <c r="D182" s="74">
        <v>4689</v>
      </c>
      <c r="E182" s="89">
        <v>14120229.894221762</v>
      </c>
      <c r="F182" s="74">
        <v>7867036.6860781619</v>
      </c>
      <c r="G182" s="74">
        <v>900815.35899999994</v>
      </c>
      <c r="H182" s="74">
        <v>313771.4644</v>
      </c>
      <c r="I182" s="74">
        <v>4222819.3502305662</v>
      </c>
      <c r="J182" s="74">
        <v>802331.6578458678</v>
      </c>
      <c r="K182" s="74">
        <v>-127316.54536926148</v>
      </c>
      <c r="L182" s="74">
        <v>709852</v>
      </c>
      <c r="M182" s="75">
        <v>-114300</v>
      </c>
      <c r="N182" s="75">
        <v>46727.305315507547</v>
      </c>
      <c r="O182" s="178">
        <f t="shared" si="65"/>
        <v>501507.38327907957</v>
      </c>
      <c r="P182" s="179">
        <f t="shared" si="66"/>
        <v>106.95401648092974</v>
      </c>
      <c r="Q182" s="74"/>
      <c r="R182" s="89">
        <v>30546409.789999999</v>
      </c>
      <c r="S182" s="74">
        <v>18251573.11539432</v>
      </c>
      <c r="T182" s="74">
        <v>470657.19659999997</v>
      </c>
      <c r="U182" s="74">
        <v>7789632.7922634939</v>
      </c>
      <c r="V182" s="74">
        <v>2675884.5021129716</v>
      </c>
      <c r="W182" s="74">
        <v>1496367.3589999999</v>
      </c>
      <c r="X182" s="178">
        <f t="shared" si="67"/>
        <v>137705.17537078634</v>
      </c>
      <c r="Y182" s="179">
        <f t="shared" si="68"/>
        <v>29.367706413048911</v>
      </c>
      <c r="Z182" s="74"/>
      <c r="AA182" s="84">
        <f t="shared" si="69"/>
        <v>363802.20790829323</v>
      </c>
      <c r="AB182" s="132">
        <f t="shared" si="70"/>
        <v>77.586310067880831</v>
      </c>
      <c r="AD182" s="180">
        <v>-344269.17096816294</v>
      </c>
      <c r="AE182" s="187">
        <v>-280009.9656919369</v>
      </c>
      <c r="AF182" s="187">
        <v>-214779.72351529531</v>
      </c>
      <c r="AG182" s="187">
        <v>-150025.75414880915</v>
      </c>
      <c r="AH182" s="188">
        <v>-84268.151994980348</v>
      </c>
      <c r="AJ182" s="74">
        <f t="shared" si="71"/>
        <v>10384536.429316159</v>
      </c>
      <c r="AK182" s="74">
        <f t="shared" si="72"/>
        <v>156885.73219999997</v>
      </c>
      <c r="AL182" s="74">
        <f t="shared" si="73"/>
        <v>3566813.4420329276</v>
      </c>
      <c r="AM182" s="74">
        <f t="shared" si="74"/>
        <v>16426179.895778237</v>
      </c>
      <c r="AN182" s="74">
        <f t="shared" si="75"/>
        <v>-344269.17096816294</v>
      </c>
      <c r="AO182" s="74">
        <f t="shared" si="76"/>
        <v>-280009.9656919369</v>
      </c>
      <c r="AP182" s="74">
        <f t="shared" si="77"/>
        <v>-214779.72351529531</v>
      </c>
      <c r="AQ182" s="74">
        <f t="shared" si="78"/>
        <v>-150025.75414880915</v>
      </c>
      <c r="AR182" s="74">
        <f t="shared" si="79"/>
        <v>-84268.151994980348</v>
      </c>
      <c r="AS182" s="75">
        <v>1627</v>
      </c>
      <c r="AT182" s="75"/>
      <c r="AU182" s="75"/>
      <c r="AV182" s="75">
        <v>0</v>
      </c>
      <c r="AW182" s="75">
        <v>3225.7365974441504</v>
      </c>
      <c r="AX182" s="75">
        <v>-622.03568128017798</v>
      </c>
      <c r="AY182" s="75">
        <v>1873.5528442671039</v>
      </c>
      <c r="AZ182" s="316"/>
      <c r="BA182" s="74"/>
      <c r="BB182" s="74"/>
      <c r="BC182" s="74"/>
      <c r="BD182" s="74"/>
      <c r="BE182" s="74"/>
      <c r="BF182" s="74"/>
      <c r="BG182" s="74"/>
      <c r="BM182" s="316"/>
      <c r="BN182" s="74">
        <v>14120229.894221762</v>
      </c>
      <c r="BO182" s="74">
        <v>15549436.510000002</v>
      </c>
      <c r="BP182" s="74">
        <v>15464000</v>
      </c>
      <c r="BQ182" s="74">
        <v>350691.44</v>
      </c>
      <c r="BR182" s="74">
        <v>360000</v>
      </c>
      <c r="BS182" s="406">
        <f t="shared" si="80"/>
        <v>0.56896665091061682</v>
      </c>
      <c r="BT182" s="406">
        <f t="shared" si="81"/>
        <v>0.33333333333333326</v>
      </c>
      <c r="BU182" s="74">
        <f t="shared" si="82"/>
        <v>5313049.7409307705</v>
      </c>
      <c r="BV182" s="316"/>
      <c r="BW182" s="74">
        <v>30546409.789999999</v>
      </c>
      <c r="BX182" s="74">
        <v>14120229.894221762</v>
      </c>
      <c r="BY182" s="74">
        <v>19623045.670994323</v>
      </c>
      <c r="BZ182" s="74">
        <v>9081623.509478163</v>
      </c>
      <c r="CA182" s="74">
        <f t="shared" si="83"/>
        <v>-127316.5453692646</v>
      </c>
      <c r="CB182" s="74">
        <f t="shared" si="84"/>
        <v>29.367706413048861</v>
      </c>
      <c r="CC182" s="74">
        <f t="shared" si="85"/>
        <v>106.95401648092917</v>
      </c>
      <c r="CD182" s="74">
        <f t="shared" si="86"/>
        <v>77.586310067880305</v>
      </c>
      <c r="CE182" s="74">
        <f t="shared" si="87"/>
        <v>-59.716350115575302</v>
      </c>
      <c r="CF182" s="74">
        <f t="shared" si="88"/>
        <v>-45.80501674457048</v>
      </c>
      <c r="CG182" s="74">
        <f t="shared" si="89"/>
        <v>-31.995255736575992</v>
      </c>
      <c r="CH182" s="74">
        <f t="shared" si="90"/>
        <v>-17.971454893362342</v>
      </c>
      <c r="CI182" s="74">
        <f t="shared" si="91"/>
        <v>-280009.96569193259</v>
      </c>
      <c r="CJ182" s="74">
        <f t="shared" si="92"/>
        <v>-214779.72351529097</v>
      </c>
      <c r="CK182" s="74">
        <f t="shared" si="93"/>
        <v>-150025.75414880482</v>
      </c>
      <c r="CL182" s="74">
        <f t="shared" si="94"/>
        <v>-84268.151994976026</v>
      </c>
      <c r="CM182" s="316"/>
      <c r="CN182" s="74">
        <v>18330.876820982085</v>
      </c>
      <c r="CO182" s="74">
        <v>510.79075599999999</v>
      </c>
    </row>
    <row r="183" spans="1:93" x14ac:dyDescent="0.2">
      <c r="A183" s="74">
        <v>541</v>
      </c>
      <c r="B183" s="74" t="s">
        <v>303</v>
      </c>
      <c r="C183" s="74">
        <v>12</v>
      </c>
      <c r="D183" s="74">
        <v>9423</v>
      </c>
      <c r="E183" s="89">
        <v>29169963.689319842</v>
      </c>
      <c r="F183" s="74">
        <v>11329986.681779265</v>
      </c>
      <c r="G183" s="74">
        <v>2209026.3051</v>
      </c>
      <c r="H183" s="74">
        <v>2540637.6452000001</v>
      </c>
      <c r="I183" s="74">
        <v>5672554.5421591345</v>
      </c>
      <c r="J183" s="74">
        <v>1973262.1200583465</v>
      </c>
      <c r="K183" s="74">
        <v>3866652.0284846225</v>
      </c>
      <c r="L183" s="74">
        <v>-962239</v>
      </c>
      <c r="M183" s="75">
        <v>587982</v>
      </c>
      <c r="N183" s="75">
        <v>74189.572146454215</v>
      </c>
      <c r="O183" s="178">
        <f t="shared" si="65"/>
        <v>-1877911.7943920195</v>
      </c>
      <c r="P183" s="179">
        <f t="shared" si="66"/>
        <v>-199.29022544752408</v>
      </c>
      <c r="Q183" s="74"/>
      <c r="R183" s="89">
        <v>76207594.769999996</v>
      </c>
      <c r="S183" s="74">
        <v>26796425.836072244</v>
      </c>
      <c r="T183" s="74">
        <v>3810956.4678000002</v>
      </c>
      <c r="U183" s="74">
        <v>38053291.457303673</v>
      </c>
      <c r="V183" s="74">
        <v>6581095.8274378274</v>
      </c>
      <c r="W183" s="74">
        <v>1834769.3051</v>
      </c>
      <c r="X183" s="178">
        <f t="shared" si="67"/>
        <v>868944.12371374667</v>
      </c>
      <c r="Y183" s="179">
        <f t="shared" si="68"/>
        <v>92.215231212325875</v>
      </c>
      <c r="Z183" s="74"/>
      <c r="AA183" s="84">
        <f t="shared" si="69"/>
        <v>-2746855.9181057662</v>
      </c>
      <c r="AB183" s="132">
        <f t="shared" si="70"/>
        <v>-291.50545665984998</v>
      </c>
      <c r="AD183" s="180">
        <v>2786109.4491543621</v>
      </c>
      <c r="AE183" s="187">
        <v>2632554.5507363365</v>
      </c>
      <c r="AF183" s="187">
        <v>2480951.0450913152</v>
      </c>
      <c r="AG183" s="187">
        <v>2328390.423069647</v>
      </c>
      <c r="AH183" s="188">
        <v>2177846.6984152491</v>
      </c>
      <c r="AJ183" s="74">
        <f t="shared" si="71"/>
        <v>15466439.154292978</v>
      </c>
      <c r="AK183" s="74">
        <f t="shared" si="72"/>
        <v>1270318.8226000001</v>
      </c>
      <c r="AL183" s="74">
        <f t="shared" si="73"/>
        <v>32380736.91514454</v>
      </c>
      <c r="AM183" s="74">
        <f t="shared" si="74"/>
        <v>47037631.080680154</v>
      </c>
      <c r="AN183" s="74">
        <f t="shared" si="75"/>
        <v>2786109.4491543621</v>
      </c>
      <c r="AO183" s="74">
        <f t="shared" si="76"/>
        <v>2632554.5507363365</v>
      </c>
      <c r="AP183" s="74">
        <f t="shared" si="77"/>
        <v>2480951.0450913152</v>
      </c>
      <c r="AQ183" s="74">
        <f t="shared" si="78"/>
        <v>2328390.423069647</v>
      </c>
      <c r="AR183" s="74">
        <f t="shared" si="79"/>
        <v>2177846.6984152491</v>
      </c>
      <c r="AS183" s="75">
        <v>4504</v>
      </c>
      <c r="AT183" s="75"/>
      <c r="AU183" s="75"/>
      <c r="AV183" s="75">
        <v>3</v>
      </c>
      <c r="AW183" s="75">
        <v>27719.09164474213</v>
      </c>
      <c r="AX183" s="75">
        <v>-4496.6455459575254</v>
      </c>
      <c r="AY183" s="75">
        <v>4607.833707379481</v>
      </c>
      <c r="AZ183" s="316"/>
      <c r="BA183" s="74"/>
      <c r="BB183" s="74"/>
      <c r="BC183" s="74"/>
      <c r="BD183" s="74"/>
      <c r="BE183" s="74"/>
      <c r="BF183" s="74"/>
      <c r="BG183" s="74"/>
      <c r="BM183" s="316"/>
      <c r="BN183" s="74">
        <v>29169963.689319842</v>
      </c>
      <c r="BO183" s="74">
        <v>45684758.609999977</v>
      </c>
      <c r="BP183" s="74">
        <v>48710000</v>
      </c>
      <c r="BQ183" s="74">
        <v>906919.95000000007</v>
      </c>
      <c r="BR183" s="74">
        <v>1010000</v>
      </c>
      <c r="BS183" s="406">
        <f t="shared" si="80"/>
        <v>0.57718291420315815</v>
      </c>
      <c r="BT183" s="406">
        <f t="shared" si="81"/>
        <v>0.33333333333333337</v>
      </c>
      <c r="BU183" s="74">
        <f t="shared" si="82"/>
        <v>40855222.651008636</v>
      </c>
      <c r="BV183" s="316"/>
      <c r="BW183" s="74">
        <v>76207594.769999996</v>
      </c>
      <c r="BX183" s="74">
        <v>29169963.689319842</v>
      </c>
      <c r="BY183" s="74">
        <v>32816408.608972244</v>
      </c>
      <c r="BZ183" s="74">
        <v>16079650.632079266</v>
      </c>
      <c r="CA183" s="74">
        <f t="shared" si="83"/>
        <v>3866652.0284846192</v>
      </c>
      <c r="CB183" s="74">
        <f t="shared" si="84"/>
        <v>92.215231212325918</v>
      </c>
      <c r="CC183" s="74">
        <f t="shared" si="85"/>
        <v>-199.29022544752425</v>
      </c>
      <c r="CD183" s="74">
        <f t="shared" si="86"/>
        <v>-291.50545665985015</v>
      </c>
      <c r="CE183" s="74">
        <f t="shared" si="87"/>
        <v>279.37541661215516</v>
      </c>
      <c r="CF183" s="74">
        <f t="shared" si="88"/>
        <v>263.28674998316001</v>
      </c>
      <c r="CG183" s="74">
        <f t="shared" si="89"/>
        <v>247.09651099115447</v>
      </c>
      <c r="CH183" s="74">
        <f t="shared" si="90"/>
        <v>231.12031183436812</v>
      </c>
      <c r="CI183" s="74">
        <f t="shared" si="91"/>
        <v>2632554.5507363379</v>
      </c>
      <c r="CJ183" s="74">
        <f t="shared" si="92"/>
        <v>2480951.0450913166</v>
      </c>
      <c r="CK183" s="74">
        <f t="shared" si="93"/>
        <v>2328390.4230696484</v>
      </c>
      <c r="CL183" s="74">
        <f t="shared" si="94"/>
        <v>2177846.698415251</v>
      </c>
      <c r="CM183" s="316"/>
      <c r="CN183" s="74">
        <v>26971.678077377437</v>
      </c>
      <c r="CO183" s="74">
        <v>4135.9217480000007</v>
      </c>
    </row>
    <row r="184" spans="1:93" x14ac:dyDescent="0.2">
      <c r="A184" s="74">
        <v>543</v>
      </c>
      <c r="B184" s="74" t="s">
        <v>304</v>
      </c>
      <c r="C184" s="74">
        <v>35</v>
      </c>
      <c r="D184" s="74">
        <v>44127</v>
      </c>
      <c r="E184" s="89">
        <v>115632252.65705913</v>
      </c>
      <c r="F184" s="74">
        <v>70348898.357430339</v>
      </c>
      <c r="G184" s="74">
        <v>12987529.0438</v>
      </c>
      <c r="H184" s="74">
        <v>7394742.4907999998</v>
      </c>
      <c r="I184" s="74">
        <v>27764121.847259767</v>
      </c>
      <c r="J184" s="74">
        <v>5120588.7740572263</v>
      </c>
      <c r="K184" s="74">
        <v>2860711.8872551038</v>
      </c>
      <c r="L184" s="74">
        <v>-6603584</v>
      </c>
      <c r="M184" s="75">
        <v>1155000</v>
      </c>
      <c r="N184" s="75">
        <v>550954.74388586578</v>
      </c>
      <c r="O184" s="178">
        <f t="shared" si="65"/>
        <v>5946710.4874291718</v>
      </c>
      <c r="P184" s="179">
        <f t="shared" si="66"/>
        <v>134.76353451241127</v>
      </c>
      <c r="Q184" s="74"/>
      <c r="R184" s="89">
        <v>253826097.37</v>
      </c>
      <c r="S184" s="74">
        <v>190943876.26368272</v>
      </c>
      <c r="T184" s="74">
        <v>11092113.736200001</v>
      </c>
      <c r="U184" s="74">
        <v>35196259.869353928</v>
      </c>
      <c r="V184" s="74">
        <v>17077855.532936782</v>
      </c>
      <c r="W184" s="74">
        <v>7538945.0438000001</v>
      </c>
      <c r="X184" s="178">
        <f t="shared" si="67"/>
        <v>8022953.0759734511</v>
      </c>
      <c r="Y184" s="179">
        <f t="shared" si="68"/>
        <v>181.81505826304647</v>
      </c>
      <c r="Z184" s="74"/>
      <c r="AA184" s="84">
        <f t="shared" si="69"/>
        <v>-2076242.5885442793</v>
      </c>
      <c r="AB184" s="132">
        <f t="shared" si="70"/>
        <v>-47.051523750635198</v>
      </c>
      <c r="AD184" s="180">
        <v>2260063.0878100526</v>
      </c>
      <c r="AE184" s="187">
        <v>1540980.3113596423</v>
      </c>
      <c r="AF184" s="187">
        <v>831035.71902197204</v>
      </c>
      <c r="AG184" s="187">
        <v>116609.04302174474</v>
      </c>
      <c r="AH184" s="188">
        <v>-16995.285714045778</v>
      </c>
      <c r="AJ184" s="74">
        <f t="shared" si="71"/>
        <v>120594977.90625238</v>
      </c>
      <c r="AK184" s="74">
        <f t="shared" si="72"/>
        <v>3697371.2454000013</v>
      </c>
      <c r="AL184" s="74">
        <f t="shared" si="73"/>
        <v>7432138.0220941603</v>
      </c>
      <c r="AM184" s="74">
        <f t="shared" si="74"/>
        <v>138193844.71294087</v>
      </c>
      <c r="AN184" s="74">
        <f t="shared" si="75"/>
        <v>2260063.0878100526</v>
      </c>
      <c r="AO184" s="74">
        <f t="shared" si="76"/>
        <v>1540980.3113596423</v>
      </c>
      <c r="AP184" s="74">
        <f t="shared" si="77"/>
        <v>831035.71902197204</v>
      </c>
      <c r="AQ184" s="74">
        <f t="shared" si="78"/>
        <v>116609.04302174474</v>
      </c>
      <c r="AR184" s="74">
        <f t="shared" si="79"/>
        <v>-16995.285714045778</v>
      </c>
      <c r="AS184" s="75">
        <v>19068</v>
      </c>
      <c r="AT184" s="75"/>
      <c r="AU184" s="75"/>
      <c r="AV184" s="75">
        <v>0</v>
      </c>
      <c r="AW184" s="75">
        <v>15750.831165587299</v>
      </c>
      <c r="AX184" s="75">
        <v>8468.6499462526426</v>
      </c>
      <c r="AY184" s="75">
        <v>11957.266758879556</v>
      </c>
      <c r="AZ184" s="316"/>
      <c r="BA184" s="74"/>
      <c r="BB184" s="74"/>
      <c r="BC184" s="74"/>
      <c r="BD184" s="74"/>
      <c r="BE184" s="74"/>
      <c r="BF184" s="74"/>
      <c r="BG184" s="74"/>
      <c r="BM184" s="316"/>
      <c r="BN184" s="74">
        <v>115632252.65705913</v>
      </c>
      <c r="BO184" s="74">
        <v>125944979.75</v>
      </c>
      <c r="BP184" s="74">
        <v>139260000</v>
      </c>
      <c r="BQ184" s="74">
        <v>3513944.77</v>
      </c>
      <c r="BR184" s="74">
        <v>2628000</v>
      </c>
      <c r="BS184" s="406">
        <f t="shared" si="80"/>
        <v>0.63157290124202525</v>
      </c>
      <c r="BT184" s="406">
        <f t="shared" si="81"/>
        <v>0.33333333333333337</v>
      </c>
      <c r="BU184" s="74">
        <f t="shared" si="82"/>
        <v>22250116.66822882</v>
      </c>
      <c r="BV184" s="316"/>
      <c r="BW184" s="74">
        <v>253826097.37</v>
      </c>
      <c r="BX184" s="74">
        <v>115632252.65705913</v>
      </c>
      <c r="BY184" s="74">
        <v>215023519.04368272</v>
      </c>
      <c r="BZ184" s="74">
        <v>90731169.892030329</v>
      </c>
      <c r="CA184" s="74">
        <f t="shared" si="83"/>
        <v>2860711.8872550842</v>
      </c>
      <c r="CB184" s="74">
        <f t="shared" si="84"/>
        <v>181.81505826304604</v>
      </c>
      <c r="CC184" s="74">
        <f t="shared" si="85"/>
        <v>134.76353451241076</v>
      </c>
      <c r="CD184" s="74">
        <f t="shared" si="86"/>
        <v>-47.051523750635283</v>
      </c>
      <c r="CE184" s="74">
        <f t="shared" si="87"/>
        <v>34.921483702940286</v>
      </c>
      <c r="CF184" s="74">
        <f t="shared" si="88"/>
        <v>18.832817073945108</v>
      </c>
      <c r="CG184" s="74">
        <f t="shared" si="89"/>
        <v>2.642578081939595</v>
      </c>
      <c r="CH184" s="74">
        <f t="shared" si="90"/>
        <v>-0.38514482548203544</v>
      </c>
      <c r="CI184" s="74">
        <f t="shared" si="91"/>
        <v>1540980.311359646</v>
      </c>
      <c r="CJ184" s="74">
        <f t="shared" si="92"/>
        <v>831035.71902197576</v>
      </c>
      <c r="CK184" s="74">
        <f t="shared" si="93"/>
        <v>116609.04302174851</v>
      </c>
      <c r="CL184" s="74">
        <f t="shared" si="94"/>
        <v>-16995.285714045778</v>
      </c>
      <c r="CM184" s="316"/>
      <c r="CN184" s="74">
        <v>199761.96280309552</v>
      </c>
      <c r="CO184" s="74">
        <v>12037.952891999999</v>
      </c>
    </row>
    <row r="185" spans="1:93" x14ac:dyDescent="0.2">
      <c r="A185" s="74">
        <v>545</v>
      </c>
      <c r="B185" s="74" t="s">
        <v>305</v>
      </c>
      <c r="C185" s="74">
        <v>15</v>
      </c>
      <c r="D185" s="74">
        <v>9562</v>
      </c>
      <c r="E185" s="89">
        <v>31232493.642364934</v>
      </c>
      <c r="F185" s="74">
        <v>12551830.957655007</v>
      </c>
      <c r="G185" s="74">
        <v>4127712.3949999996</v>
      </c>
      <c r="H185" s="74">
        <v>2702788.9424000001</v>
      </c>
      <c r="I185" s="74">
        <v>10532102.050879579</v>
      </c>
      <c r="J185" s="74">
        <v>2131198.9474613033</v>
      </c>
      <c r="K185" s="74">
        <v>1099149.4054686362</v>
      </c>
      <c r="L185" s="74">
        <v>342164</v>
      </c>
      <c r="M185" s="75">
        <v>-11600</v>
      </c>
      <c r="N185" s="75">
        <v>79501.493770290079</v>
      </c>
      <c r="O185" s="178">
        <f t="shared" si="65"/>
        <v>2322354.5502698794</v>
      </c>
      <c r="P185" s="179">
        <f t="shared" si="66"/>
        <v>242.87330582199115</v>
      </c>
      <c r="Q185" s="74"/>
      <c r="R185" s="89">
        <v>71585434</v>
      </c>
      <c r="S185" s="74">
        <v>29135534.661817703</v>
      </c>
      <c r="T185" s="74">
        <v>4054183.4135999996</v>
      </c>
      <c r="U185" s="74">
        <v>30224227.048645638</v>
      </c>
      <c r="V185" s="74">
        <v>7107836.4896412026</v>
      </c>
      <c r="W185" s="74">
        <v>4458276.3949999996</v>
      </c>
      <c r="X185" s="178">
        <f t="shared" si="67"/>
        <v>3394624.0087045431</v>
      </c>
      <c r="Y185" s="179">
        <f t="shared" si="68"/>
        <v>355.01192310233665</v>
      </c>
      <c r="Z185" s="74"/>
      <c r="AA185" s="84">
        <f t="shared" si="69"/>
        <v>-1072269.4584346637</v>
      </c>
      <c r="AB185" s="132">
        <f t="shared" si="70"/>
        <v>-112.1386172803455</v>
      </c>
      <c r="AD185" s="180">
        <v>1112102.0238476607</v>
      </c>
      <c r="AE185" s="187">
        <v>956282.01549860416</v>
      </c>
      <c r="AF185" s="187">
        <v>802442.18519215216</v>
      </c>
      <c r="AG185" s="187">
        <v>647631.11995059543</v>
      </c>
      <c r="AH185" s="188">
        <v>494866.70361340442</v>
      </c>
      <c r="AJ185" s="74">
        <f t="shared" si="71"/>
        <v>16583703.704162696</v>
      </c>
      <c r="AK185" s="74">
        <f t="shared" si="72"/>
        <v>1351394.4711999996</v>
      </c>
      <c r="AL185" s="74">
        <f t="shared" si="73"/>
        <v>19692124.997766059</v>
      </c>
      <c r="AM185" s="74">
        <f t="shared" si="74"/>
        <v>40352940.357635066</v>
      </c>
      <c r="AN185" s="74">
        <f t="shared" si="75"/>
        <v>1112102.0238476607</v>
      </c>
      <c r="AO185" s="74">
        <f t="shared" si="76"/>
        <v>956282.01549860416</v>
      </c>
      <c r="AP185" s="74">
        <f t="shared" si="77"/>
        <v>802442.18519215216</v>
      </c>
      <c r="AQ185" s="74">
        <f t="shared" si="78"/>
        <v>647631.11995059543</v>
      </c>
      <c r="AR185" s="74">
        <f t="shared" si="79"/>
        <v>494866.70361340442</v>
      </c>
      <c r="AS185" s="75">
        <v>3668</v>
      </c>
      <c r="AT185" s="75"/>
      <c r="AU185" s="75"/>
      <c r="AV185" s="75">
        <v>17</v>
      </c>
      <c r="AW185" s="75">
        <v>15691.904724605787</v>
      </c>
      <c r="AX185" s="75">
        <v>-3664.865564949459</v>
      </c>
      <c r="AY185" s="75">
        <v>4976.6375421798994</v>
      </c>
      <c r="AZ185" s="316"/>
      <c r="BA185" s="74"/>
      <c r="BB185" s="74"/>
      <c r="BC185" s="74"/>
      <c r="BD185" s="74"/>
      <c r="BE185" s="74"/>
      <c r="BF185" s="74"/>
      <c r="BG185" s="74"/>
      <c r="BM185" s="316"/>
      <c r="BN185" s="74">
        <v>31232493.642364934</v>
      </c>
      <c r="BO185" s="74">
        <v>35433628.560000002</v>
      </c>
      <c r="BP185" s="74">
        <v>40433000</v>
      </c>
      <c r="BQ185" s="74">
        <v>727098.62</v>
      </c>
      <c r="BR185" s="74">
        <v>753000</v>
      </c>
      <c r="BS185" s="406">
        <f t="shared" si="80"/>
        <v>0.56919167252817715</v>
      </c>
      <c r="BT185" s="406">
        <f t="shared" si="81"/>
        <v>0.33333333333333326</v>
      </c>
      <c r="BU185" s="74">
        <f t="shared" si="82"/>
        <v>25767911.945414595</v>
      </c>
      <c r="BV185" s="316"/>
      <c r="BW185" s="74">
        <v>71585434</v>
      </c>
      <c r="BX185" s="74">
        <v>31232493.642364934</v>
      </c>
      <c r="BY185" s="74">
        <v>37317430.470417708</v>
      </c>
      <c r="BZ185" s="74">
        <v>19382332.295055006</v>
      </c>
      <c r="CA185" s="74">
        <f t="shared" si="83"/>
        <v>1099149.4054686357</v>
      </c>
      <c r="CB185" s="74">
        <f t="shared" si="84"/>
        <v>355.01192310233608</v>
      </c>
      <c r="CC185" s="74">
        <f t="shared" si="85"/>
        <v>242.87330582199121</v>
      </c>
      <c r="CD185" s="74">
        <f t="shared" si="86"/>
        <v>-112.13861728034487</v>
      </c>
      <c r="CE185" s="74">
        <f t="shared" si="87"/>
        <v>100.00857723264988</v>
      </c>
      <c r="CF185" s="74">
        <f t="shared" si="88"/>
        <v>83.919910603654699</v>
      </c>
      <c r="CG185" s="74">
        <f t="shared" si="89"/>
        <v>67.729671611649181</v>
      </c>
      <c r="CH185" s="74">
        <f t="shared" si="90"/>
        <v>51.753472454862838</v>
      </c>
      <c r="CI185" s="74">
        <f t="shared" si="91"/>
        <v>956282.01549859822</v>
      </c>
      <c r="CJ185" s="74">
        <f t="shared" si="92"/>
        <v>802442.18519214622</v>
      </c>
      <c r="CK185" s="74">
        <f t="shared" si="93"/>
        <v>647631.11995058949</v>
      </c>
      <c r="CL185" s="74">
        <f t="shared" si="94"/>
        <v>494866.70361339848</v>
      </c>
      <c r="CM185" s="316"/>
      <c r="CN185" s="74">
        <v>29333.394725843125</v>
      </c>
      <c r="CO185" s="74">
        <v>4399.8889760000002</v>
      </c>
    </row>
    <row r="186" spans="1:93" x14ac:dyDescent="0.2">
      <c r="A186" s="74">
        <v>560</v>
      </c>
      <c r="B186" s="74" t="s">
        <v>306</v>
      </c>
      <c r="C186" s="74">
        <v>7</v>
      </c>
      <c r="D186" s="74">
        <v>15808</v>
      </c>
      <c r="E186" s="89">
        <v>43863311.234538421</v>
      </c>
      <c r="F186" s="74">
        <v>23483208.249820624</v>
      </c>
      <c r="G186" s="74">
        <v>4610566.7244999995</v>
      </c>
      <c r="H186" s="74">
        <v>2417309.5344000002</v>
      </c>
      <c r="I186" s="74">
        <v>10963584.776726065</v>
      </c>
      <c r="J186" s="74">
        <v>2812225.3469636058</v>
      </c>
      <c r="K186" s="74">
        <v>938323.15703580657</v>
      </c>
      <c r="L186" s="74">
        <v>-1927931</v>
      </c>
      <c r="M186" s="75">
        <v>1803500</v>
      </c>
      <c r="N186" s="75">
        <v>146761.73330157713</v>
      </c>
      <c r="O186" s="178">
        <f t="shared" si="65"/>
        <v>1384237.2882092595</v>
      </c>
      <c r="P186" s="179">
        <f t="shared" si="66"/>
        <v>87.565617928217321</v>
      </c>
      <c r="Q186" s="74"/>
      <c r="R186" s="89">
        <v>102737370</v>
      </c>
      <c r="S186" s="74">
        <v>55383190.444280289</v>
      </c>
      <c r="T186" s="74">
        <v>3625964.3016000004</v>
      </c>
      <c r="U186" s="74">
        <v>31755537.69328085</v>
      </c>
      <c r="V186" s="74">
        <v>9379151.5625759047</v>
      </c>
      <c r="W186" s="74">
        <v>4486135.7244999995</v>
      </c>
      <c r="X186" s="178">
        <f t="shared" si="67"/>
        <v>1892609.7262370437</v>
      </c>
      <c r="Y186" s="179">
        <f t="shared" si="68"/>
        <v>119.72480555649315</v>
      </c>
      <c r="Z186" s="74"/>
      <c r="AA186" s="84">
        <f t="shared" si="69"/>
        <v>-508372.43802778423</v>
      </c>
      <c r="AB186" s="132">
        <f t="shared" si="70"/>
        <v>-32.159187628275824</v>
      </c>
      <c r="AD186" s="180">
        <v>574224.05840518011</v>
      </c>
      <c r="AE186" s="187">
        <v>316620.76495382184</v>
      </c>
      <c r="AF186" s="187">
        <v>62291.122882666066</v>
      </c>
      <c r="AG186" s="187">
        <v>9343.386869258562</v>
      </c>
      <c r="AH186" s="188">
        <v>-6088.3694012200158</v>
      </c>
      <c r="AJ186" s="74">
        <f t="shared" si="71"/>
        <v>31899982.194459666</v>
      </c>
      <c r="AK186" s="74">
        <f t="shared" si="72"/>
        <v>1208654.7672000001</v>
      </c>
      <c r="AL186" s="74">
        <f t="shared" si="73"/>
        <v>20791952.916554786</v>
      </c>
      <c r="AM186" s="74">
        <f t="shared" si="74"/>
        <v>58874058.765461579</v>
      </c>
      <c r="AN186" s="74">
        <f t="shared" si="75"/>
        <v>574224.05840518011</v>
      </c>
      <c r="AO186" s="74">
        <f t="shared" si="76"/>
        <v>316620.76495382184</v>
      </c>
      <c r="AP186" s="74">
        <f t="shared" si="77"/>
        <v>62291.122882666066</v>
      </c>
      <c r="AQ186" s="74">
        <f t="shared" si="78"/>
        <v>9343.386869258562</v>
      </c>
      <c r="AR186" s="74">
        <f t="shared" si="79"/>
        <v>-6088.3694012200158</v>
      </c>
      <c r="AS186" s="75">
        <v>5425</v>
      </c>
      <c r="AT186" s="75"/>
      <c r="AU186" s="75"/>
      <c r="AV186" s="75">
        <v>0</v>
      </c>
      <c r="AW186" s="75">
        <v>16776.594266914781</v>
      </c>
      <c r="AX186" s="75">
        <v>-4139.3932940382247</v>
      </c>
      <c r="AY186" s="75">
        <v>6566.9262156122986</v>
      </c>
      <c r="AZ186" s="316"/>
      <c r="BA186" s="74"/>
      <c r="BB186" s="74"/>
      <c r="BC186" s="74"/>
      <c r="BD186" s="74"/>
      <c r="BE186" s="74"/>
      <c r="BF186" s="74"/>
      <c r="BG186" s="74"/>
      <c r="BM186" s="316"/>
      <c r="BN186" s="74">
        <v>43863311.234538421</v>
      </c>
      <c r="BO186" s="74">
        <v>53785811.720000006</v>
      </c>
      <c r="BP186" s="74">
        <v>59301000</v>
      </c>
      <c r="BQ186" s="74">
        <v>1952940.6700000002</v>
      </c>
      <c r="BR186" s="74">
        <v>1769000</v>
      </c>
      <c r="BS186" s="406">
        <f t="shared" si="80"/>
        <v>0.5759867197711096</v>
      </c>
      <c r="BT186" s="406">
        <f t="shared" si="81"/>
        <v>0.33333333333333337</v>
      </c>
      <c r="BU186" s="74">
        <f t="shared" si="82"/>
        <v>28297202.289202888</v>
      </c>
      <c r="BV186" s="316"/>
      <c r="BW186" s="74">
        <v>102737370</v>
      </c>
      <c r="BX186" s="74">
        <v>43863311.234538421</v>
      </c>
      <c r="BY186" s="74">
        <v>63619721.470380291</v>
      </c>
      <c r="BZ186" s="74">
        <v>30511084.508720625</v>
      </c>
      <c r="CA186" s="74">
        <f t="shared" si="83"/>
        <v>938323.15703579935</v>
      </c>
      <c r="CB186" s="74">
        <f t="shared" si="84"/>
        <v>119.72480555649321</v>
      </c>
      <c r="CC186" s="74">
        <f t="shared" si="85"/>
        <v>87.565617928216824</v>
      </c>
      <c r="CD186" s="74">
        <f t="shared" si="86"/>
        <v>-32.159187628276385</v>
      </c>
      <c r="CE186" s="74">
        <f t="shared" si="87"/>
        <v>20.029147580581391</v>
      </c>
      <c r="CF186" s="74">
        <f t="shared" si="88"/>
        <v>3.9404809515862111</v>
      </c>
      <c r="CG186" s="74">
        <f t="shared" si="89"/>
        <v>0.59105433130431184</v>
      </c>
      <c r="CH186" s="74">
        <f t="shared" si="90"/>
        <v>-0.38514482548203544</v>
      </c>
      <c r="CI186" s="74">
        <f t="shared" si="91"/>
        <v>316620.76495383063</v>
      </c>
      <c r="CJ186" s="74">
        <f t="shared" si="92"/>
        <v>62291.122882674827</v>
      </c>
      <c r="CK186" s="74">
        <f t="shared" si="93"/>
        <v>9343.386869258562</v>
      </c>
      <c r="CL186" s="74">
        <f t="shared" si="94"/>
        <v>-6088.3694012200158</v>
      </c>
      <c r="CM186" s="316"/>
      <c r="CN186" s="74">
        <v>56442.987762284218</v>
      </c>
      <c r="CO186" s="74">
        <v>3935.1550560000001</v>
      </c>
    </row>
    <row r="187" spans="1:93" x14ac:dyDescent="0.2">
      <c r="A187" s="74">
        <v>561</v>
      </c>
      <c r="B187" s="74" t="s">
        <v>307</v>
      </c>
      <c r="C187" s="74">
        <v>2</v>
      </c>
      <c r="D187" s="74">
        <v>1337</v>
      </c>
      <c r="E187" s="89">
        <v>3809727.0403727386</v>
      </c>
      <c r="F187" s="74">
        <v>1694351.5970373915</v>
      </c>
      <c r="G187" s="74">
        <v>429922.94800000003</v>
      </c>
      <c r="H187" s="74">
        <v>444054.36939999997</v>
      </c>
      <c r="I187" s="74">
        <v>980953.88854088064</v>
      </c>
      <c r="J187" s="74">
        <v>286414.92556078429</v>
      </c>
      <c r="K187" s="74">
        <v>379710.31877004961</v>
      </c>
      <c r="L187" s="74">
        <v>-296983</v>
      </c>
      <c r="M187" s="75">
        <v>-44700</v>
      </c>
      <c r="N187" s="75">
        <v>11176.018812061879</v>
      </c>
      <c r="O187" s="178">
        <f t="shared" si="65"/>
        <v>75174.025748428889</v>
      </c>
      <c r="P187" s="179">
        <f t="shared" si="66"/>
        <v>56.225898091569846</v>
      </c>
      <c r="Q187" s="74"/>
      <c r="R187" s="89">
        <v>8910300</v>
      </c>
      <c r="S187" s="74">
        <v>3993572.5687957574</v>
      </c>
      <c r="T187" s="74">
        <v>666081.55409999995</v>
      </c>
      <c r="U187" s="74">
        <v>3605974.7226811755</v>
      </c>
      <c r="V187" s="74">
        <v>955232.48146488471</v>
      </c>
      <c r="W187" s="74">
        <v>88239.948000000033</v>
      </c>
      <c r="X187" s="178">
        <f t="shared" si="67"/>
        <v>398801.27504181862</v>
      </c>
      <c r="Y187" s="179">
        <f t="shared" si="68"/>
        <v>298.28068439926597</v>
      </c>
      <c r="Z187" s="74"/>
      <c r="AA187" s="84">
        <f t="shared" si="69"/>
        <v>-323627.24929338973</v>
      </c>
      <c r="AB187" s="132">
        <f t="shared" si="70"/>
        <v>-242.05478630769613</v>
      </c>
      <c r="AD187" s="180">
        <v>329196.81005025777</v>
      </c>
      <c r="AE187" s="187">
        <v>307409.38574962103</v>
      </c>
      <c r="AF187" s="187">
        <v>285898.83846665447</v>
      </c>
      <c r="AG187" s="187">
        <v>264252.4889343431</v>
      </c>
      <c r="AH187" s="188">
        <v>242892.31066171976</v>
      </c>
      <c r="AJ187" s="74">
        <f t="shared" si="71"/>
        <v>2299220.9717583656</v>
      </c>
      <c r="AK187" s="74">
        <f t="shared" si="72"/>
        <v>222027.18469999998</v>
      </c>
      <c r="AL187" s="74">
        <f t="shared" si="73"/>
        <v>2625020.8341402947</v>
      </c>
      <c r="AM187" s="74">
        <f t="shared" si="74"/>
        <v>5100572.9596272614</v>
      </c>
      <c r="AN187" s="74">
        <f t="shared" si="75"/>
        <v>329196.81005025777</v>
      </c>
      <c r="AO187" s="74">
        <f t="shared" si="76"/>
        <v>307409.38574962103</v>
      </c>
      <c r="AP187" s="74">
        <f t="shared" si="77"/>
        <v>285898.83846665447</v>
      </c>
      <c r="AQ187" s="74">
        <f t="shared" si="78"/>
        <v>264252.4889343431</v>
      </c>
      <c r="AR187" s="74">
        <f t="shared" si="79"/>
        <v>242892.31066171976</v>
      </c>
      <c r="AS187" s="75">
        <v>441</v>
      </c>
      <c r="AT187" s="75"/>
      <c r="AU187" s="75"/>
      <c r="AV187" s="75">
        <v>77</v>
      </c>
      <c r="AW187" s="75">
        <v>2058.935878528273</v>
      </c>
      <c r="AX187" s="75">
        <v>-496.17797715050943</v>
      </c>
      <c r="AY187" s="75">
        <v>668.81755590410046</v>
      </c>
      <c r="AZ187" s="316"/>
      <c r="BA187" s="74"/>
      <c r="BB187" s="74"/>
      <c r="BC187" s="74"/>
      <c r="BD187" s="74"/>
      <c r="BE187" s="74"/>
      <c r="BF187" s="74"/>
      <c r="BG187" s="74"/>
      <c r="BM187" s="316"/>
      <c r="BN187" s="74">
        <v>3809727.0403727386</v>
      </c>
      <c r="BO187" s="74">
        <v>4736326.8599999994</v>
      </c>
      <c r="BP187" s="74">
        <v>4798000</v>
      </c>
      <c r="BQ187" s="74">
        <v>94238.66</v>
      </c>
      <c r="BR187" s="74">
        <v>102000</v>
      </c>
      <c r="BS187" s="406">
        <f t="shared" si="80"/>
        <v>0.5757303597594785</v>
      </c>
      <c r="BT187" s="406">
        <f t="shared" si="81"/>
        <v>0.33333333333333337</v>
      </c>
      <c r="BU187" s="74">
        <f t="shared" si="82"/>
        <v>3673548.708814445</v>
      </c>
      <c r="BV187" s="316"/>
      <c r="BW187" s="74">
        <v>8910300</v>
      </c>
      <c r="BX187" s="74">
        <v>3809727.0403727386</v>
      </c>
      <c r="BY187" s="74">
        <v>5089577.0708957575</v>
      </c>
      <c r="BZ187" s="74">
        <v>2568328.9144373918</v>
      </c>
      <c r="CA187" s="74">
        <f t="shared" si="83"/>
        <v>379710.31877004908</v>
      </c>
      <c r="CB187" s="74">
        <f t="shared" si="84"/>
        <v>298.2806843992654</v>
      </c>
      <c r="CC187" s="74">
        <f t="shared" si="85"/>
        <v>56.225898091569988</v>
      </c>
      <c r="CD187" s="74">
        <f t="shared" si="86"/>
        <v>-242.05478630769539</v>
      </c>
      <c r="CE187" s="74">
        <f t="shared" si="87"/>
        <v>229.9247462600004</v>
      </c>
      <c r="CF187" s="74">
        <f t="shared" si="88"/>
        <v>213.83607963100522</v>
      </c>
      <c r="CG187" s="74">
        <f t="shared" si="89"/>
        <v>197.64584063899972</v>
      </c>
      <c r="CH187" s="74">
        <f t="shared" si="90"/>
        <v>181.66964148221336</v>
      </c>
      <c r="CI187" s="74">
        <f t="shared" si="91"/>
        <v>307409.38574962056</v>
      </c>
      <c r="CJ187" s="74">
        <f t="shared" si="92"/>
        <v>285898.83846665395</v>
      </c>
      <c r="CK187" s="74">
        <f t="shared" si="93"/>
        <v>264252.48893434263</v>
      </c>
      <c r="CL187" s="74">
        <f t="shared" si="94"/>
        <v>242892.31066171927</v>
      </c>
      <c r="CM187" s="316"/>
      <c r="CN187" s="74">
        <v>4091.1113782931088</v>
      </c>
      <c r="CO187" s="74">
        <v>722.87920599999995</v>
      </c>
    </row>
    <row r="188" spans="1:93" x14ac:dyDescent="0.2">
      <c r="A188" s="74">
        <v>562</v>
      </c>
      <c r="B188" s="74" t="s">
        <v>308</v>
      </c>
      <c r="C188" s="74">
        <v>6</v>
      </c>
      <c r="D188" s="74">
        <v>8978</v>
      </c>
      <c r="E188" s="89">
        <v>24174001.482395358</v>
      </c>
      <c r="F188" s="74">
        <v>14116445.965602061</v>
      </c>
      <c r="G188" s="74">
        <v>3077300.3020000006</v>
      </c>
      <c r="H188" s="74">
        <v>1606866.6130000001</v>
      </c>
      <c r="I188" s="74">
        <v>4837460.0606380608</v>
      </c>
      <c r="J188" s="74">
        <v>1710112.6872380413</v>
      </c>
      <c r="K188" s="74">
        <v>-301344.2472770341</v>
      </c>
      <c r="L188" s="74">
        <v>-583528</v>
      </c>
      <c r="M188" s="75">
        <v>-155000</v>
      </c>
      <c r="N188" s="75">
        <v>81830.006264645315</v>
      </c>
      <c r="O188" s="178">
        <f t="shared" si="65"/>
        <v>216141.90507041663</v>
      </c>
      <c r="P188" s="179">
        <f t="shared" si="66"/>
        <v>24.074616292093634</v>
      </c>
      <c r="Q188" s="74"/>
      <c r="R188" s="89">
        <v>64065078</v>
      </c>
      <c r="S188" s="74">
        <v>31773410.40065261</v>
      </c>
      <c r="T188" s="74">
        <v>2410299.9194999998</v>
      </c>
      <c r="U188" s="74">
        <v>21725789.830055423</v>
      </c>
      <c r="V188" s="74">
        <v>5703456.9082479458</v>
      </c>
      <c r="W188" s="74">
        <v>2338772.3020000006</v>
      </c>
      <c r="X188" s="178">
        <f t="shared" si="67"/>
        <v>-113348.63954401761</v>
      </c>
      <c r="Y188" s="179">
        <f t="shared" si="68"/>
        <v>-12.625154772111562</v>
      </c>
      <c r="Z188" s="74"/>
      <c r="AA188" s="84">
        <f t="shared" si="69"/>
        <v>329490.54461443424</v>
      </c>
      <c r="AB188" s="132">
        <f t="shared" si="70"/>
        <v>36.699771064205194</v>
      </c>
      <c r="AD188" s="180">
        <v>-292090.75667489722</v>
      </c>
      <c r="AE188" s="187">
        <v>-169054.04416264358</v>
      </c>
      <c r="AF188" s="187">
        <v>-44158.093157762312</v>
      </c>
      <c r="AG188" s="187">
        <v>5306.4857864501118</v>
      </c>
      <c r="AH188" s="188">
        <v>-3457.8302431777142</v>
      </c>
      <c r="AJ188" s="74">
        <f t="shared" si="71"/>
        <v>17656964.435050547</v>
      </c>
      <c r="AK188" s="74">
        <f t="shared" si="72"/>
        <v>803433.30649999972</v>
      </c>
      <c r="AL188" s="74">
        <f t="shared" si="73"/>
        <v>16888329.76941736</v>
      </c>
      <c r="AM188" s="74">
        <f t="shared" si="74"/>
        <v>39891076.517604642</v>
      </c>
      <c r="AN188" s="74">
        <f t="shared" si="75"/>
        <v>-292090.75667489722</v>
      </c>
      <c r="AO188" s="74">
        <f t="shared" si="76"/>
        <v>-169054.04416264358</v>
      </c>
      <c r="AP188" s="74">
        <f t="shared" si="77"/>
        <v>-44158.093157762312</v>
      </c>
      <c r="AQ188" s="74">
        <f t="shared" si="78"/>
        <v>5306.4857864501118</v>
      </c>
      <c r="AR188" s="74">
        <f t="shared" si="79"/>
        <v>-3457.8302431777142</v>
      </c>
      <c r="AS188" s="75">
        <v>2926</v>
      </c>
      <c r="AT188" s="75"/>
      <c r="AU188" s="75"/>
      <c r="AV188" s="75">
        <v>0</v>
      </c>
      <c r="AW188" s="75">
        <v>14393.906210433772</v>
      </c>
      <c r="AX188" s="75">
        <v>-2626.9130498787299</v>
      </c>
      <c r="AY188" s="75">
        <v>3993.3442210099047</v>
      </c>
      <c r="AZ188" s="316"/>
      <c r="BA188" s="74"/>
      <c r="BB188" s="74"/>
      <c r="BC188" s="74"/>
      <c r="BD188" s="74"/>
      <c r="BE188" s="74"/>
      <c r="BF188" s="74"/>
      <c r="BG188" s="74"/>
      <c r="BM188" s="316"/>
      <c r="BN188" s="74">
        <v>24174001.482395358</v>
      </c>
      <c r="BO188" s="74">
        <v>37832026.57</v>
      </c>
      <c r="BP188" s="74">
        <v>39065000</v>
      </c>
      <c r="BQ188" s="74">
        <v>706539.4</v>
      </c>
      <c r="BR188" s="74">
        <v>726000</v>
      </c>
      <c r="BS188" s="406">
        <f t="shared" si="80"/>
        <v>0.55571511563920395</v>
      </c>
      <c r="BT188" s="406">
        <f t="shared" si="81"/>
        <v>0.33333333333333326</v>
      </c>
      <c r="BU188" s="74">
        <f t="shared" si="82"/>
        <v>20580329.743150238</v>
      </c>
      <c r="BV188" s="316"/>
      <c r="BW188" s="74">
        <v>64065078</v>
      </c>
      <c r="BX188" s="74">
        <v>24174001.482395358</v>
      </c>
      <c r="BY188" s="74">
        <v>37261010.622152612</v>
      </c>
      <c r="BZ188" s="74">
        <v>18800612.880602062</v>
      </c>
      <c r="CA188" s="74">
        <f t="shared" si="83"/>
        <v>-301344.24727703986</v>
      </c>
      <c r="CB188" s="74">
        <f t="shared" si="84"/>
        <v>-12.625154772111822</v>
      </c>
      <c r="CC188" s="74">
        <f t="shared" si="85"/>
        <v>24.074616292092998</v>
      </c>
      <c r="CD188" s="74">
        <f t="shared" si="86"/>
        <v>36.699771064204818</v>
      </c>
      <c r="CE188" s="74">
        <f t="shared" si="87"/>
        <v>-18.829811111899811</v>
      </c>
      <c r="CF188" s="74">
        <f t="shared" si="88"/>
        <v>-4.9184777408949909</v>
      </c>
      <c r="CG188" s="74">
        <f t="shared" si="89"/>
        <v>0.59105433130431184</v>
      </c>
      <c r="CH188" s="74">
        <f t="shared" si="90"/>
        <v>-0.38514482548203544</v>
      </c>
      <c r="CI188" s="74">
        <f t="shared" si="91"/>
        <v>-169054.04416263651</v>
      </c>
      <c r="CJ188" s="74">
        <f t="shared" si="92"/>
        <v>-44158.093157755226</v>
      </c>
      <c r="CK188" s="74">
        <f t="shared" si="93"/>
        <v>5306.4857864501118</v>
      </c>
      <c r="CL188" s="74">
        <f t="shared" si="94"/>
        <v>-3457.8302431777142</v>
      </c>
      <c r="CM188" s="316"/>
      <c r="CN188" s="74">
        <v>32679.164327520662</v>
      </c>
      <c r="CO188" s="74">
        <v>2615.8293700000004</v>
      </c>
    </row>
    <row r="189" spans="1:93" x14ac:dyDescent="0.2">
      <c r="A189" s="74">
        <v>563</v>
      </c>
      <c r="B189" s="74" t="s">
        <v>309</v>
      </c>
      <c r="C189" s="74">
        <v>17</v>
      </c>
      <c r="D189" s="74">
        <v>7102</v>
      </c>
      <c r="E189" s="89">
        <v>21562929.669172376</v>
      </c>
      <c r="F189" s="74">
        <v>10555757.952194523</v>
      </c>
      <c r="G189" s="74">
        <v>2142730.3854999999</v>
      </c>
      <c r="H189" s="74">
        <v>1084471.5841999999</v>
      </c>
      <c r="I189" s="74">
        <v>6399388.4689947842</v>
      </c>
      <c r="J189" s="74">
        <v>1303387.6109544765</v>
      </c>
      <c r="K189" s="74">
        <v>359417.74274852534</v>
      </c>
      <c r="L189" s="74">
        <v>-345425</v>
      </c>
      <c r="M189" s="75">
        <v>855706</v>
      </c>
      <c r="N189" s="75">
        <v>60929.764192601273</v>
      </c>
      <c r="O189" s="178">
        <f t="shared" si="65"/>
        <v>853434.83961253613</v>
      </c>
      <c r="P189" s="179">
        <f t="shared" si="66"/>
        <v>120.16823987785639</v>
      </c>
      <c r="Q189" s="74"/>
      <c r="R189" s="89">
        <v>57134017.420000002</v>
      </c>
      <c r="S189" s="74">
        <v>23758940.651896216</v>
      </c>
      <c r="T189" s="74">
        <v>1626707.3762999999</v>
      </c>
      <c r="U189" s="74">
        <v>25178400.179884568</v>
      </c>
      <c r="V189" s="74">
        <v>4346973.8159941128</v>
      </c>
      <c r="W189" s="74">
        <v>2653011.3854999999</v>
      </c>
      <c r="X189" s="178">
        <f t="shared" si="67"/>
        <v>430015.98957489431</v>
      </c>
      <c r="Y189" s="179">
        <f t="shared" si="68"/>
        <v>60.548576397478783</v>
      </c>
      <c r="Z189" s="74"/>
      <c r="AA189" s="84">
        <f t="shared" si="69"/>
        <v>423418.85003764182</v>
      </c>
      <c r="AB189" s="132">
        <f t="shared" si="70"/>
        <v>59.619663480377618</v>
      </c>
      <c r="AD189" s="180">
        <v>-393833.94316008722</v>
      </c>
      <c r="AE189" s="187">
        <v>-296506.39445636421</v>
      </c>
      <c r="AF189" s="187">
        <v>-197708.10485548794</v>
      </c>
      <c r="AG189" s="187">
        <v>-99631.182176711096</v>
      </c>
      <c r="AH189" s="188">
        <v>-2735.2985505734155</v>
      </c>
      <c r="AJ189" s="74">
        <f t="shared" si="71"/>
        <v>13203182.699701693</v>
      </c>
      <c r="AK189" s="74">
        <f t="shared" si="72"/>
        <v>542235.79209999996</v>
      </c>
      <c r="AL189" s="74">
        <f t="shared" si="73"/>
        <v>18779011.710889783</v>
      </c>
      <c r="AM189" s="74">
        <f t="shared" si="74"/>
        <v>35571087.750827625</v>
      </c>
      <c r="AN189" s="74">
        <f t="shared" si="75"/>
        <v>-393833.94316008722</v>
      </c>
      <c r="AO189" s="74">
        <f t="shared" si="76"/>
        <v>-296506.39445636421</v>
      </c>
      <c r="AP189" s="74">
        <f t="shared" si="77"/>
        <v>-197708.10485548794</v>
      </c>
      <c r="AQ189" s="74">
        <f t="shared" si="78"/>
        <v>-99631.182176711096</v>
      </c>
      <c r="AR189" s="74">
        <f t="shared" si="79"/>
        <v>-2735.2985505734155</v>
      </c>
      <c r="AS189" s="75">
        <v>2552</v>
      </c>
      <c r="AT189" s="75"/>
      <c r="AU189" s="75"/>
      <c r="AV189" s="75">
        <v>27</v>
      </c>
      <c r="AW189" s="75">
        <v>16691.615870927384</v>
      </c>
      <c r="AX189" s="75">
        <v>-2753.507725812482</v>
      </c>
      <c r="AY189" s="75">
        <v>3043.5862050396363</v>
      </c>
      <c r="AZ189" s="316"/>
      <c r="BA189" s="74"/>
      <c r="BB189" s="74"/>
      <c r="BC189" s="74"/>
      <c r="BD189" s="74"/>
      <c r="BE189" s="74"/>
      <c r="BF189" s="74"/>
      <c r="BG189" s="74"/>
      <c r="BM189" s="316"/>
      <c r="BN189" s="74">
        <v>21562929.669172376</v>
      </c>
      <c r="BO189" s="74">
        <v>33839844.240000002</v>
      </c>
      <c r="BP189" s="74">
        <v>33172000</v>
      </c>
      <c r="BQ189" s="74">
        <v>975166.02</v>
      </c>
      <c r="BR189" s="74">
        <v>1096000</v>
      </c>
      <c r="BS189" s="406">
        <f t="shared" si="80"/>
        <v>0.55571428428345937</v>
      </c>
      <c r="BT189" s="406">
        <f t="shared" si="81"/>
        <v>0.33333333333333337</v>
      </c>
      <c r="BU189" s="74">
        <f t="shared" si="82"/>
        <v>22182015.658677947</v>
      </c>
      <c r="BV189" s="316"/>
      <c r="BW189" s="74">
        <v>57134017.420000002</v>
      </c>
      <c r="BX189" s="74">
        <v>21562929.669172376</v>
      </c>
      <c r="BY189" s="74">
        <v>27528378.413696215</v>
      </c>
      <c r="BZ189" s="74">
        <v>13782959.921894522</v>
      </c>
      <c r="CA189" s="74">
        <f t="shared" si="83"/>
        <v>359417.74274852232</v>
      </c>
      <c r="CB189" s="74">
        <f t="shared" si="84"/>
        <v>60.548576397478783</v>
      </c>
      <c r="CC189" s="74">
        <f t="shared" si="85"/>
        <v>120.16823987785558</v>
      </c>
      <c r="CD189" s="74">
        <f t="shared" si="86"/>
        <v>59.619663480376801</v>
      </c>
      <c r="CE189" s="74">
        <f t="shared" si="87"/>
        <v>-41.749703528071798</v>
      </c>
      <c r="CF189" s="74">
        <f t="shared" si="88"/>
        <v>-27.838370157066976</v>
      </c>
      <c r="CG189" s="74">
        <f t="shared" si="89"/>
        <v>-14.028609149072489</v>
      </c>
      <c r="CH189" s="74">
        <f t="shared" si="90"/>
        <v>-0.38514482548203544</v>
      </c>
      <c r="CI189" s="74">
        <f t="shared" si="91"/>
        <v>-296506.3944563659</v>
      </c>
      <c r="CJ189" s="74">
        <f t="shared" si="92"/>
        <v>-197708.10485548966</v>
      </c>
      <c r="CK189" s="74">
        <f t="shared" si="93"/>
        <v>-99631.182176712813</v>
      </c>
      <c r="CL189" s="74">
        <f t="shared" si="94"/>
        <v>-2735.2985505734155</v>
      </c>
      <c r="CM189" s="316"/>
      <c r="CN189" s="74">
        <v>23884.062937108978</v>
      </c>
      <c r="CO189" s="74">
        <v>1765.418858</v>
      </c>
    </row>
    <row r="190" spans="1:93" x14ac:dyDescent="0.2">
      <c r="A190" s="74">
        <v>564</v>
      </c>
      <c r="B190" s="74" t="s">
        <v>310</v>
      </c>
      <c r="C190" s="74">
        <v>17</v>
      </c>
      <c r="D190" s="74">
        <v>209551</v>
      </c>
      <c r="E190" s="89">
        <v>552042380.73809469</v>
      </c>
      <c r="F190" s="74">
        <v>313130806.70730466</v>
      </c>
      <c r="G190" s="74">
        <v>64744060.295299999</v>
      </c>
      <c r="H190" s="74">
        <v>41204961.990000002</v>
      </c>
      <c r="I190" s="74">
        <v>118021430.97288211</v>
      </c>
      <c r="J190" s="74">
        <v>28668234.682595477</v>
      </c>
      <c r="K190" s="74">
        <v>-23160296.368695986</v>
      </c>
      <c r="L190" s="74">
        <v>-1815503</v>
      </c>
      <c r="M190" s="75">
        <v>5026862.08</v>
      </c>
      <c r="N190" s="75">
        <v>2210278.8656892632</v>
      </c>
      <c r="O190" s="178">
        <f t="shared" si="65"/>
        <v>-4011544.5130192041</v>
      </c>
      <c r="P190" s="179">
        <f t="shared" si="66"/>
        <v>-19.143523595779566</v>
      </c>
      <c r="Q190" s="74"/>
      <c r="R190" s="89">
        <v>1283517437.71</v>
      </c>
      <c r="S190" s="74">
        <v>791155037.87957203</v>
      </c>
      <c r="T190" s="74">
        <v>61807442.984999999</v>
      </c>
      <c r="U190" s="74">
        <v>249076821.36645353</v>
      </c>
      <c r="V190" s="74">
        <v>95612436.7522237</v>
      </c>
      <c r="W190" s="74">
        <v>67955419.375300005</v>
      </c>
      <c r="X190" s="178">
        <f t="shared" si="67"/>
        <v>-17910279.351450682</v>
      </c>
      <c r="Y190" s="179">
        <f t="shared" si="68"/>
        <v>-85.469787075464595</v>
      </c>
      <c r="Z190" s="74"/>
      <c r="AA190" s="84">
        <f t="shared" si="69"/>
        <v>13898734.838431478</v>
      </c>
      <c r="AB190" s="132">
        <f t="shared" si="70"/>
        <v>66.326263479685025</v>
      </c>
      <c r="AD190" s="180">
        <v>-13025805.125520181</v>
      </c>
      <c r="AE190" s="187">
        <v>-10154066.86046613</v>
      </c>
      <c r="AF190" s="187">
        <v>-7238933.0412386991</v>
      </c>
      <c r="AG190" s="187">
        <v>-4345083.8122524451</v>
      </c>
      <c r="AH190" s="188">
        <v>-1406382.3217561818</v>
      </c>
      <c r="AJ190" s="74">
        <f t="shared" si="71"/>
        <v>478024231.17226738</v>
      </c>
      <c r="AK190" s="74">
        <f t="shared" si="72"/>
        <v>20602480.994999997</v>
      </c>
      <c r="AL190" s="74">
        <f t="shared" si="73"/>
        <v>131055390.39357142</v>
      </c>
      <c r="AM190" s="74">
        <f t="shared" si="74"/>
        <v>731475056.97190535</v>
      </c>
      <c r="AN190" s="74">
        <f t="shared" si="75"/>
        <v>-13025805.125520181</v>
      </c>
      <c r="AO190" s="74">
        <f t="shared" si="76"/>
        <v>-10154066.86046613</v>
      </c>
      <c r="AP190" s="74">
        <f t="shared" si="77"/>
        <v>-7238933.0412386991</v>
      </c>
      <c r="AQ190" s="74">
        <f t="shared" si="78"/>
        <v>-4345083.8122524451</v>
      </c>
      <c r="AR190" s="74">
        <f t="shared" si="79"/>
        <v>-1406382.3217561818</v>
      </c>
      <c r="AS190" s="75">
        <v>94966</v>
      </c>
      <c r="AT190" s="75"/>
      <c r="AU190" s="75"/>
      <c r="AV190" s="75">
        <v>953</v>
      </c>
      <c r="AW190" s="75">
        <v>125511.12136857471</v>
      </c>
      <c r="AX190" s="75">
        <v>-4093.7201217709739</v>
      </c>
      <c r="AY190" s="75">
        <v>66944.202069628227</v>
      </c>
      <c r="AZ190" s="316"/>
      <c r="BA190" s="74"/>
      <c r="BB190" s="74"/>
      <c r="BC190" s="74"/>
      <c r="BD190" s="74"/>
      <c r="BE190" s="74"/>
      <c r="BF190" s="74"/>
      <c r="BG190" s="74"/>
      <c r="BM190" s="316"/>
      <c r="BN190" s="74">
        <v>552042380.73809469</v>
      </c>
      <c r="BO190" s="74">
        <v>683329529.27999973</v>
      </c>
      <c r="BP190" s="74">
        <v>725646000</v>
      </c>
      <c r="BQ190" s="74">
        <v>13676401.08</v>
      </c>
      <c r="BR190" s="74">
        <v>16087000</v>
      </c>
      <c r="BS190" s="406">
        <f t="shared" si="80"/>
        <v>0.60421056339785473</v>
      </c>
      <c r="BT190" s="406">
        <f t="shared" si="81"/>
        <v>0.33333333333333326</v>
      </c>
      <c r="BU190" s="74">
        <f t="shared" si="82"/>
        <v>174839296.0945037</v>
      </c>
      <c r="BV190" s="316"/>
      <c r="BW190" s="74">
        <v>1283517437.71</v>
      </c>
      <c r="BX190" s="74">
        <v>552042380.73809469</v>
      </c>
      <c r="BY190" s="74">
        <v>917706541.15987206</v>
      </c>
      <c r="BZ190" s="74">
        <v>419079828.99260467</v>
      </c>
      <c r="CA190" s="74">
        <f t="shared" si="83"/>
        <v>-23160296.368696094</v>
      </c>
      <c r="CB190" s="74">
        <f t="shared" si="84"/>
        <v>-85.46978707546495</v>
      </c>
      <c r="CC190" s="74">
        <f t="shared" si="85"/>
        <v>-19.14352359577984</v>
      </c>
      <c r="CD190" s="74">
        <f t="shared" si="86"/>
        <v>66.32626347968511</v>
      </c>
      <c r="CE190" s="74">
        <f t="shared" si="87"/>
        <v>-48.456303527380108</v>
      </c>
      <c r="CF190" s="74">
        <f t="shared" si="88"/>
        <v>-34.544970156375285</v>
      </c>
      <c r="CG190" s="74">
        <f t="shared" si="89"/>
        <v>-20.735209148380797</v>
      </c>
      <c r="CH190" s="74">
        <f t="shared" si="90"/>
        <v>-6.7114083051671454</v>
      </c>
      <c r="CI190" s="74">
        <f t="shared" si="91"/>
        <v>-10154066.860466029</v>
      </c>
      <c r="CJ190" s="74">
        <f t="shared" si="92"/>
        <v>-7238933.0412385976</v>
      </c>
      <c r="CK190" s="74">
        <f t="shared" si="93"/>
        <v>-4345083.8122523446</v>
      </c>
      <c r="CL190" s="74">
        <f t="shared" si="94"/>
        <v>-1406382.3217560805</v>
      </c>
      <c r="CM190" s="316"/>
      <c r="CN190" s="74">
        <v>829423.99771690858</v>
      </c>
      <c r="CO190" s="74">
        <v>67077.845100000006</v>
      </c>
    </row>
    <row r="191" spans="1:93" x14ac:dyDescent="0.2">
      <c r="A191" s="74">
        <v>576</v>
      </c>
      <c r="B191" s="74" t="s">
        <v>312</v>
      </c>
      <c r="C191" s="74">
        <v>7</v>
      </c>
      <c r="D191" s="74">
        <v>2813</v>
      </c>
      <c r="E191" s="89">
        <v>7240367.3149704784</v>
      </c>
      <c r="F191" s="74">
        <v>3546773.8960025613</v>
      </c>
      <c r="G191" s="74">
        <v>1517118.726</v>
      </c>
      <c r="H191" s="74">
        <v>890307.12239999999</v>
      </c>
      <c r="I191" s="74">
        <v>442726.42098654859</v>
      </c>
      <c r="J191" s="74">
        <v>629872.20369589445</v>
      </c>
      <c r="K191" s="74">
        <v>631105.49353377777</v>
      </c>
      <c r="L191" s="74">
        <v>-246970</v>
      </c>
      <c r="M191" s="75">
        <v>90000</v>
      </c>
      <c r="N191" s="75">
        <v>23708.263902555915</v>
      </c>
      <c r="O191" s="178">
        <f t="shared" si="65"/>
        <v>284274.81155085936</v>
      </c>
      <c r="P191" s="179">
        <f t="shared" si="66"/>
        <v>101.05752276959096</v>
      </c>
      <c r="Q191" s="74"/>
      <c r="R191" s="89">
        <v>21680358</v>
      </c>
      <c r="S191" s="74">
        <v>8450073.8102597706</v>
      </c>
      <c r="T191" s="74">
        <v>1335460.6836000001</v>
      </c>
      <c r="U191" s="74">
        <v>9305619.2639183328</v>
      </c>
      <c r="V191" s="74">
        <v>2100708.9171911692</v>
      </c>
      <c r="W191" s="74">
        <v>1360148.726</v>
      </c>
      <c r="X191" s="178">
        <f t="shared" si="67"/>
        <v>871653.40096927434</v>
      </c>
      <c r="Y191" s="179">
        <f t="shared" si="68"/>
        <v>309.8661219229557</v>
      </c>
      <c r="Z191" s="74"/>
      <c r="AA191" s="84">
        <f t="shared" si="69"/>
        <v>-587378.58941841498</v>
      </c>
      <c r="AB191" s="132">
        <f t="shared" si="70"/>
        <v>-208.80859915336472</v>
      </c>
      <c r="AD191" s="180">
        <v>599096.74529655266</v>
      </c>
      <c r="AE191" s="187">
        <v>553256.78676424804</v>
      </c>
      <c r="AF191" s="187">
        <v>507999.36753688462</v>
      </c>
      <c r="AG191" s="187">
        <v>462456.22525237314</v>
      </c>
      <c r="AH191" s="188">
        <v>417515.17702433316</v>
      </c>
      <c r="AJ191" s="74">
        <f t="shared" si="71"/>
        <v>4903299.9142572097</v>
      </c>
      <c r="AK191" s="74">
        <f t="shared" si="72"/>
        <v>445153.56120000011</v>
      </c>
      <c r="AL191" s="74">
        <f t="shared" si="73"/>
        <v>8862892.8429317847</v>
      </c>
      <c r="AM191" s="74">
        <f t="shared" si="74"/>
        <v>14439990.685029522</v>
      </c>
      <c r="AN191" s="74">
        <f t="shared" si="75"/>
        <v>599096.74529655266</v>
      </c>
      <c r="AO191" s="74">
        <f t="shared" si="76"/>
        <v>553256.78676424804</v>
      </c>
      <c r="AP191" s="74">
        <f t="shared" si="77"/>
        <v>507999.36753688462</v>
      </c>
      <c r="AQ191" s="74">
        <f t="shared" si="78"/>
        <v>462456.22525237314</v>
      </c>
      <c r="AR191" s="74">
        <f t="shared" si="79"/>
        <v>417515.17702433316</v>
      </c>
      <c r="AS191" s="75">
        <v>1431</v>
      </c>
      <c r="AT191" s="75"/>
      <c r="AU191" s="75"/>
      <c r="AV191" s="75">
        <v>0</v>
      </c>
      <c r="AW191" s="75">
        <v>7559.8032676055473</v>
      </c>
      <c r="AX191" s="75">
        <v>-1137.6684034743203</v>
      </c>
      <c r="AY191" s="75">
        <v>1470.8367134952748</v>
      </c>
      <c r="AZ191" s="316"/>
      <c r="BA191" s="74"/>
      <c r="BB191" s="74"/>
      <c r="BC191" s="74"/>
      <c r="BD191" s="74"/>
      <c r="BE191" s="74"/>
      <c r="BF191" s="74"/>
      <c r="BG191" s="74"/>
      <c r="BM191" s="316"/>
      <c r="BN191" s="74">
        <v>7240367.3149704784</v>
      </c>
      <c r="BO191" s="74">
        <v>13852080.759999998</v>
      </c>
      <c r="BP191" s="74">
        <v>13824000</v>
      </c>
      <c r="BQ191" s="74">
        <v>286943</v>
      </c>
      <c r="BR191" s="74">
        <v>245000</v>
      </c>
      <c r="BS191" s="406">
        <f t="shared" si="80"/>
        <v>0.58026711060248992</v>
      </c>
      <c r="BT191" s="406">
        <f t="shared" si="81"/>
        <v>0.33333333333333337</v>
      </c>
      <c r="BU191" s="74">
        <f t="shared" si="82"/>
        <v>10964835.049960837</v>
      </c>
      <c r="BV191" s="316"/>
      <c r="BW191" s="74">
        <v>21680358</v>
      </c>
      <c r="BX191" s="74">
        <v>7240367.3149704784</v>
      </c>
      <c r="BY191" s="74">
        <v>11302653.219859771</v>
      </c>
      <c r="BZ191" s="74">
        <v>5954199.7444025613</v>
      </c>
      <c r="CA191" s="74">
        <f t="shared" si="83"/>
        <v>631105.49353377637</v>
      </c>
      <c r="CB191" s="74">
        <f t="shared" si="84"/>
        <v>309.86612192295541</v>
      </c>
      <c r="CC191" s="74">
        <f t="shared" si="85"/>
        <v>101.05752276959062</v>
      </c>
      <c r="CD191" s="74">
        <f t="shared" si="86"/>
        <v>-208.80859915336481</v>
      </c>
      <c r="CE191" s="74">
        <f t="shared" si="87"/>
        <v>196.67855910566982</v>
      </c>
      <c r="CF191" s="74">
        <f t="shared" si="88"/>
        <v>180.58989247667463</v>
      </c>
      <c r="CG191" s="74">
        <f t="shared" si="89"/>
        <v>164.39965348466913</v>
      </c>
      <c r="CH191" s="74">
        <f t="shared" si="90"/>
        <v>148.42345432788278</v>
      </c>
      <c r="CI191" s="74">
        <f t="shared" si="91"/>
        <v>553256.78676424921</v>
      </c>
      <c r="CJ191" s="74">
        <f t="shared" si="92"/>
        <v>507999.36753688572</v>
      </c>
      <c r="CK191" s="74">
        <f t="shared" si="93"/>
        <v>462456.22525237425</v>
      </c>
      <c r="CL191" s="74">
        <f t="shared" si="94"/>
        <v>417515.17702433426</v>
      </c>
      <c r="CM191" s="316"/>
      <c r="CN191" s="74">
        <v>8354.0215295234138</v>
      </c>
      <c r="CO191" s="74">
        <v>1449.337176</v>
      </c>
    </row>
    <row r="192" spans="1:93" x14ac:dyDescent="0.2">
      <c r="A192" s="74">
        <v>577</v>
      </c>
      <c r="B192" s="74" t="s">
        <v>313</v>
      </c>
      <c r="C192" s="74">
        <v>2</v>
      </c>
      <c r="D192" s="74">
        <v>11041</v>
      </c>
      <c r="E192" s="89">
        <v>30086392.574019104</v>
      </c>
      <c r="F192" s="74">
        <v>17338532.087003093</v>
      </c>
      <c r="G192" s="74">
        <v>2527525.1320000002</v>
      </c>
      <c r="H192" s="74">
        <v>1796418.2928000002</v>
      </c>
      <c r="I192" s="74">
        <v>7818707.3728570892</v>
      </c>
      <c r="J192" s="74">
        <v>1612927.4641201701</v>
      </c>
      <c r="K192" s="74">
        <v>152044.8658024623</v>
      </c>
      <c r="L192" s="74">
        <v>134603</v>
      </c>
      <c r="M192" s="75">
        <v>785000</v>
      </c>
      <c r="N192" s="75">
        <v>116581.2123531728</v>
      </c>
      <c r="O192" s="178">
        <f t="shared" si="65"/>
        <v>2195946.8529168852</v>
      </c>
      <c r="P192" s="179">
        <f t="shared" si="66"/>
        <v>198.89021401294133</v>
      </c>
      <c r="Q192" s="74"/>
      <c r="R192" s="89">
        <v>67456170</v>
      </c>
      <c r="S192" s="74">
        <v>42740400.961757623</v>
      </c>
      <c r="T192" s="74">
        <v>2694627.4392000004</v>
      </c>
      <c r="U192" s="74">
        <v>15037428.73408797</v>
      </c>
      <c r="V192" s="74">
        <v>5379331.0560115865</v>
      </c>
      <c r="W192" s="74">
        <v>3447128.1320000002</v>
      </c>
      <c r="X192" s="178">
        <f t="shared" si="67"/>
        <v>1842746.3230571747</v>
      </c>
      <c r="Y192" s="179">
        <f t="shared" si="68"/>
        <v>166.90031003144412</v>
      </c>
      <c r="Z192" s="74"/>
      <c r="AA192" s="84">
        <f t="shared" si="69"/>
        <v>353200.52985971048</v>
      </c>
      <c r="AB192" s="132">
        <f t="shared" si="70"/>
        <v>31.989903981497189</v>
      </c>
      <c r="AD192" s="180">
        <v>-307206.87218089186</v>
      </c>
      <c r="AE192" s="187">
        <v>-155898.30202631486</v>
      </c>
      <c r="AF192" s="187">
        <v>-2303.2702770506367</v>
      </c>
      <c r="AG192" s="187">
        <v>6525.8308719309071</v>
      </c>
      <c r="AH192" s="188">
        <v>-4252.3840181471533</v>
      </c>
      <c r="AJ192" s="74">
        <f t="shared" si="71"/>
        <v>25401868.874754529</v>
      </c>
      <c r="AK192" s="74">
        <f t="shared" si="72"/>
        <v>898209.1464000002</v>
      </c>
      <c r="AL192" s="74">
        <f t="shared" si="73"/>
        <v>7218721.361230881</v>
      </c>
      <c r="AM192" s="74">
        <f t="shared" si="74"/>
        <v>37369777.425980896</v>
      </c>
      <c r="AN192" s="74">
        <f t="shared" si="75"/>
        <v>-307206.87218089186</v>
      </c>
      <c r="AO192" s="74">
        <f t="shared" si="76"/>
        <v>-155898.30202631486</v>
      </c>
      <c r="AP192" s="74">
        <f t="shared" si="77"/>
        <v>-2303.2702770506367</v>
      </c>
      <c r="AQ192" s="74">
        <f t="shared" si="78"/>
        <v>6525.8308719309071</v>
      </c>
      <c r="AR192" s="74">
        <f t="shared" si="79"/>
        <v>-4252.3840181471533</v>
      </c>
      <c r="AS192" s="75">
        <v>2495</v>
      </c>
      <c r="AT192" s="75"/>
      <c r="AU192" s="75"/>
      <c r="AV192" s="75">
        <v>0</v>
      </c>
      <c r="AW192" s="75">
        <v>7398.0643867786421</v>
      </c>
      <c r="AX192" s="75">
        <v>-280.0108932024317</v>
      </c>
      <c r="AY192" s="75">
        <v>3766.4035918914165</v>
      </c>
      <c r="AZ192" s="316"/>
      <c r="BA192" s="74"/>
      <c r="BB192" s="74"/>
      <c r="BC192" s="74"/>
      <c r="BD192" s="74"/>
      <c r="BE192" s="74"/>
      <c r="BF192" s="74"/>
      <c r="BG192" s="74"/>
      <c r="BM192" s="316"/>
      <c r="BN192" s="74">
        <v>30086392.574019104</v>
      </c>
      <c r="BO192" s="74">
        <v>34202810.450000003</v>
      </c>
      <c r="BP192" s="74">
        <v>37575000</v>
      </c>
      <c r="BQ192" s="74">
        <v>810087.14999999991</v>
      </c>
      <c r="BR192" s="74">
        <v>913000</v>
      </c>
      <c r="BS192" s="406">
        <f t="shared" si="80"/>
        <v>0.59432921318363607</v>
      </c>
      <c r="BT192" s="406">
        <f t="shared" si="81"/>
        <v>0.33333333333333337</v>
      </c>
      <c r="BU192" s="74">
        <f t="shared" si="82"/>
        <v>11137169.818924762</v>
      </c>
      <c r="BV192" s="316"/>
      <c r="BW192" s="74">
        <v>67456170</v>
      </c>
      <c r="BX192" s="74">
        <v>30086392.574019104</v>
      </c>
      <c r="BY192" s="74">
        <v>47962553.532957621</v>
      </c>
      <c r="BZ192" s="74">
        <v>21662475.511803094</v>
      </c>
      <c r="CA192" s="74">
        <f t="shared" si="83"/>
        <v>152044.86580245753</v>
      </c>
      <c r="CB192" s="74">
        <f t="shared" si="84"/>
        <v>166.90031003144446</v>
      </c>
      <c r="CC192" s="74">
        <f t="shared" si="85"/>
        <v>198.89021401294065</v>
      </c>
      <c r="CD192" s="74">
        <f t="shared" si="86"/>
        <v>31.989903981496184</v>
      </c>
      <c r="CE192" s="74">
        <f t="shared" si="87"/>
        <v>-14.11994402919118</v>
      </c>
      <c r="CF192" s="74">
        <f t="shared" si="88"/>
        <v>-0.2086106581863576</v>
      </c>
      <c r="CG192" s="74">
        <f t="shared" si="89"/>
        <v>0.59105433130431184</v>
      </c>
      <c r="CH192" s="74">
        <f t="shared" si="90"/>
        <v>-0.38514482548203544</v>
      </c>
      <c r="CI192" s="74">
        <f t="shared" si="91"/>
        <v>-155898.30202629982</v>
      </c>
      <c r="CJ192" s="74">
        <f t="shared" si="92"/>
        <v>-2303.2702770355741</v>
      </c>
      <c r="CK192" s="74">
        <f t="shared" si="93"/>
        <v>6525.8308719309071</v>
      </c>
      <c r="CL192" s="74">
        <f t="shared" si="94"/>
        <v>-4252.3840181471533</v>
      </c>
      <c r="CM192" s="316"/>
      <c r="CN192" s="74">
        <v>44290.957606850076</v>
      </c>
      <c r="CO192" s="74">
        <v>2924.4018720000004</v>
      </c>
    </row>
    <row r="193" spans="1:93" x14ac:dyDescent="0.2">
      <c r="A193" s="74">
        <v>578</v>
      </c>
      <c r="B193" s="74" t="s">
        <v>314</v>
      </c>
      <c r="C193" s="74">
        <v>18</v>
      </c>
      <c r="D193" s="74">
        <v>3183</v>
      </c>
      <c r="E193" s="89">
        <v>8920519.267310176</v>
      </c>
      <c r="F193" s="74">
        <v>4374506.738486697</v>
      </c>
      <c r="G193" s="74">
        <v>1336405.7170000002</v>
      </c>
      <c r="H193" s="74">
        <v>533077.46719999996</v>
      </c>
      <c r="I193" s="74">
        <v>2196254.7950524236</v>
      </c>
      <c r="J193" s="74">
        <v>688221.7475187378</v>
      </c>
      <c r="K193" s="74">
        <v>-441089.73889290687</v>
      </c>
      <c r="L193" s="74">
        <v>-116112</v>
      </c>
      <c r="M193" s="75">
        <v>348700</v>
      </c>
      <c r="N193" s="75">
        <v>25048.477202915223</v>
      </c>
      <c r="O193" s="178">
        <f t="shared" si="65"/>
        <v>24493.936257690191</v>
      </c>
      <c r="P193" s="179">
        <f t="shared" si="66"/>
        <v>7.6952360218944991</v>
      </c>
      <c r="Q193" s="74"/>
      <c r="R193" s="89">
        <v>26297407</v>
      </c>
      <c r="S193" s="74">
        <v>9758766.2034169436</v>
      </c>
      <c r="T193" s="74">
        <v>799616.20079999999</v>
      </c>
      <c r="U193" s="74">
        <v>11532043.838089064</v>
      </c>
      <c r="V193" s="74">
        <v>2295312.5309138414</v>
      </c>
      <c r="W193" s="74">
        <v>1568993.7170000002</v>
      </c>
      <c r="X193" s="178">
        <f t="shared" si="67"/>
        <v>-342674.50978015363</v>
      </c>
      <c r="Y193" s="179">
        <f t="shared" si="68"/>
        <v>-107.65771592213434</v>
      </c>
      <c r="Z193" s="74"/>
      <c r="AA193" s="84">
        <f t="shared" si="69"/>
        <v>367168.44603784382</v>
      </c>
      <c r="AB193" s="132">
        <f t="shared" si="70"/>
        <v>115.35295194402885</v>
      </c>
      <c r="AD193" s="180">
        <v>-353908.97566453036</v>
      </c>
      <c r="AE193" s="187">
        <v>-310288.36350965139</v>
      </c>
      <c r="AF193" s="187">
        <v>-266008.58938974305</v>
      </c>
      <c r="AG193" s="187">
        <v>-222052.12010129663</v>
      </c>
      <c r="AH193" s="188">
        <v>-177414.36201734756</v>
      </c>
      <c r="AJ193" s="74">
        <f t="shared" si="71"/>
        <v>5384259.4649302466</v>
      </c>
      <c r="AK193" s="74">
        <f t="shared" si="72"/>
        <v>266538.73360000004</v>
      </c>
      <c r="AL193" s="74">
        <f t="shared" si="73"/>
        <v>9335789.0430366397</v>
      </c>
      <c r="AM193" s="74">
        <f t="shared" si="74"/>
        <v>17376887.732689824</v>
      </c>
      <c r="AN193" s="74">
        <f t="shared" si="75"/>
        <v>-353908.97566453036</v>
      </c>
      <c r="AO193" s="74">
        <f t="shared" si="76"/>
        <v>-310288.36350965139</v>
      </c>
      <c r="AP193" s="74">
        <f t="shared" si="77"/>
        <v>-266008.58938974305</v>
      </c>
      <c r="AQ193" s="74">
        <f t="shared" si="78"/>
        <v>-222052.12010129663</v>
      </c>
      <c r="AR193" s="74">
        <f t="shared" si="79"/>
        <v>-177414.36201734756</v>
      </c>
      <c r="AS193" s="75">
        <v>1574</v>
      </c>
      <c r="AT193" s="75"/>
      <c r="AU193" s="75"/>
      <c r="AV193" s="75">
        <v>1</v>
      </c>
      <c r="AW193" s="75">
        <v>7778.53037477833</v>
      </c>
      <c r="AX193" s="75">
        <v>-1631.7482349852085</v>
      </c>
      <c r="AY193" s="75">
        <v>1607.0907833951037</v>
      </c>
      <c r="AZ193" s="316"/>
      <c r="BA193" s="74"/>
      <c r="BB193" s="74"/>
      <c r="BC193" s="74"/>
      <c r="BD193" s="74"/>
      <c r="BE193" s="74"/>
      <c r="BF193" s="74"/>
      <c r="BG193" s="74"/>
      <c r="BM193" s="316"/>
      <c r="BN193" s="74">
        <v>8920519.267310176</v>
      </c>
      <c r="BO193" s="74">
        <v>16496766.309999997</v>
      </c>
      <c r="BP193" s="74">
        <v>16126000</v>
      </c>
      <c r="BQ193" s="74">
        <v>504979.1</v>
      </c>
      <c r="BR193" s="74">
        <v>433000</v>
      </c>
      <c r="BS193" s="406">
        <f t="shared" si="80"/>
        <v>0.55173567566820036</v>
      </c>
      <c r="BT193" s="406">
        <f t="shared" si="81"/>
        <v>0.33333333333333337</v>
      </c>
      <c r="BU193" s="74">
        <f t="shared" si="82"/>
        <v>10501790.087538837</v>
      </c>
      <c r="BV193" s="316"/>
      <c r="BW193" s="74">
        <v>26297407</v>
      </c>
      <c r="BX193" s="74">
        <v>8920519.267310176</v>
      </c>
      <c r="BY193" s="74">
        <v>11894788.121216943</v>
      </c>
      <c r="BZ193" s="74">
        <v>6243989.922686697</v>
      </c>
      <c r="CA193" s="74">
        <f t="shared" si="83"/>
        <v>-441089.73889290873</v>
      </c>
      <c r="CB193" s="74">
        <f t="shared" si="84"/>
        <v>-107.65771592213362</v>
      </c>
      <c r="CC193" s="74">
        <f t="shared" si="85"/>
        <v>7.6952360218940745</v>
      </c>
      <c r="CD193" s="74">
        <f t="shared" si="86"/>
        <v>115.35295194402769</v>
      </c>
      <c r="CE193" s="74">
        <f t="shared" si="87"/>
        <v>-97.482991991722685</v>
      </c>
      <c r="CF193" s="74">
        <f t="shared" si="88"/>
        <v>-83.571658620717869</v>
      </c>
      <c r="CG193" s="74">
        <f t="shared" si="89"/>
        <v>-69.761897612723388</v>
      </c>
      <c r="CH193" s="74">
        <f t="shared" si="90"/>
        <v>-55.738096769509731</v>
      </c>
      <c r="CI193" s="74">
        <f t="shared" si="91"/>
        <v>-310288.36350965331</v>
      </c>
      <c r="CJ193" s="74">
        <f t="shared" si="92"/>
        <v>-266008.58938974497</v>
      </c>
      <c r="CK193" s="74">
        <f t="shared" si="93"/>
        <v>-222052.12010129855</v>
      </c>
      <c r="CL193" s="74">
        <f t="shared" si="94"/>
        <v>-177414.36201734949</v>
      </c>
      <c r="CM193" s="316"/>
      <c r="CN193" s="74">
        <v>9902.9595749035489</v>
      </c>
      <c r="CO193" s="74">
        <v>867.80052799999999</v>
      </c>
    </row>
    <row r="194" spans="1:93" x14ac:dyDescent="0.2">
      <c r="A194" s="74">
        <v>580</v>
      </c>
      <c r="B194" s="74" t="s">
        <v>315</v>
      </c>
      <c r="C194" s="74">
        <v>9</v>
      </c>
      <c r="D194" s="74">
        <v>4567</v>
      </c>
      <c r="E194" s="89">
        <v>11287968.711292908</v>
      </c>
      <c r="F194" s="74">
        <v>6331844.2648414336</v>
      </c>
      <c r="G194" s="74">
        <v>1374055.8460000001</v>
      </c>
      <c r="H194" s="74">
        <v>964443.49980000011</v>
      </c>
      <c r="I194" s="74">
        <v>1413017.2562196238</v>
      </c>
      <c r="J194" s="74">
        <v>1014500.0689153252</v>
      </c>
      <c r="K194" s="74">
        <v>-69168.421515403068</v>
      </c>
      <c r="L194" s="74">
        <v>-235989</v>
      </c>
      <c r="M194" s="75">
        <v>12000</v>
      </c>
      <c r="N194" s="75">
        <v>39441.774698465815</v>
      </c>
      <c r="O194" s="178">
        <f t="shared" si="65"/>
        <v>-443823.42233346216</v>
      </c>
      <c r="P194" s="179">
        <f t="shared" si="66"/>
        <v>-97.180517261541965</v>
      </c>
      <c r="Q194" s="74"/>
      <c r="R194" s="89">
        <v>36442486</v>
      </c>
      <c r="S194" s="74">
        <v>14747469.182721592</v>
      </c>
      <c r="T194" s="74">
        <v>1446665.2497</v>
      </c>
      <c r="U194" s="74">
        <v>15448857.277144028</v>
      </c>
      <c r="V194" s="74">
        <v>3383494.8244365128</v>
      </c>
      <c r="W194" s="74">
        <v>1150066.8460000001</v>
      </c>
      <c r="X194" s="178">
        <f t="shared" si="67"/>
        <v>-265932.6199978739</v>
      </c>
      <c r="Y194" s="179">
        <f t="shared" si="68"/>
        <v>-58.229170133101356</v>
      </c>
      <c r="Z194" s="74"/>
      <c r="AA194" s="84">
        <f t="shared" si="69"/>
        <v>-177890.80233558826</v>
      </c>
      <c r="AB194" s="132">
        <f t="shared" si="70"/>
        <v>-38.951347128440609</v>
      </c>
      <c r="AD194" s="180">
        <v>196915.62206380712</v>
      </c>
      <c r="AE194" s="187">
        <v>122492.90943777266</v>
      </c>
      <c r="AF194" s="187">
        <v>49015.968943151674</v>
      </c>
      <c r="AG194" s="187">
        <v>2699.345131066792</v>
      </c>
      <c r="AH194" s="188">
        <v>-1758.9564179764559</v>
      </c>
      <c r="AJ194" s="74">
        <f t="shared" si="71"/>
        <v>8415624.9178801589</v>
      </c>
      <c r="AK194" s="74">
        <f t="shared" si="72"/>
        <v>482221.74989999994</v>
      </c>
      <c r="AL194" s="74">
        <f t="shared" si="73"/>
        <v>14035840.020924404</v>
      </c>
      <c r="AM194" s="74">
        <f t="shared" si="74"/>
        <v>25154517.288707092</v>
      </c>
      <c r="AN194" s="74">
        <f t="shared" si="75"/>
        <v>196915.62206380712</v>
      </c>
      <c r="AO194" s="74">
        <f t="shared" si="76"/>
        <v>122492.90943777266</v>
      </c>
      <c r="AP194" s="74">
        <f t="shared" si="77"/>
        <v>49015.968943151674</v>
      </c>
      <c r="AQ194" s="74">
        <f t="shared" si="78"/>
        <v>2699.345131066792</v>
      </c>
      <c r="AR194" s="74">
        <f t="shared" si="79"/>
        <v>-1758.9564179764559</v>
      </c>
      <c r="AS194" s="75">
        <v>1978</v>
      </c>
      <c r="AT194" s="75"/>
      <c r="AU194" s="75"/>
      <c r="AV194" s="75">
        <v>53</v>
      </c>
      <c r="AW194" s="75">
        <v>12043.786167521459</v>
      </c>
      <c r="AX194" s="75">
        <v>-1770.0321659737842</v>
      </c>
      <c r="AY194" s="75">
        <v>2368.9947555211875</v>
      </c>
      <c r="AZ194" s="316"/>
      <c r="BA194" s="74"/>
      <c r="BB194" s="74"/>
      <c r="BC194" s="74"/>
      <c r="BD194" s="74"/>
      <c r="BE194" s="74"/>
      <c r="BF194" s="74"/>
      <c r="BG194" s="74"/>
      <c r="BM194" s="316"/>
      <c r="BN194" s="74">
        <v>11287968.711292908</v>
      </c>
      <c r="BO194" s="74">
        <v>23325813.080000002</v>
      </c>
      <c r="BP194" s="74">
        <v>25183000</v>
      </c>
      <c r="BQ194" s="74">
        <v>535557.91</v>
      </c>
      <c r="BR194" s="74">
        <v>571000</v>
      </c>
      <c r="BS194" s="406">
        <f t="shared" si="80"/>
        <v>0.57064875427846706</v>
      </c>
      <c r="BT194" s="406">
        <f t="shared" si="81"/>
        <v>0.33333333333333326</v>
      </c>
      <c r="BU194" s="74">
        <f t="shared" si="82"/>
        <v>16335666.35493019</v>
      </c>
      <c r="BV194" s="316"/>
      <c r="BW194" s="74">
        <v>36442486</v>
      </c>
      <c r="BX194" s="74">
        <v>11287968.711292908</v>
      </c>
      <c r="BY194" s="74">
        <v>17568190.278421592</v>
      </c>
      <c r="BZ194" s="74">
        <v>8670343.6106414329</v>
      </c>
      <c r="CA194" s="74">
        <f t="shared" si="83"/>
        <v>-69168.421515404552</v>
      </c>
      <c r="CB194" s="74">
        <f t="shared" si="84"/>
        <v>-58.229170133100084</v>
      </c>
      <c r="CC194" s="74">
        <f t="shared" si="85"/>
        <v>-97.180517261542235</v>
      </c>
      <c r="CD194" s="74">
        <f t="shared" si="86"/>
        <v>-38.951347128442151</v>
      </c>
      <c r="CE194" s="74">
        <f t="shared" si="87"/>
        <v>26.821307080747157</v>
      </c>
      <c r="CF194" s="74">
        <f t="shared" si="88"/>
        <v>10.732640451751978</v>
      </c>
      <c r="CG194" s="74">
        <f t="shared" si="89"/>
        <v>0.59105433130431184</v>
      </c>
      <c r="CH194" s="74">
        <f t="shared" si="90"/>
        <v>-0.38514482548203544</v>
      </c>
      <c r="CI194" s="74">
        <f t="shared" si="91"/>
        <v>122492.90943777226</v>
      </c>
      <c r="CJ194" s="74">
        <f t="shared" si="92"/>
        <v>49015.968943151282</v>
      </c>
      <c r="CK194" s="74">
        <f t="shared" si="93"/>
        <v>2699.345131066792</v>
      </c>
      <c r="CL194" s="74">
        <f t="shared" si="94"/>
        <v>-1758.9564179764559</v>
      </c>
      <c r="CM194" s="316"/>
      <c r="CN194" s="74">
        <v>14413.757938329189</v>
      </c>
      <c r="CO194" s="74">
        <v>1570.0243020000003</v>
      </c>
    </row>
    <row r="195" spans="1:93" x14ac:dyDescent="0.2">
      <c r="A195" s="74">
        <v>581</v>
      </c>
      <c r="B195" s="74" t="s">
        <v>316</v>
      </c>
      <c r="C195" s="74">
        <v>6</v>
      </c>
      <c r="D195" s="74">
        <v>6286</v>
      </c>
      <c r="E195" s="89">
        <v>17757198.293870769</v>
      </c>
      <c r="F195" s="74">
        <v>9172373.8633925691</v>
      </c>
      <c r="G195" s="74">
        <v>2071630.2615999999</v>
      </c>
      <c r="H195" s="74">
        <v>1868152.0366</v>
      </c>
      <c r="I195" s="74">
        <v>3318202.7865931862</v>
      </c>
      <c r="J195" s="74">
        <v>1236363.0053127431</v>
      </c>
      <c r="K195" s="74">
        <v>790103.50519285083</v>
      </c>
      <c r="L195" s="74">
        <v>-355742</v>
      </c>
      <c r="M195" s="75">
        <v>-579000</v>
      </c>
      <c r="N195" s="75">
        <v>54616.991236936214</v>
      </c>
      <c r="O195" s="178">
        <f t="shared" si="65"/>
        <v>-180497.84394248575</v>
      </c>
      <c r="P195" s="179">
        <f t="shared" si="66"/>
        <v>-28.714260888082364</v>
      </c>
      <c r="Q195" s="74"/>
      <c r="R195" s="89">
        <v>46828488</v>
      </c>
      <c r="S195" s="74">
        <v>20559589.602297757</v>
      </c>
      <c r="T195" s="74">
        <v>2802228.0549000003</v>
      </c>
      <c r="U195" s="74">
        <v>18445253.912585653</v>
      </c>
      <c r="V195" s="74">
        <v>4123437.6987997913</v>
      </c>
      <c r="W195" s="74">
        <v>1136888.2615999999</v>
      </c>
      <c r="X195" s="178">
        <f t="shared" si="67"/>
        <v>238909.53018320352</v>
      </c>
      <c r="Y195" s="179">
        <f t="shared" si="68"/>
        <v>38.006606774292635</v>
      </c>
      <c r="Z195" s="74"/>
      <c r="AA195" s="84">
        <f t="shared" si="69"/>
        <v>-419407.37412568927</v>
      </c>
      <c r="AB195" s="132">
        <f t="shared" si="70"/>
        <v>-66.720867662374999</v>
      </c>
      <c r="AD195" s="180">
        <v>445593.05768416025</v>
      </c>
      <c r="AE195" s="187">
        <v>343157.94238587847</v>
      </c>
      <c r="AF195" s="187">
        <v>242024.5839560148</v>
      </c>
      <c r="AG195" s="187">
        <v>140252.74165226816</v>
      </c>
      <c r="AH195" s="188">
        <v>39826.353752709176</v>
      </c>
      <c r="AJ195" s="74">
        <f t="shared" si="71"/>
        <v>11387215.738905188</v>
      </c>
      <c r="AK195" s="74">
        <f t="shared" si="72"/>
        <v>934076.01830000035</v>
      </c>
      <c r="AL195" s="74">
        <f t="shared" si="73"/>
        <v>15127051.125992468</v>
      </c>
      <c r="AM195" s="74">
        <f t="shared" si="74"/>
        <v>29071289.706129231</v>
      </c>
      <c r="AN195" s="74">
        <f t="shared" si="75"/>
        <v>445593.05768416025</v>
      </c>
      <c r="AO195" s="74">
        <f t="shared" si="76"/>
        <v>343157.94238587847</v>
      </c>
      <c r="AP195" s="74">
        <f t="shared" si="77"/>
        <v>242024.5839560148</v>
      </c>
      <c r="AQ195" s="74">
        <f t="shared" si="78"/>
        <v>140252.74165226816</v>
      </c>
      <c r="AR195" s="74">
        <f t="shared" si="79"/>
        <v>39826.353752709176</v>
      </c>
      <c r="AS195" s="75">
        <v>2253</v>
      </c>
      <c r="AT195" s="75"/>
      <c r="AU195" s="75"/>
      <c r="AV195" s="75">
        <v>395</v>
      </c>
      <c r="AW195" s="75">
        <v>12901.034052677513</v>
      </c>
      <c r="AX195" s="75">
        <v>-2336.0725545011906</v>
      </c>
      <c r="AY195" s="75">
        <v>2887.0746934870481</v>
      </c>
      <c r="AZ195" s="316"/>
      <c r="BA195" s="74"/>
      <c r="BB195" s="74"/>
      <c r="BC195" s="74"/>
      <c r="BD195" s="74"/>
      <c r="BE195" s="74"/>
      <c r="BF195" s="74"/>
      <c r="BG195" s="74"/>
      <c r="BM195" s="316"/>
      <c r="BN195" s="74">
        <v>17757198.293870769</v>
      </c>
      <c r="BO195" s="74">
        <v>27896959.150000006</v>
      </c>
      <c r="BP195" s="74">
        <v>30320000</v>
      </c>
      <c r="BQ195" s="74">
        <v>493632.54</v>
      </c>
      <c r="BR195" s="74">
        <v>513000</v>
      </c>
      <c r="BS195" s="406">
        <f t="shared" si="80"/>
        <v>0.55386396125497284</v>
      </c>
      <c r="BT195" s="406">
        <f t="shared" si="81"/>
        <v>0.33333333333333337</v>
      </c>
      <c r="BU195" s="74">
        <f t="shared" si="82"/>
        <v>18804229.324672367</v>
      </c>
      <c r="BV195" s="316"/>
      <c r="BW195" s="74">
        <v>46828488</v>
      </c>
      <c r="BX195" s="74">
        <v>17757198.293870769</v>
      </c>
      <c r="BY195" s="74">
        <v>25433447.918797757</v>
      </c>
      <c r="BZ195" s="74">
        <v>13112156.161592567</v>
      </c>
      <c r="CA195" s="74">
        <f t="shared" si="83"/>
        <v>790103.50519284967</v>
      </c>
      <c r="CB195" s="74">
        <f t="shared" si="84"/>
        <v>38.006606774292564</v>
      </c>
      <c r="CC195" s="74">
        <f t="shared" si="85"/>
        <v>-28.714260888082251</v>
      </c>
      <c r="CD195" s="74">
        <f t="shared" si="86"/>
        <v>-66.720867662374815</v>
      </c>
      <c r="CE195" s="74">
        <f t="shared" si="87"/>
        <v>54.590827614679817</v>
      </c>
      <c r="CF195" s="74">
        <f t="shared" si="88"/>
        <v>38.50216098568464</v>
      </c>
      <c r="CG195" s="74">
        <f t="shared" si="89"/>
        <v>22.311921993679128</v>
      </c>
      <c r="CH195" s="74">
        <f t="shared" si="90"/>
        <v>6.3357228368927796</v>
      </c>
      <c r="CI195" s="74">
        <f t="shared" si="91"/>
        <v>343157.94238587731</v>
      </c>
      <c r="CJ195" s="74">
        <f t="shared" si="92"/>
        <v>242024.58395601364</v>
      </c>
      <c r="CK195" s="74">
        <f t="shared" si="93"/>
        <v>140252.741652267</v>
      </c>
      <c r="CL195" s="74">
        <f t="shared" si="94"/>
        <v>39826.353752708012</v>
      </c>
      <c r="CM195" s="316"/>
      <c r="CN195" s="74">
        <v>20504.03074850938</v>
      </c>
      <c r="CO195" s="74">
        <v>3041.1777340000003</v>
      </c>
    </row>
    <row r="196" spans="1:93" x14ac:dyDescent="0.2">
      <c r="A196" s="74">
        <v>583</v>
      </c>
      <c r="B196" s="74" t="s">
        <v>317</v>
      </c>
      <c r="C196" s="74">
        <v>19</v>
      </c>
      <c r="D196" s="74">
        <v>924</v>
      </c>
      <c r="E196" s="89">
        <v>3777209.5436497461</v>
      </c>
      <c r="F196" s="74">
        <v>1354192.3024245184</v>
      </c>
      <c r="G196" s="74">
        <v>2067819.2919999999</v>
      </c>
      <c r="H196" s="74">
        <v>274010.36200000002</v>
      </c>
      <c r="I196" s="74">
        <v>776560.86938306922</v>
      </c>
      <c r="J196" s="74">
        <v>195864.38341072551</v>
      </c>
      <c r="K196" s="74">
        <v>-767234.31895424612</v>
      </c>
      <c r="L196" s="74">
        <v>-156686</v>
      </c>
      <c r="M196" s="75">
        <v>-10390</v>
      </c>
      <c r="N196" s="75">
        <v>7942.1545114159808</v>
      </c>
      <c r="O196" s="178">
        <f t="shared" si="65"/>
        <v>-35130.498874263372</v>
      </c>
      <c r="P196" s="179">
        <f t="shared" si="66"/>
        <v>-38.020020426691964</v>
      </c>
      <c r="Q196" s="74"/>
      <c r="R196" s="89">
        <v>10527511</v>
      </c>
      <c r="S196" s="74">
        <v>3008893.3414072278</v>
      </c>
      <c r="T196" s="74">
        <v>411015.54300000001</v>
      </c>
      <c r="U196" s="74">
        <v>4690116.5157051012</v>
      </c>
      <c r="V196" s="74">
        <v>653234.186834689</v>
      </c>
      <c r="W196" s="74">
        <v>1900743.2919999999</v>
      </c>
      <c r="X196" s="178">
        <f t="shared" si="67"/>
        <v>136491.87894701771</v>
      </c>
      <c r="Y196" s="179">
        <f t="shared" si="68"/>
        <v>147.71848370889364</v>
      </c>
      <c r="Z196" s="74"/>
      <c r="AA196" s="84">
        <f t="shared" si="69"/>
        <v>-171622.37782128109</v>
      </c>
      <c r="AB196" s="132">
        <f t="shared" si="70"/>
        <v>-185.7385041355856</v>
      </c>
      <c r="AD196" s="180">
        <v>175471.49834435165</v>
      </c>
      <c r="AE196" s="187">
        <v>160414.22081721001</v>
      </c>
      <c r="AF196" s="187">
        <v>145548.29285201847</v>
      </c>
      <c r="AG196" s="187">
        <v>130588.51202340536</v>
      </c>
      <c r="AH196" s="188">
        <v>115826.50400253478</v>
      </c>
      <c r="AJ196" s="74">
        <f t="shared" si="71"/>
        <v>1654701.0389827094</v>
      </c>
      <c r="AK196" s="74">
        <f t="shared" si="72"/>
        <v>137005.18099999998</v>
      </c>
      <c r="AL196" s="74">
        <f t="shared" si="73"/>
        <v>3913555.646322032</v>
      </c>
      <c r="AM196" s="74">
        <f t="shared" si="74"/>
        <v>6750301.4563502539</v>
      </c>
      <c r="AN196" s="74">
        <f t="shared" si="75"/>
        <v>175471.49834435165</v>
      </c>
      <c r="AO196" s="74">
        <f t="shared" si="76"/>
        <v>160414.22081721001</v>
      </c>
      <c r="AP196" s="74">
        <f t="shared" si="77"/>
        <v>145548.29285201847</v>
      </c>
      <c r="AQ196" s="74">
        <f t="shared" si="78"/>
        <v>130588.51202340536</v>
      </c>
      <c r="AR196" s="74">
        <f t="shared" si="79"/>
        <v>115826.50400253478</v>
      </c>
      <c r="AS196" s="75">
        <v>264</v>
      </c>
      <c r="AT196" s="75"/>
      <c r="AU196" s="75"/>
      <c r="AV196" s="75">
        <v>1</v>
      </c>
      <c r="AW196" s="75">
        <v>2926.992445450911</v>
      </c>
      <c r="AX196" s="75">
        <v>-303.85215508056859</v>
      </c>
      <c r="AY196" s="75">
        <v>457.3698034239635</v>
      </c>
      <c r="AZ196" s="316"/>
      <c r="BA196" s="74"/>
      <c r="BB196" s="74"/>
      <c r="BC196" s="74"/>
      <c r="BD196" s="74"/>
      <c r="BE196" s="74"/>
      <c r="BF196" s="74"/>
      <c r="BG196" s="74"/>
      <c r="BM196" s="316"/>
      <c r="BN196" s="74">
        <v>3777209.5436497461</v>
      </c>
      <c r="BO196" s="74">
        <v>5988599</v>
      </c>
      <c r="BP196" s="74">
        <v>6409000</v>
      </c>
      <c r="BQ196" s="74">
        <v>202971</v>
      </c>
      <c r="BR196" s="74">
        <v>216000</v>
      </c>
      <c r="BS196" s="406">
        <f t="shared" si="80"/>
        <v>0.54993675455734936</v>
      </c>
      <c r="BT196" s="406">
        <f t="shared" si="81"/>
        <v>0.33333333333333326</v>
      </c>
      <c r="BU196" s="74">
        <f t="shared" si="82"/>
        <v>3603691.1307917498</v>
      </c>
      <c r="BV196" s="316"/>
      <c r="BW196" s="74">
        <v>10527511</v>
      </c>
      <c r="BX196" s="74">
        <v>3777209.5436497461</v>
      </c>
      <c r="BY196" s="74">
        <v>5487728.1764072273</v>
      </c>
      <c r="BZ196" s="74">
        <v>3696021.9564245185</v>
      </c>
      <c r="CA196" s="74">
        <f t="shared" si="83"/>
        <v>-767234.31895424705</v>
      </c>
      <c r="CB196" s="74">
        <f t="shared" si="84"/>
        <v>147.71848370889387</v>
      </c>
      <c r="CC196" s="74">
        <f t="shared" si="85"/>
        <v>-38.020020426692845</v>
      </c>
      <c r="CD196" s="74">
        <f t="shared" si="86"/>
        <v>-185.73850413558671</v>
      </c>
      <c r="CE196" s="74">
        <f t="shared" si="87"/>
        <v>173.60846408789172</v>
      </c>
      <c r="CF196" s="74">
        <f t="shared" si="88"/>
        <v>157.51979745889653</v>
      </c>
      <c r="CG196" s="74">
        <f t="shared" si="89"/>
        <v>141.32955846689103</v>
      </c>
      <c r="CH196" s="74">
        <f t="shared" si="90"/>
        <v>125.35335931010468</v>
      </c>
      <c r="CI196" s="74">
        <f t="shared" si="91"/>
        <v>160414.22081721196</v>
      </c>
      <c r="CJ196" s="74">
        <f t="shared" si="92"/>
        <v>145548.29285202039</v>
      </c>
      <c r="CK196" s="74">
        <f t="shared" si="93"/>
        <v>130588.51202340731</v>
      </c>
      <c r="CL196" s="74">
        <f t="shared" si="94"/>
        <v>115826.50400253672</v>
      </c>
      <c r="CM196" s="316"/>
      <c r="CN196" s="74">
        <v>3157.7210390403498</v>
      </c>
      <c r="CO196" s="74">
        <v>446.06338</v>
      </c>
    </row>
    <row r="197" spans="1:93" x14ac:dyDescent="0.2">
      <c r="A197" s="74">
        <v>584</v>
      </c>
      <c r="B197" s="74" t="s">
        <v>319</v>
      </c>
      <c r="C197" s="74">
        <v>16</v>
      </c>
      <c r="D197" s="74">
        <v>2676</v>
      </c>
      <c r="E197" s="89">
        <v>10323354.80207249</v>
      </c>
      <c r="F197" s="74">
        <v>2981066.5618729605</v>
      </c>
      <c r="G197" s="74">
        <v>837054.1638000001</v>
      </c>
      <c r="H197" s="74">
        <v>563288.00300000003</v>
      </c>
      <c r="I197" s="74">
        <v>5521482.3392354855</v>
      </c>
      <c r="J197" s="74">
        <v>532848.38064885698</v>
      </c>
      <c r="K197" s="74">
        <v>-333224.47355662909</v>
      </c>
      <c r="L197" s="74">
        <v>300087</v>
      </c>
      <c r="M197" s="75">
        <v>330150</v>
      </c>
      <c r="N197" s="75">
        <v>18015.353155508958</v>
      </c>
      <c r="O197" s="178">
        <f t="shared" si="65"/>
        <v>427412.52608369291</v>
      </c>
      <c r="P197" s="179">
        <f t="shared" si="66"/>
        <v>159.72067491916775</v>
      </c>
      <c r="Q197" s="74"/>
      <c r="R197" s="89">
        <v>22483990</v>
      </c>
      <c r="S197" s="74">
        <v>6763586.7940848721</v>
      </c>
      <c r="T197" s="74">
        <v>844932.00450000004</v>
      </c>
      <c r="U197" s="74">
        <v>11662975.58597639</v>
      </c>
      <c r="V197" s="74">
        <v>1777121.3560018609</v>
      </c>
      <c r="W197" s="74">
        <v>1467291.1638000002</v>
      </c>
      <c r="X197" s="178">
        <f t="shared" si="67"/>
        <v>31916.904363121837</v>
      </c>
      <c r="Y197" s="179">
        <f t="shared" si="68"/>
        <v>11.927094306099342</v>
      </c>
      <c r="Z197" s="74"/>
      <c r="AA197" s="84">
        <f t="shared" si="69"/>
        <v>395495.62172057107</v>
      </c>
      <c r="AB197" s="132">
        <f t="shared" si="70"/>
        <v>147.7935806130684</v>
      </c>
      <c r="AD197" s="180">
        <v>-384348.16877712845</v>
      </c>
      <c r="AE197" s="187">
        <v>-347675.60888820101</v>
      </c>
      <c r="AF197" s="187">
        <v>-310448.88078739215</v>
      </c>
      <c r="AG197" s="187">
        <v>-273493.96032999887</v>
      </c>
      <c r="AH197" s="188">
        <v>-235966.26927355913</v>
      </c>
      <c r="AJ197" s="74">
        <f t="shared" si="71"/>
        <v>3782520.2322119116</v>
      </c>
      <c r="AK197" s="74">
        <f t="shared" si="72"/>
        <v>281644.00150000001</v>
      </c>
      <c r="AL197" s="74">
        <f t="shared" si="73"/>
        <v>6141493.2467409046</v>
      </c>
      <c r="AM197" s="74">
        <f t="shared" si="74"/>
        <v>12160635.19792751</v>
      </c>
      <c r="AN197" s="74">
        <f t="shared" si="75"/>
        <v>-384348.16877712845</v>
      </c>
      <c r="AO197" s="74">
        <f t="shared" si="76"/>
        <v>-347675.60888820101</v>
      </c>
      <c r="AP197" s="74">
        <f t="shared" si="77"/>
        <v>-310448.88078739215</v>
      </c>
      <c r="AQ197" s="74">
        <f t="shared" si="78"/>
        <v>-273493.96032999887</v>
      </c>
      <c r="AR197" s="74">
        <f t="shared" si="79"/>
        <v>-235966.26927355913</v>
      </c>
      <c r="AS197" s="75">
        <v>1677</v>
      </c>
      <c r="AT197" s="75"/>
      <c r="AU197" s="75"/>
      <c r="AV197" s="75">
        <v>55</v>
      </c>
      <c r="AW197" s="75">
        <v>4411.3851651040559</v>
      </c>
      <c r="AX197" s="75">
        <v>-1904.6150386579825</v>
      </c>
      <c r="AY197" s="75">
        <v>1244.2729753530039</v>
      </c>
      <c r="AZ197" s="316"/>
      <c r="BA197" s="74"/>
      <c r="BB197" s="74"/>
      <c r="BC197" s="74"/>
      <c r="BD197" s="74"/>
      <c r="BE197" s="74"/>
      <c r="BF197" s="74"/>
      <c r="BG197" s="74"/>
      <c r="BM197" s="316"/>
      <c r="BN197" s="74">
        <v>10323354.80207249</v>
      </c>
      <c r="BO197" s="74">
        <v>11260131.07</v>
      </c>
      <c r="BP197" s="74">
        <v>11954000</v>
      </c>
      <c r="BQ197" s="74">
        <v>346170.32999999996</v>
      </c>
      <c r="BR197" s="74">
        <v>451000</v>
      </c>
      <c r="BS197" s="406">
        <f t="shared" si="80"/>
        <v>0.55924768135154757</v>
      </c>
      <c r="BT197" s="406">
        <f t="shared" si="81"/>
        <v>0.33333333333333337</v>
      </c>
      <c r="BU197" s="74">
        <f t="shared" si="82"/>
        <v>7052541.7485372797</v>
      </c>
      <c r="BV197" s="316"/>
      <c r="BW197" s="74">
        <v>22483990</v>
      </c>
      <c r="BX197" s="74">
        <v>10323354.80207249</v>
      </c>
      <c r="BY197" s="74">
        <v>8445572.9623848721</v>
      </c>
      <c r="BZ197" s="74">
        <v>4381408.7286729608</v>
      </c>
      <c r="CA197" s="74">
        <f t="shared" si="83"/>
        <v>-333224.47355663043</v>
      </c>
      <c r="CB197" s="74">
        <f t="shared" si="84"/>
        <v>11.927094306100212</v>
      </c>
      <c r="CC197" s="74">
        <f t="shared" si="85"/>
        <v>159.72067491916749</v>
      </c>
      <c r="CD197" s="74">
        <f t="shared" si="86"/>
        <v>147.79358061306729</v>
      </c>
      <c r="CE197" s="74">
        <f t="shared" si="87"/>
        <v>-129.92362066076228</v>
      </c>
      <c r="CF197" s="74">
        <f t="shared" si="88"/>
        <v>-116.01228728975747</v>
      </c>
      <c r="CG197" s="74">
        <f t="shared" si="89"/>
        <v>-102.20252628176299</v>
      </c>
      <c r="CH197" s="74">
        <f t="shared" si="90"/>
        <v>-88.178725438549321</v>
      </c>
      <c r="CI197" s="74">
        <f t="shared" si="91"/>
        <v>-347675.60888819984</v>
      </c>
      <c r="CJ197" s="74">
        <f t="shared" si="92"/>
        <v>-310448.88078739098</v>
      </c>
      <c r="CK197" s="74">
        <f t="shared" si="93"/>
        <v>-273493.96032999776</v>
      </c>
      <c r="CL197" s="74">
        <f t="shared" si="94"/>
        <v>-235966.26927355799</v>
      </c>
      <c r="CM197" s="316"/>
      <c r="CN197" s="74">
        <v>6770.4838651361479</v>
      </c>
      <c r="CO197" s="74">
        <v>916.98047000000008</v>
      </c>
    </row>
    <row r="198" spans="1:93" x14ac:dyDescent="0.2">
      <c r="A198" s="74">
        <v>588</v>
      </c>
      <c r="B198" s="74" t="s">
        <v>320</v>
      </c>
      <c r="C198" s="74">
        <v>10</v>
      </c>
      <c r="D198" s="74">
        <v>1644</v>
      </c>
      <c r="E198" s="89">
        <v>4406372.5962401554</v>
      </c>
      <c r="F198" s="74">
        <v>2023448.1841894905</v>
      </c>
      <c r="G198" s="74">
        <v>965079.57850000006</v>
      </c>
      <c r="H198" s="74">
        <v>593722.39679999999</v>
      </c>
      <c r="I198" s="74">
        <v>416420.42685479089</v>
      </c>
      <c r="J198" s="74">
        <v>388060.88021900854</v>
      </c>
      <c r="K198" s="74">
        <v>-451611.41258085769</v>
      </c>
      <c r="L198" s="74">
        <v>-353048</v>
      </c>
      <c r="M198" s="75">
        <v>43280</v>
      </c>
      <c r="N198" s="75">
        <v>12988.190079600527</v>
      </c>
      <c r="O198" s="178">
        <f t="shared" si="65"/>
        <v>-768032.35217812285</v>
      </c>
      <c r="P198" s="179">
        <f t="shared" si="66"/>
        <v>-467.17296361199686</v>
      </c>
      <c r="Q198" s="74"/>
      <c r="R198" s="89">
        <v>13875900</v>
      </c>
      <c r="S198" s="74">
        <v>4656650.9776809132</v>
      </c>
      <c r="T198" s="74">
        <v>890583.59519999998</v>
      </c>
      <c r="U198" s="74">
        <v>5358356.8704185365</v>
      </c>
      <c r="V198" s="74">
        <v>1294235.4761898809</v>
      </c>
      <c r="W198" s="74">
        <v>655311.57850000006</v>
      </c>
      <c r="X198" s="178">
        <f t="shared" si="67"/>
        <v>-1020761.5020106696</v>
      </c>
      <c r="Y198" s="179">
        <f t="shared" si="68"/>
        <v>-620.90115694079657</v>
      </c>
      <c r="Z198" s="74"/>
      <c r="AA198" s="84">
        <f t="shared" si="69"/>
        <v>252729.14983254671</v>
      </c>
      <c r="AB198" s="132">
        <f t="shared" si="70"/>
        <v>153.7281933287997</v>
      </c>
      <c r="AD198" s="180">
        <v>-245880.71461617234</v>
      </c>
      <c r="AE198" s="187">
        <v>-223350.93567095682</v>
      </c>
      <c r="AF198" s="187">
        <v>-200480.7036090249</v>
      </c>
      <c r="AG198" s="187">
        <v>-177777.45651188196</v>
      </c>
      <c r="AH198" s="188">
        <v>-154722.3279256387</v>
      </c>
      <c r="AJ198" s="74">
        <f t="shared" si="71"/>
        <v>2633202.7934914227</v>
      </c>
      <c r="AK198" s="74">
        <f t="shared" si="72"/>
        <v>296861.19839999999</v>
      </c>
      <c r="AL198" s="74">
        <f t="shared" si="73"/>
        <v>4941936.4435637454</v>
      </c>
      <c r="AM198" s="74">
        <f t="shared" si="74"/>
        <v>9469527.4037598446</v>
      </c>
      <c r="AN198" s="74">
        <f t="shared" si="75"/>
        <v>-245880.71461617234</v>
      </c>
      <c r="AO198" s="74">
        <f t="shared" si="76"/>
        <v>-223350.93567095682</v>
      </c>
      <c r="AP198" s="74">
        <f t="shared" si="77"/>
        <v>-200480.7036090249</v>
      </c>
      <c r="AQ198" s="74">
        <f t="shared" si="78"/>
        <v>-177777.45651188196</v>
      </c>
      <c r="AR198" s="74">
        <f t="shared" si="79"/>
        <v>-154722.3279256387</v>
      </c>
      <c r="AS198" s="75">
        <v>618</v>
      </c>
      <c r="AT198" s="75"/>
      <c r="AU198" s="75"/>
      <c r="AV198" s="75">
        <v>0</v>
      </c>
      <c r="AW198" s="75">
        <v>4114.5840391989805</v>
      </c>
      <c r="AX198" s="75">
        <v>-779.72052961134011</v>
      </c>
      <c r="AY198" s="75">
        <v>906.17459597087236</v>
      </c>
      <c r="AZ198" s="316"/>
      <c r="BA198" s="74"/>
      <c r="BB198" s="74"/>
      <c r="BC198" s="74"/>
      <c r="BD198" s="74"/>
      <c r="BE198" s="74"/>
      <c r="BF198" s="74"/>
      <c r="BG198" s="74"/>
      <c r="BM198" s="316"/>
      <c r="BN198" s="74">
        <v>4406372.5962401554</v>
      </c>
      <c r="BO198" s="74">
        <v>9319979.0800000001</v>
      </c>
      <c r="BP198" s="74">
        <v>9496000</v>
      </c>
      <c r="BQ198" s="74">
        <v>155084.85</v>
      </c>
      <c r="BR198" s="74">
        <v>169000</v>
      </c>
      <c r="BS198" s="406">
        <f t="shared" si="80"/>
        <v>0.56547136689269328</v>
      </c>
      <c r="BT198" s="406">
        <f t="shared" si="81"/>
        <v>0.33333333333333337</v>
      </c>
      <c r="BU198" s="74">
        <f t="shared" si="82"/>
        <v>5396499.6269537592</v>
      </c>
      <c r="BV198" s="316"/>
      <c r="BW198" s="74">
        <v>13875900</v>
      </c>
      <c r="BX198" s="74">
        <v>4406372.5962401554</v>
      </c>
      <c r="BY198" s="74">
        <v>6512314.1513809133</v>
      </c>
      <c r="BZ198" s="74">
        <v>3582250.159489491</v>
      </c>
      <c r="CA198" s="74">
        <f t="shared" si="83"/>
        <v>-451611.41258085874</v>
      </c>
      <c r="CB198" s="74">
        <f t="shared" si="84"/>
        <v>-620.90115694079577</v>
      </c>
      <c r="CC198" s="74">
        <f t="shared" si="85"/>
        <v>-467.17296361199732</v>
      </c>
      <c r="CD198" s="74">
        <f t="shared" si="86"/>
        <v>153.72819332879845</v>
      </c>
      <c r="CE198" s="74">
        <f t="shared" si="87"/>
        <v>-135.85823337649344</v>
      </c>
      <c r="CF198" s="74">
        <f t="shared" si="88"/>
        <v>-121.94690000548863</v>
      </c>
      <c r="CG198" s="74">
        <f t="shared" si="89"/>
        <v>-108.13713899749415</v>
      </c>
      <c r="CH198" s="74">
        <f t="shared" si="90"/>
        <v>-94.113338154280484</v>
      </c>
      <c r="CI198" s="74">
        <f t="shared" si="91"/>
        <v>-223350.93567095522</v>
      </c>
      <c r="CJ198" s="74">
        <f t="shared" si="92"/>
        <v>-200480.7036090233</v>
      </c>
      <c r="CK198" s="74">
        <f t="shared" si="93"/>
        <v>-177777.45651188039</v>
      </c>
      <c r="CL198" s="74">
        <f t="shared" si="94"/>
        <v>-154722.3279256371</v>
      </c>
      <c r="CM198" s="316"/>
      <c r="CN198" s="74">
        <v>4837.4027767775278</v>
      </c>
      <c r="CO198" s="74">
        <v>966.52483200000006</v>
      </c>
    </row>
    <row r="199" spans="1:93" x14ac:dyDescent="0.2">
      <c r="A199" s="74">
        <v>592</v>
      </c>
      <c r="B199" s="74" t="s">
        <v>321</v>
      </c>
      <c r="C199" s="74">
        <v>13</v>
      </c>
      <c r="D199" s="74">
        <v>3678</v>
      </c>
      <c r="E199" s="89">
        <v>12654949.607371395</v>
      </c>
      <c r="F199" s="74">
        <v>5358072.7699786983</v>
      </c>
      <c r="G199" s="74">
        <v>1097975.6839999999</v>
      </c>
      <c r="H199" s="74">
        <v>937046.71200000006</v>
      </c>
      <c r="I199" s="74">
        <v>3557898.1141264164</v>
      </c>
      <c r="J199" s="74">
        <v>700690.90320418682</v>
      </c>
      <c r="K199" s="74">
        <v>245058.35564861374</v>
      </c>
      <c r="L199" s="74">
        <v>-80318</v>
      </c>
      <c r="M199" s="75">
        <v>159500</v>
      </c>
      <c r="N199" s="75">
        <v>32255.213658052646</v>
      </c>
      <c r="O199" s="178">
        <f t="shared" si="65"/>
        <v>-646769.85475542769</v>
      </c>
      <c r="P199" s="179">
        <f t="shared" si="66"/>
        <v>-175.84824762246538</v>
      </c>
      <c r="Q199" s="74"/>
      <c r="R199" s="89">
        <v>26505400</v>
      </c>
      <c r="S199" s="74">
        <v>12166147.578234335</v>
      </c>
      <c r="T199" s="74">
        <v>1405570.0680000002</v>
      </c>
      <c r="U199" s="74">
        <v>8858350.9829203635</v>
      </c>
      <c r="V199" s="74">
        <v>2336898.8501458522</v>
      </c>
      <c r="W199" s="74">
        <v>1177157.6839999999</v>
      </c>
      <c r="X199" s="178">
        <f t="shared" si="67"/>
        <v>-561274.83669944853</v>
      </c>
      <c r="Y199" s="179">
        <f t="shared" si="68"/>
        <v>-152.60327262083973</v>
      </c>
      <c r="Z199" s="74"/>
      <c r="AA199" s="84">
        <f t="shared" si="69"/>
        <v>-85495.018055979162</v>
      </c>
      <c r="AB199" s="132">
        <f t="shared" si="70"/>
        <v>-23.244975001625654</v>
      </c>
      <c r="AD199" s="180">
        <v>100816.51728093054</v>
      </c>
      <c r="AE199" s="187">
        <v>40880.730760555052</v>
      </c>
      <c r="AF199" s="187">
        <v>6551.5968431335414</v>
      </c>
      <c r="AG199" s="187">
        <v>2173.8978305372589</v>
      </c>
      <c r="AH199" s="188">
        <v>-1416.5626681229264</v>
      </c>
      <c r="AJ199" s="74">
        <f t="shared" si="71"/>
        <v>6808074.8082556371</v>
      </c>
      <c r="AK199" s="74">
        <f t="shared" si="72"/>
        <v>468523.35600000015</v>
      </c>
      <c r="AL199" s="74">
        <f t="shared" si="73"/>
        <v>5300452.8687939476</v>
      </c>
      <c r="AM199" s="74">
        <f t="shared" si="74"/>
        <v>13850450.392628605</v>
      </c>
      <c r="AN199" s="74">
        <f t="shared" si="75"/>
        <v>100816.51728093054</v>
      </c>
      <c r="AO199" s="74">
        <f t="shared" si="76"/>
        <v>40880.730760555052</v>
      </c>
      <c r="AP199" s="74">
        <f t="shared" si="77"/>
        <v>6551.5968431335414</v>
      </c>
      <c r="AQ199" s="74">
        <f t="shared" si="78"/>
        <v>2173.8978305372589</v>
      </c>
      <c r="AR199" s="74">
        <f t="shared" si="79"/>
        <v>-1416.5626681229264</v>
      </c>
      <c r="AS199" s="75">
        <v>957</v>
      </c>
      <c r="AT199" s="75"/>
      <c r="AU199" s="75"/>
      <c r="AV199" s="75">
        <v>17</v>
      </c>
      <c r="AW199" s="75">
        <v>3985.4364949010092</v>
      </c>
      <c r="AX199" s="75">
        <v>-1394.4892956252452</v>
      </c>
      <c r="AY199" s="75">
        <v>1636.2079469416653</v>
      </c>
      <c r="AZ199" s="316"/>
      <c r="BA199" s="74"/>
      <c r="BB199" s="74"/>
      <c r="BC199" s="74"/>
      <c r="BD199" s="74"/>
      <c r="BE199" s="74"/>
      <c r="BF199" s="74"/>
      <c r="BG199" s="74"/>
      <c r="BM199" s="316"/>
      <c r="BN199" s="74">
        <v>12654949.607371395</v>
      </c>
      <c r="BO199" s="74">
        <v>13666920.51</v>
      </c>
      <c r="BP199" s="74">
        <v>14211000</v>
      </c>
      <c r="BQ199" s="74">
        <v>346796.04</v>
      </c>
      <c r="BR199" s="74">
        <v>363000</v>
      </c>
      <c r="BS199" s="406">
        <f t="shared" si="80"/>
        <v>0.5595916673274226</v>
      </c>
      <c r="BT199" s="406">
        <f t="shared" si="81"/>
        <v>0.33333333333333337</v>
      </c>
      <c r="BU199" s="74">
        <f t="shared" si="82"/>
        <v>7181719.1713842256</v>
      </c>
      <c r="BV199" s="316"/>
      <c r="BW199" s="74">
        <v>26505400</v>
      </c>
      <c r="BX199" s="74">
        <v>12654949.607371395</v>
      </c>
      <c r="BY199" s="74">
        <v>14669693.330234336</v>
      </c>
      <c r="BZ199" s="74">
        <v>7393095.165978699</v>
      </c>
      <c r="CA199" s="74">
        <f t="shared" si="83"/>
        <v>245058.35564861089</v>
      </c>
      <c r="CB199" s="74">
        <f t="shared" si="84"/>
        <v>-152.60327262083985</v>
      </c>
      <c r="CC199" s="74">
        <f t="shared" si="85"/>
        <v>-175.84824762246595</v>
      </c>
      <c r="CD199" s="74">
        <f t="shared" si="86"/>
        <v>-23.244975001626102</v>
      </c>
      <c r="CE199" s="74">
        <f t="shared" si="87"/>
        <v>11.114934953931106</v>
      </c>
      <c r="CF199" s="74">
        <f t="shared" si="88"/>
        <v>1.7812933233098263</v>
      </c>
      <c r="CG199" s="74">
        <f t="shared" si="89"/>
        <v>0.59105433130431184</v>
      </c>
      <c r="CH199" s="74">
        <f t="shared" si="90"/>
        <v>-0.38514482548203544</v>
      </c>
      <c r="CI199" s="74">
        <f t="shared" si="91"/>
        <v>40880.73076055861</v>
      </c>
      <c r="CJ199" s="74">
        <f t="shared" si="92"/>
        <v>6551.5968431335414</v>
      </c>
      <c r="CK199" s="74">
        <f t="shared" si="93"/>
        <v>2173.8978305372589</v>
      </c>
      <c r="CL199" s="74">
        <f t="shared" si="94"/>
        <v>-1416.5626681229264</v>
      </c>
      <c r="CM199" s="316"/>
      <c r="CN199" s="74">
        <v>12278.00970332127</v>
      </c>
      <c r="CO199" s="74">
        <v>1525.42488</v>
      </c>
    </row>
    <row r="200" spans="1:93" x14ac:dyDescent="0.2">
      <c r="A200" s="74">
        <v>593</v>
      </c>
      <c r="B200" s="74" t="s">
        <v>322</v>
      </c>
      <c r="C200" s="74">
        <v>10</v>
      </c>
      <c r="D200" s="74">
        <v>17253</v>
      </c>
      <c r="E200" s="89">
        <v>41075572.832738891</v>
      </c>
      <c r="F200" s="74">
        <v>27311965.930729602</v>
      </c>
      <c r="G200" s="74">
        <v>4894708.9690000005</v>
      </c>
      <c r="H200" s="74">
        <v>3750707.6198000005</v>
      </c>
      <c r="I200" s="74">
        <v>4195514.5638963524</v>
      </c>
      <c r="J200" s="74">
        <v>3320918.7326086592</v>
      </c>
      <c r="K200" s="74">
        <v>165735.03372375845</v>
      </c>
      <c r="L200" s="74">
        <v>-1972004</v>
      </c>
      <c r="M200" s="75">
        <v>893000</v>
      </c>
      <c r="N200" s="75">
        <v>160293.51227960046</v>
      </c>
      <c r="O200" s="178">
        <f t="shared" si="65"/>
        <v>1645267.5292990804</v>
      </c>
      <c r="P200" s="179">
        <f t="shared" si="66"/>
        <v>95.361243221415421</v>
      </c>
      <c r="Q200" s="74"/>
      <c r="R200" s="89">
        <v>127295651</v>
      </c>
      <c r="S200" s="74">
        <v>61597943.729452662</v>
      </c>
      <c r="T200" s="74">
        <v>5626061.4297000002</v>
      </c>
      <c r="U200" s="74">
        <v>46254254.563800879</v>
      </c>
      <c r="V200" s="74">
        <v>11075712.746051569</v>
      </c>
      <c r="W200" s="74">
        <v>3815704.9690000005</v>
      </c>
      <c r="X200" s="178">
        <f t="shared" si="67"/>
        <v>1074026.4380051196</v>
      </c>
      <c r="Y200" s="179">
        <f t="shared" si="68"/>
        <v>62.251575842179307</v>
      </c>
      <c r="Z200" s="74"/>
      <c r="AA200" s="84">
        <f t="shared" si="69"/>
        <v>571241.09129396081</v>
      </c>
      <c r="AB200" s="132">
        <f t="shared" si="70"/>
        <v>33.109667379236122</v>
      </c>
      <c r="AD200" s="180">
        <v>-499370.01295573078</v>
      </c>
      <c r="AE200" s="187">
        <v>-262930.67223687225</v>
      </c>
      <c r="AF200" s="187">
        <v>-22918.43758692604</v>
      </c>
      <c r="AG200" s="187">
        <v>10197.460377993291</v>
      </c>
      <c r="AH200" s="188">
        <v>-6644.9036740415577</v>
      </c>
      <c r="AJ200" s="74">
        <f t="shared" si="71"/>
        <v>34285977.798723057</v>
      </c>
      <c r="AK200" s="74">
        <f t="shared" si="72"/>
        <v>1875353.8098999998</v>
      </c>
      <c r="AL200" s="74">
        <f t="shared" si="73"/>
        <v>42058739.999904528</v>
      </c>
      <c r="AM200" s="74">
        <f t="shared" si="74"/>
        <v>86220078.167261109</v>
      </c>
      <c r="AN200" s="74">
        <f t="shared" si="75"/>
        <v>-499370.01295573078</v>
      </c>
      <c r="AO200" s="74">
        <f t="shared" si="76"/>
        <v>-262930.67223687225</v>
      </c>
      <c r="AP200" s="74">
        <f t="shared" si="77"/>
        <v>-22918.43758692604</v>
      </c>
      <c r="AQ200" s="74">
        <f t="shared" si="78"/>
        <v>10197.460377993291</v>
      </c>
      <c r="AR200" s="74">
        <f t="shared" si="79"/>
        <v>-6644.9036740415577</v>
      </c>
      <c r="AS200" s="75">
        <v>6535</v>
      </c>
      <c r="AT200" s="75"/>
      <c r="AU200" s="75"/>
      <c r="AV200" s="75">
        <v>126</v>
      </c>
      <c r="AW200" s="75">
        <v>37991.890577512269</v>
      </c>
      <c r="AX200" s="75">
        <v>-4756.0657614262</v>
      </c>
      <c r="AY200" s="75">
        <v>7754.7940134429091</v>
      </c>
      <c r="AZ200" s="316"/>
      <c r="BA200" s="74"/>
      <c r="BB200" s="74"/>
      <c r="BC200" s="74"/>
      <c r="BD200" s="74"/>
      <c r="BE200" s="74"/>
      <c r="BF200" s="74"/>
      <c r="BG200" s="74"/>
      <c r="BM200" s="316"/>
      <c r="BN200" s="74">
        <v>41075572.832738891</v>
      </c>
      <c r="BO200" s="74">
        <v>80195188.690000013</v>
      </c>
      <c r="BP200" s="74">
        <v>89347000</v>
      </c>
      <c r="BQ200" s="74">
        <v>1536632.29</v>
      </c>
      <c r="BR200" s="74">
        <v>1755000</v>
      </c>
      <c r="BS200" s="406">
        <f t="shared" si="80"/>
        <v>0.55660912885845959</v>
      </c>
      <c r="BT200" s="406">
        <f t="shared" si="81"/>
        <v>0.33333333333333326</v>
      </c>
      <c r="BU200" s="74">
        <f t="shared" si="82"/>
        <v>49979269.047071196</v>
      </c>
      <c r="BV200" s="316"/>
      <c r="BW200" s="74">
        <v>127295651</v>
      </c>
      <c r="BX200" s="74">
        <v>41075572.832738891</v>
      </c>
      <c r="BY200" s="74">
        <v>72118714.128152654</v>
      </c>
      <c r="BZ200" s="74">
        <v>35957382.519529603</v>
      </c>
      <c r="CA200" s="74">
        <f t="shared" si="83"/>
        <v>165735.03372374628</v>
      </c>
      <c r="CB200" s="74">
        <f t="shared" si="84"/>
        <v>62.251575842178873</v>
      </c>
      <c r="CC200" s="74">
        <f t="shared" si="85"/>
        <v>95.36124322141481</v>
      </c>
      <c r="CD200" s="74">
        <f t="shared" si="86"/>
        <v>33.109667379235937</v>
      </c>
      <c r="CE200" s="74">
        <f t="shared" si="87"/>
        <v>-15.239707426930932</v>
      </c>
      <c r="CF200" s="74">
        <f t="shared" si="88"/>
        <v>-1.3283740559261106</v>
      </c>
      <c r="CG200" s="74">
        <f t="shared" si="89"/>
        <v>0.59105433130431184</v>
      </c>
      <c r="CH200" s="74">
        <f t="shared" si="90"/>
        <v>-0.38514482548203544</v>
      </c>
      <c r="CI200" s="74">
        <f t="shared" si="91"/>
        <v>-262930.67223683937</v>
      </c>
      <c r="CJ200" s="74">
        <f t="shared" si="92"/>
        <v>-22918.437586893186</v>
      </c>
      <c r="CK200" s="74">
        <f t="shared" si="93"/>
        <v>10197.460377993291</v>
      </c>
      <c r="CL200" s="74">
        <f t="shared" si="94"/>
        <v>-6644.9036740415577</v>
      </c>
      <c r="CM200" s="316"/>
      <c r="CN200" s="74">
        <v>61438.537467804214</v>
      </c>
      <c r="CO200" s="74">
        <v>6105.8031020000008</v>
      </c>
    </row>
    <row r="201" spans="1:93" x14ac:dyDescent="0.2">
      <c r="A201" s="74">
        <v>595</v>
      </c>
      <c r="B201" s="74" t="s">
        <v>323</v>
      </c>
      <c r="C201" s="74">
        <v>11</v>
      </c>
      <c r="D201" s="74">
        <v>4269</v>
      </c>
      <c r="E201" s="89">
        <v>12969307.350794822</v>
      </c>
      <c r="F201" s="74">
        <v>5009652.8316664938</v>
      </c>
      <c r="G201" s="74">
        <v>1229106.4678</v>
      </c>
      <c r="H201" s="74">
        <v>1297665.1198</v>
      </c>
      <c r="I201" s="74">
        <v>3589167.5180314127</v>
      </c>
      <c r="J201" s="74">
        <v>952490.95588906156</v>
      </c>
      <c r="K201" s="74">
        <v>914864.01242104999</v>
      </c>
      <c r="L201" s="74">
        <v>-6024</v>
      </c>
      <c r="M201" s="75">
        <v>442480</v>
      </c>
      <c r="N201" s="75">
        <v>30616.351334378567</v>
      </c>
      <c r="O201" s="178">
        <f t="shared" si="65"/>
        <v>490711.90614757501</v>
      </c>
      <c r="P201" s="179">
        <f t="shared" si="66"/>
        <v>114.94774095750176</v>
      </c>
      <c r="Q201" s="74"/>
      <c r="R201" s="89">
        <v>37010280</v>
      </c>
      <c r="S201" s="74">
        <v>11267700.141722837</v>
      </c>
      <c r="T201" s="74">
        <v>1946497.6797</v>
      </c>
      <c r="U201" s="74">
        <v>19756887.234269865</v>
      </c>
      <c r="V201" s="74">
        <v>3176686.0528840548</v>
      </c>
      <c r="W201" s="74">
        <v>1665562.4678</v>
      </c>
      <c r="X201" s="178">
        <f t="shared" si="67"/>
        <v>803053.57637675852</v>
      </c>
      <c r="Y201" s="179">
        <f t="shared" si="68"/>
        <v>188.1128077715527</v>
      </c>
      <c r="Z201" s="74"/>
      <c r="AA201" s="84">
        <f t="shared" si="69"/>
        <v>-312341.67022918351</v>
      </c>
      <c r="AB201" s="132">
        <f t="shared" si="70"/>
        <v>-73.165066814050945</v>
      </c>
      <c r="AD201" s="180">
        <v>330125.1069315577</v>
      </c>
      <c r="AE201" s="187">
        <v>260558.52926557537</v>
      </c>
      <c r="AF201" s="187">
        <v>191876.01142639495</v>
      </c>
      <c r="AG201" s="187">
        <v>122759.88116952342</v>
      </c>
      <c r="AH201" s="188">
        <v>54557.486969202495</v>
      </c>
      <c r="AJ201" s="74">
        <f t="shared" si="71"/>
        <v>6258047.3100563437</v>
      </c>
      <c r="AK201" s="74">
        <f t="shared" si="72"/>
        <v>648832.55989999999</v>
      </c>
      <c r="AL201" s="74">
        <f t="shared" si="73"/>
        <v>16167719.716238452</v>
      </c>
      <c r="AM201" s="74">
        <f t="shared" si="74"/>
        <v>24040972.649205178</v>
      </c>
      <c r="AN201" s="74">
        <f t="shared" si="75"/>
        <v>330125.1069315577</v>
      </c>
      <c r="AO201" s="74">
        <f t="shared" si="76"/>
        <v>260558.52926557537</v>
      </c>
      <c r="AP201" s="74">
        <f t="shared" si="77"/>
        <v>191876.01142639495</v>
      </c>
      <c r="AQ201" s="74">
        <f t="shared" si="78"/>
        <v>122759.88116952342</v>
      </c>
      <c r="AR201" s="74">
        <f t="shared" si="79"/>
        <v>54557.486969202495</v>
      </c>
      <c r="AS201" s="75">
        <v>1866</v>
      </c>
      <c r="AT201" s="75"/>
      <c r="AU201" s="75"/>
      <c r="AV201" s="75">
        <v>13</v>
      </c>
      <c r="AW201" s="75">
        <v>13817.882781685365</v>
      </c>
      <c r="AX201" s="75">
        <v>-2649.2567143610618</v>
      </c>
      <c r="AY201" s="75">
        <v>2224.1950969949935</v>
      </c>
      <c r="AZ201" s="316"/>
      <c r="BA201" s="74"/>
      <c r="BB201" s="74"/>
      <c r="BC201" s="74"/>
      <c r="BD201" s="74"/>
      <c r="BE201" s="74"/>
      <c r="BF201" s="74"/>
      <c r="BG201" s="74"/>
      <c r="BM201" s="316"/>
      <c r="BN201" s="74">
        <v>12969307.350794822</v>
      </c>
      <c r="BO201" s="74">
        <v>22012982.809999999</v>
      </c>
      <c r="BP201" s="74">
        <v>23507000</v>
      </c>
      <c r="BQ201" s="74">
        <v>426731.29</v>
      </c>
      <c r="BR201" s="74">
        <v>523000</v>
      </c>
      <c r="BS201" s="406">
        <f t="shared" si="80"/>
        <v>0.55539704033155823</v>
      </c>
      <c r="BT201" s="406">
        <f t="shared" si="81"/>
        <v>0.33333333333333337</v>
      </c>
      <c r="BU201" s="74">
        <f t="shared" si="82"/>
        <v>19306778.825654492</v>
      </c>
      <c r="BV201" s="316"/>
      <c r="BW201" s="74">
        <v>37010280</v>
      </c>
      <c r="BX201" s="74">
        <v>12969307.350794822</v>
      </c>
      <c r="BY201" s="74">
        <v>14443304.289222838</v>
      </c>
      <c r="BZ201" s="74">
        <v>7536424.419266494</v>
      </c>
      <c r="CA201" s="74">
        <f t="shared" si="83"/>
        <v>914864.01242105011</v>
      </c>
      <c r="CB201" s="74">
        <f t="shared" si="84"/>
        <v>188.11280777155156</v>
      </c>
      <c r="CC201" s="74">
        <f t="shared" si="85"/>
        <v>114.94774095750176</v>
      </c>
      <c r="CD201" s="74">
        <f t="shared" si="86"/>
        <v>-73.165066814049794</v>
      </c>
      <c r="CE201" s="74">
        <f t="shared" si="87"/>
        <v>61.035026766354797</v>
      </c>
      <c r="CF201" s="74">
        <f t="shared" si="88"/>
        <v>44.946360137359619</v>
      </c>
      <c r="CG201" s="74">
        <f t="shared" si="89"/>
        <v>28.756121145354108</v>
      </c>
      <c r="CH201" s="74">
        <f t="shared" si="90"/>
        <v>12.779921988567759</v>
      </c>
      <c r="CI201" s="74">
        <f t="shared" si="91"/>
        <v>260558.52926556862</v>
      </c>
      <c r="CJ201" s="74">
        <f t="shared" si="92"/>
        <v>191876.01142638823</v>
      </c>
      <c r="CK201" s="74">
        <f t="shared" si="93"/>
        <v>122759.88116951668</v>
      </c>
      <c r="CL201" s="74">
        <f t="shared" si="94"/>
        <v>54557.486969195765</v>
      </c>
      <c r="CM201" s="316"/>
      <c r="CN201" s="74">
        <v>11252.363760627568</v>
      </c>
      <c r="CO201" s="74">
        <v>2112.478102</v>
      </c>
    </row>
    <row r="202" spans="1:93" x14ac:dyDescent="0.2">
      <c r="A202" s="74">
        <v>598</v>
      </c>
      <c r="B202" s="74" t="s">
        <v>324</v>
      </c>
      <c r="C202" s="74">
        <v>15</v>
      </c>
      <c r="D202" s="74">
        <v>19097</v>
      </c>
      <c r="E202" s="89">
        <v>50764233.952479228</v>
      </c>
      <c r="F202" s="74">
        <v>31197473.218447477</v>
      </c>
      <c r="G202" s="74">
        <v>7025187.9044999992</v>
      </c>
      <c r="H202" s="74">
        <v>6366156.6478000004</v>
      </c>
      <c r="I202" s="74">
        <v>10987381.201604405</v>
      </c>
      <c r="J202" s="74">
        <v>3000963.6617983673</v>
      </c>
      <c r="K202" s="74">
        <v>-4824456.9681539834</v>
      </c>
      <c r="L202" s="74">
        <v>2237859</v>
      </c>
      <c r="M202" s="75">
        <v>1097535</v>
      </c>
      <c r="N202" s="75">
        <v>205879.7671290455</v>
      </c>
      <c r="O202" s="178">
        <f t="shared" si="65"/>
        <v>6529745.4806460813</v>
      </c>
      <c r="P202" s="179">
        <f t="shared" si="66"/>
        <v>341.92519666157415</v>
      </c>
      <c r="Q202" s="74"/>
      <c r="R202" s="89">
        <v>138408114</v>
      </c>
      <c r="S202" s="74">
        <v>74459733.977724895</v>
      </c>
      <c r="T202" s="74">
        <v>9549234.9716999996</v>
      </c>
      <c r="U202" s="74">
        <v>38137257.254551813</v>
      </c>
      <c r="V202" s="74">
        <v>10008619.347727515</v>
      </c>
      <c r="W202" s="74">
        <v>10360581.9045</v>
      </c>
      <c r="X202" s="178">
        <f t="shared" si="67"/>
        <v>4107313.4562042356</v>
      </c>
      <c r="Y202" s="179">
        <f t="shared" si="68"/>
        <v>215.07637095901114</v>
      </c>
      <c r="Z202" s="74"/>
      <c r="AA202" s="84">
        <f t="shared" si="69"/>
        <v>2422432.0244418457</v>
      </c>
      <c r="AB202" s="132">
        <f t="shared" si="70"/>
        <v>126.848825702563</v>
      </c>
      <c r="AD202" s="180">
        <v>-2342879.3679168504</v>
      </c>
      <c r="AE202" s="187">
        <v>-2081169.399232677</v>
      </c>
      <c r="AF202" s="187">
        <v>-1815504.6658465979</v>
      </c>
      <c r="AG202" s="187">
        <v>-1551779.6598769273</v>
      </c>
      <c r="AH202" s="188">
        <v>-1283967.1351740761</v>
      </c>
      <c r="AJ202" s="74">
        <f t="shared" si="71"/>
        <v>43262260.759277418</v>
      </c>
      <c r="AK202" s="74">
        <f t="shared" si="72"/>
        <v>3183078.3238999993</v>
      </c>
      <c r="AL202" s="74">
        <f t="shared" si="73"/>
        <v>27149876.052947409</v>
      </c>
      <c r="AM202" s="74">
        <f t="shared" si="74"/>
        <v>87643880.047520772</v>
      </c>
      <c r="AN202" s="74">
        <f t="shared" si="75"/>
        <v>-2342879.3679168504</v>
      </c>
      <c r="AO202" s="74">
        <f t="shared" si="76"/>
        <v>-2081169.399232677</v>
      </c>
      <c r="AP202" s="74">
        <f t="shared" si="77"/>
        <v>-1815504.6658465979</v>
      </c>
      <c r="AQ202" s="74">
        <f t="shared" si="78"/>
        <v>-1551779.6598769273</v>
      </c>
      <c r="AR202" s="74">
        <f t="shared" si="79"/>
        <v>-1283967.1351740761</v>
      </c>
      <c r="AS202" s="75">
        <v>6763</v>
      </c>
      <c r="AT202" s="75"/>
      <c r="AU202" s="75"/>
      <c r="AV202" s="75">
        <v>168</v>
      </c>
      <c r="AW202" s="75">
        <v>25772.077587474938</v>
      </c>
      <c r="AX202" s="75">
        <v>-592.21109033365394</v>
      </c>
      <c r="AY202" s="75">
        <v>7007.6556859291477</v>
      </c>
      <c r="AZ202" s="316"/>
      <c r="BA202" s="74"/>
      <c r="BB202" s="74"/>
      <c r="BC202" s="74"/>
      <c r="BD202" s="74"/>
      <c r="BE202" s="74"/>
      <c r="BF202" s="74"/>
      <c r="BG202" s="74"/>
      <c r="BM202" s="316"/>
      <c r="BN202" s="74">
        <v>50764233.952479228</v>
      </c>
      <c r="BO202" s="74">
        <v>85418443</v>
      </c>
      <c r="BP202" s="74">
        <v>88155000</v>
      </c>
      <c r="BQ202" s="74">
        <v>2489919</v>
      </c>
      <c r="BR202" s="74">
        <v>2800000</v>
      </c>
      <c r="BS202" s="406">
        <f t="shared" si="80"/>
        <v>0.58101551601325352</v>
      </c>
      <c r="BT202" s="406">
        <f t="shared" si="81"/>
        <v>0.33333333333333326</v>
      </c>
      <c r="BU202" s="74">
        <f t="shared" si="82"/>
        <v>29333074.770722568</v>
      </c>
      <c r="BV202" s="316"/>
      <c r="BW202" s="74">
        <v>138408114</v>
      </c>
      <c r="BX202" s="74">
        <v>50764233.952479228</v>
      </c>
      <c r="BY202" s="74">
        <v>91034156.853924885</v>
      </c>
      <c r="BZ202" s="74">
        <v>44588817.770747475</v>
      </c>
      <c r="CA202" s="74">
        <f t="shared" si="83"/>
        <v>-4824456.9681540029</v>
      </c>
      <c r="CB202" s="74">
        <f t="shared" si="84"/>
        <v>215.07637095901035</v>
      </c>
      <c r="CC202" s="74">
        <f t="shared" si="85"/>
        <v>341.92519666157324</v>
      </c>
      <c r="CD202" s="74">
        <f t="shared" si="86"/>
        <v>126.84882570256289</v>
      </c>
      <c r="CE202" s="74">
        <f t="shared" si="87"/>
        <v>-108.97886575025788</v>
      </c>
      <c r="CF202" s="74">
        <f t="shared" si="88"/>
        <v>-95.067532379253066</v>
      </c>
      <c r="CG202" s="74">
        <f t="shared" si="89"/>
        <v>-81.257771371258585</v>
      </c>
      <c r="CH202" s="74">
        <f t="shared" si="90"/>
        <v>-67.233970528044921</v>
      </c>
      <c r="CI202" s="74">
        <f t="shared" si="91"/>
        <v>-2081169.3992326749</v>
      </c>
      <c r="CJ202" s="74">
        <f t="shared" si="92"/>
        <v>-1815504.6658465958</v>
      </c>
      <c r="CK202" s="74">
        <f t="shared" si="93"/>
        <v>-1551779.6598769252</v>
      </c>
      <c r="CL202" s="74">
        <f t="shared" si="94"/>
        <v>-1283967.1351740737</v>
      </c>
      <c r="CM202" s="316"/>
      <c r="CN202" s="74">
        <v>75020.024321248697</v>
      </c>
      <c r="CO202" s="74">
        <v>10363.510822</v>
      </c>
    </row>
    <row r="203" spans="1:93" x14ac:dyDescent="0.2">
      <c r="A203" s="74">
        <v>599</v>
      </c>
      <c r="B203" s="74" t="s">
        <v>576</v>
      </c>
      <c r="C203" s="74">
        <v>15</v>
      </c>
      <c r="D203" s="74">
        <v>11172</v>
      </c>
      <c r="E203" s="89">
        <v>32314923.911107644</v>
      </c>
      <c r="F203" s="74">
        <v>14667579.482466962</v>
      </c>
      <c r="G203" s="74">
        <v>2599712.1891000005</v>
      </c>
      <c r="H203" s="74">
        <v>2479649.2488000002</v>
      </c>
      <c r="I203" s="74">
        <v>17527469.466187034</v>
      </c>
      <c r="J203" s="74">
        <v>1988318.7222106038</v>
      </c>
      <c r="K203" s="74">
        <v>-2312518.0982698658</v>
      </c>
      <c r="L203" s="74">
        <v>-853420</v>
      </c>
      <c r="M203" s="75">
        <v>104700</v>
      </c>
      <c r="N203" s="75">
        <v>93823.392497485387</v>
      </c>
      <c r="O203" s="178">
        <f t="shared" si="65"/>
        <v>3980390.4918845743</v>
      </c>
      <c r="P203" s="179">
        <f t="shared" si="66"/>
        <v>356.28271499145848</v>
      </c>
      <c r="Q203" s="74"/>
      <c r="R203" s="89">
        <v>71345907.879999995</v>
      </c>
      <c r="S203" s="74">
        <v>34593794.334633745</v>
      </c>
      <c r="T203" s="74">
        <v>3719473.8732000003</v>
      </c>
      <c r="U203" s="74">
        <v>26360091.622693948</v>
      </c>
      <c r="V203" s="74">
        <v>6631311.6302915737</v>
      </c>
      <c r="W203" s="74">
        <v>1850992.1891000005</v>
      </c>
      <c r="X203" s="178">
        <f t="shared" si="67"/>
        <v>1809755.7699192762</v>
      </c>
      <c r="Y203" s="179">
        <f t="shared" si="68"/>
        <v>161.99031238088759</v>
      </c>
      <c r="Z203" s="74"/>
      <c r="AA203" s="84">
        <f t="shared" si="69"/>
        <v>2170634.7219652981</v>
      </c>
      <c r="AB203" s="132">
        <f t="shared" si="70"/>
        <v>194.29240261057089</v>
      </c>
      <c r="AD203" s="180">
        <v>-2124095.3556408961</v>
      </c>
      <c r="AE203" s="187">
        <v>-1970991.5293781541</v>
      </c>
      <c r="AF203" s="187">
        <v>-1815574.1129572883</v>
      </c>
      <c r="AG203" s="187">
        <v>-1661291.4629759737</v>
      </c>
      <c r="AH203" s="188">
        <v>-1504617.5599555909</v>
      </c>
      <c r="AJ203" s="74">
        <f t="shared" si="71"/>
        <v>19926214.852166783</v>
      </c>
      <c r="AK203" s="74">
        <f t="shared" si="72"/>
        <v>1239824.6244000001</v>
      </c>
      <c r="AL203" s="74">
        <f t="shared" si="73"/>
        <v>8832622.1565069146</v>
      </c>
      <c r="AM203" s="74">
        <f t="shared" si="74"/>
        <v>39030983.968892351</v>
      </c>
      <c r="AN203" s="74">
        <f t="shared" si="75"/>
        <v>-2124095.3556408961</v>
      </c>
      <c r="AO203" s="74">
        <f t="shared" si="76"/>
        <v>-1970991.5293781541</v>
      </c>
      <c r="AP203" s="74">
        <f t="shared" si="77"/>
        <v>-1815574.1129572883</v>
      </c>
      <c r="AQ203" s="74">
        <f t="shared" si="78"/>
        <v>-1661291.4629759737</v>
      </c>
      <c r="AR203" s="74">
        <f t="shared" si="79"/>
        <v>-1504617.5599555909</v>
      </c>
      <c r="AS203" s="75">
        <v>3187</v>
      </c>
      <c r="AT203" s="75"/>
      <c r="AU203" s="75"/>
      <c r="AV203" s="75">
        <v>0</v>
      </c>
      <c r="AW203" s="75">
        <v>5245.0109345001356</v>
      </c>
      <c r="AX203" s="75">
        <v>-4221.4141912494442</v>
      </c>
      <c r="AY203" s="75">
        <v>4642.9929080809698</v>
      </c>
      <c r="AZ203" s="316"/>
      <c r="BA203" s="74"/>
      <c r="BB203" s="74"/>
      <c r="BC203" s="74"/>
      <c r="BD203" s="74"/>
      <c r="BE203" s="74"/>
      <c r="BF203" s="74"/>
      <c r="BG203" s="74"/>
      <c r="BM203" s="316"/>
      <c r="BN203" s="74">
        <v>32314923.911107644</v>
      </c>
      <c r="BO203" s="74">
        <v>36195760.909999996</v>
      </c>
      <c r="BP203" s="74">
        <v>38501000</v>
      </c>
      <c r="BQ203" s="74">
        <v>850662.87</v>
      </c>
      <c r="BR203" s="74">
        <v>881000</v>
      </c>
      <c r="BS203" s="406">
        <f t="shared" si="80"/>
        <v>0.57600547252538747</v>
      </c>
      <c r="BT203" s="406">
        <f t="shared" si="81"/>
        <v>0.33333333333333337</v>
      </c>
      <c r="BU203" s="74">
        <f t="shared" si="82"/>
        <v>11163096.966318019</v>
      </c>
      <c r="BV203" s="316"/>
      <c r="BW203" s="74">
        <v>71345907.879999995</v>
      </c>
      <c r="BX203" s="74">
        <v>32314923.911107644</v>
      </c>
      <c r="BY203" s="74">
        <v>40912980.396933742</v>
      </c>
      <c r="BZ203" s="74">
        <v>19746940.920366965</v>
      </c>
      <c r="CA203" s="74">
        <f t="shared" si="83"/>
        <v>-2312518.0982698784</v>
      </c>
      <c r="CB203" s="74">
        <f t="shared" si="84"/>
        <v>161.99031238088722</v>
      </c>
      <c r="CC203" s="74">
        <f t="shared" si="85"/>
        <v>356.28271499145751</v>
      </c>
      <c r="CD203" s="74">
        <f t="shared" si="86"/>
        <v>194.29240261057029</v>
      </c>
      <c r="CE203" s="74">
        <f t="shared" si="87"/>
        <v>-176.42244265826528</v>
      </c>
      <c r="CF203" s="74">
        <f t="shared" si="88"/>
        <v>-162.51110928726047</v>
      </c>
      <c r="CG203" s="74">
        <f t="shared" si="89"/>
        <v>-148.70134827926597</v>
      </c>
      <c r="CH203" s="74">
        <f t="shared" si="90"/>
        <v>-134.67754743605232</v>
      </c>
      <c r="CI203" s="74">
        <f t="shared" si="91"/>
        <v>-1970991.5293781396</v>
      </c>
      <c r="CJ203" s="74">
        <f t="shared" si="92"/>
        <v>-1815574.1129572738</v>
      </c>
      <c r="CK203" s="74">
        <f t="shared" si="93"/>
        <v>-1661291.4629759595</v>
      </c>
      <c r="CL203" s="74">
        <f t="shared" si="94"/>
        <v>-1504617.5599555764</v>
      </c>
      <c r="CM203" s="316"/>
      <c r="CN203" s="74">
        <v>35771.816960780889</v>
      </c>
      <c r="CO203" s="74">
        <v>4036.638312</v>
      </c>
    </row>
    <row r="204" spans="1:93" x14ac:dyDescent="0.2">
      <c r="A204" s="74">
        <v>601</v>
      </c>
      <c r="B204" s="74" t="s">
        <v>325</v>
      </c>
      <c r="C204" s="74">
        <v>13</v>
      </c>
      <c r="D204" s="74">
        <v>3873</v>
      </c>
      <c r="E204" s="89">
        <v>12966633.775919732</v>
      </c>
      <c r="F204" s="74">
        <v>4437579.0772098405</v>
      </c>
      <c r="G204" s="74">
        <v>971358.00280000002</v>
      </c>
      <c r="H204" s="74">
        <v>1513723.3842</v>
      </c>
      <c r="I204" s="74">
        <v>3339218.9046204011</v>
      </c>
      <c r="J204" s="74">
        <v>856491.78896844154</v>
      </c>
      <c r="K204" s="74">
        <v>1213531.6001117597</v>
      </c>
      <c r="L204" s="74">
        <v>419846</v>
      </c>
      <c r="M204" s="75">
        <v>131485</v>
      </c>
      <c r="N204" s="75">
        <v>29624.729678091317</v>
      </c>
      <c r="O204" s="178">
        <f t="shared" si="65"/>
        <v>-53775.288331195712</v>
      </c>
      <c r="P204" s="179">
        <f t="shared" si="66"/>
        <v>-13.884660039038398</v>
      </c>
      <c r="Q204" s="74"/>
      <c r="R204" s="89">
        <v>32346270</v>
      </c>
      <c r="S204" s="74">
        <v>10363892.882797221</v>
      </c>
      <c r="T204" s="74">
        <v>2270585.0763000003</v>
      </c>
      <c r="U204" s="74">
        <v>16013468.756880181</v>
      </c>
      <c r="V204" s="74">
        <v>2856515.8583433931</v>
      </c>
      <c r="W204" s="74">
        <v>1522689.0027999999</v>
      </c>
      <c r="X204" s="178">
        <f t="shared" si="67"/>
        <v>680881.57712079585</v>
      </c>
      <c r="Y204" s="179">
        <f t="shared" si="68"/>
        <v>175.80211131443218</v>
      </c>
      <c r="Z204" s="74"/>
      <c r="AA204" s="84">
        <f t="shared" si="69"/>
        <v>-734656.86545199156</v>
      </c>
      <c r="AB204" s="132">
        <f t="shared" si="70"/>
        <v>-189.68677135347059</v>
      </c>
      <c r="AD204" s="180">
        <v>750790.67907304573</v>
      </c>
      <c r="AE204" s="187">
        <v>687677.22034726688</v>
      </c>
      <c r="AF204" s="187">
        <v>625365.81449316861</v>
      </c>
      <c r="AG204" s="187">
        <v>562661.01887713128</v>
      </c>
      <c r="AH204" s="188">
        <v>500785.1995428977</v>
      </c>
      <c r="AJ204" s="74">
        <f t="shared" si="71"/>
        <v>5926313.8055873802</v>
      </c>
      <c r="AK204" s="74">
        <f t="shared" si="72"/>
        <v>756861.69210000033</v>
      </c>
      <c r="AL204" s="74">
        <f t="shared" si="73"/>
        <v>12674249.852259779</v>
      </c>
      <c r="AM204" s="74">
        <f t="shared" si="74"/>
        <v>19379636.224080268</v>
      </c>
      <c r="AN204" s="74">
        <f t="shared" si="75"/>
        <v>750790.67907304573</v>
      </c>
      <c r="AO204" s="74">
        <f t="shared" si="76"/>
        <v>687677.22034726688</v>
      </c>
      <c r="AP204" s="74">
        <f t="shared" si="77"/>
        <v>625365.81449316861</v>
      </c>
      <c r="AQ204" s="74">
        <f t="shared" si="78"/>
        <v>562661.01887713128</v>
      </c>
      <c r="AR204" s="74">
        <f t="shared" si="79"/>
        <v>500785.1995428977</v>
      </c>
      <c r="AS204" s="75">
        <v>1722</v>
      </c>
      <c r="AT204" s="75"/>
      <c r="AU204" s="75"/>
      <c r="AV204" s="75">
        <v>66</v>
      </c>
      <c r="AW204" s="75">
        <v>10552.565894188761</v>
      </c>
      <c r="AX204" s="75">
        <v>-2197.7284629260776</v>
      </c>
      <c r="AY204" s="75">
        <v>2000.0240693749515</v>
      </c>
      <c r="AZ204" s="316"/>
      <c r="BA204" s="74"/>
      <c r="BB204" s="74"/>
      <c r="BC204" s="74"/>
      <c r="BD204" s="74"/>
      <c r="BE204" s="74"/>
      <c r="BF204" s="74"/>
      <c r="BG204" s="74"/>
      <c r="BM204" s="316"/>
      <c r="BN204" s="74">
        <v>12966633.775919732</v>
      </c>
      <c r="BO204" s="74">
        <v>18305290.16</v>
      </c>
      <c r="BP204" s="74">
        <v>20517000</v>
      </c>
      <c r="BQ204" s="74">
        <v>430830.69999999995</v>
      </c>
      <c r="BR204" s="74">
        <v>338000</v>
      </c>
      <c r="BS204" s="406">
        <f t="shared" si="80"/>
        <v>0.57182314335034545</v>
      </c>
      <c r="BT204" s="406">
        <f t="shared" si="81"/>
        <v>0.33333333333333348</v>
      </c>
      <c r="BU204" s="74">
        <f t="shared" si="82"/>
        <v>15887805.521746494</v>
      </c>
      <c r="BV204" s="316"/>
      <c r="BW204" s="74">
        <v>32346270</v>
      </c>
      <c r="BX204" s="74">
        <v>12966633.775919732</v>
      </c>
      <c r="BY204" s="74">
        <v>13605835.961897222</v>
      </c>
      <c r="BZ204" s="74">
        <v>6922660.4642098406</v>
      </c>
      <c r="CA204" s="74">
        <f t="shared" si="83"/>
        <v>1213531.6001117565</v>
      </c>
      <c r="CB204" s="74">
        <f t="shared" si="84"/>
        <v>175.8021113144311</v>
      </c>
      <c r="CC204" s="74">
        <f t="shared" si="85"/>
        <v>-13.88466003903943</v>
      </c>
      <c r="CD204" s="74">
        <f t="shared" si="86"/>
        <v>-189.68677135347053</v>
      </c>
      <c r="CE204" s="74">
        <f t="shared" si="87"/>
        <v>177.55673130577554</v>
      </c>
      <c r="CF204" s="74">
        <f t="shared" si="88"/>
        <v>161.46806467678036</v>
      </c>
      <c r="CG204" s="74">
        <f t="shared" si="89"/>
        <v>145.27782568477485</v>
      </c>
      <c r="CH204" s="74">
        <f t="shared" si="90"/>
        <v>129.3016265279885</v>
      </c>
      <c r="CI204" s="74">
        <f t="shared" si="91"/>
        <v>687677.22034726862</v>
      </c>
      <c r="CJ204" s="74">
        <f t="shared" si="92"/>
        <v>625365.81449317036</v>
      </c>
      <c r="CK204" s="74">
        <f t="shared" si="93"/>
        <v>562661.01887713303</v>
      </c>
      <c r="CL204" s="74">
        <f t="shared" si="94"/>
        <v>500785.1995428995</v>
      </c>
      <c r="CM204" s="316"/>
      <c r="CN204" s="74">
        <v>10543.584124197634</v>
      </c>
      <c r="CO204" s="74">
        <v>2464.2008579999997</v>
      </c>
    </row>
    <row r="205" spans="1:93" x14ac:dyDescent="0.2">
      <c r="A205" s="74">
        <v>604</v>
      </c>
      <c r="B205" s="74" t="s">
        <v>326</v>
      </c>
      <c r="C205" s="74">
        <v>6</v>
      </c>
      <c r="D205" s="74">
        <v>20206</v>
      </c>
      <c r="E205" s="89">
        <v>62552046.249254949</v>
      </c>
      <c r="F205" s="74">
        <v>35700243.72997845</v>
      </c>
      <c r="G205" s="74">
        <v>6205034.8389999997</v>
      </c>
      <c r="H205" s="74">
        <v>4988591.2155999998</v>
      </c>
      <c r="I205" s="74">
        <v>11597782.343589213</v>
      </c>
      <c r="J205" s="74">
        <v>2096124.0136128897</v>
      </c>
      <c r="K205" s="74">
        <v>3224678.1876852023</v>
      </c>
      <c r="L205" s="74">
        <v>-2325320</v>
      </c>
      <c r="M205" s="75">
        <v>-782000</v>
      </c>
      <c r="N205" s="75">
        <v>257517.90546991793</v>
      </c>
      <c r="O205" s="178">
        <f t="shared" si="65"/>
        <v>-1589394.0143192783</v>
      </c>
      <c r="P205" s="179">
        <f t="shared" si="66"/>
        <v>-78.659507785770472</v>
      </c>
      <c r="Q205" s="74"/>
      <c r="R205" s="89">
        <v>123872517</v>
      </c>
      <c r="S205" s="74">
        <v>91300566.191389292</v>
      </c>
      <c r="T205" s="74">
        <v>7482886.8234000001</v>
      </c>
      <c r="U205" s="74">
        <v>15053699.692705134</v>
      </c>
      <c r="V205" s="74">
        <v>6990856.8454008186</v>
      </c>
      <c r="W205" s="74">
        <v>3097714.8389999997</v>
      </c>
      <c r="X205" s="178">
        <f t="shared" si="67"/>
        <v>53207.391895234585</v>
      </c>
      <c r="Y205" s="179">
        <f t="shared" si="68"/>
        <v>2.6332471491257343</v>
      </c>
      <c r="Z205" s="74"/>
      <c r="AA205" s="84">
        <f t="shared" si="69"/>
        <v>-1642601.4062145129</v>
      </c>
      <c r="AB205" s="132">
        <f t="shared" si="70"/>
        <v>-81.292754934896209</v>
      </c>
      <c r="AD205" s="180">
        <v>1726773.8405102016</v>
      </c>
      <c r="AE205" s="187">
        <v>1397501.817010825</v>
      </c>
      <c r="AF205" s="187">
        <v>1072414.2191053485</v>
      </c>
      <c r="AG205" s="187">
        <v>745274.25003288512</v>
      </c>
      <c r="AH205" s="188">
        <v>422459.16987086006</v>
      </c>
      <c r="AJ205" s="74">
        <f t="shared" si="71"/>
        <v>55600322.461410843</v>
      </c>
      <c r="AK205" s="74">
        <f t="shared" si="72"/>
        <v>2494295.6078000003</v>
      </c>
      <c r="AL205" s="74">
        <f t="shared" si="73"/>
        <v>3455917.3491159212</v>
      </c>
      <c r="AM205" s="74">
        <f t="shared" si="74"/>
        <v>61320470.750745051</v>
      </c>
      <c r="AN205" s="74">
        <f t="shared" si="75"/>
        <v>1726773.8405102016</v>
      </c>
      <c r="AO205" s="74">
        <f t="shared" si="76"/>
        <v>1397501.817010825</v>
      </c>
      <c r="AP205" s="74">
        <f t="shared" si="77"/>
        <v>1072414.2191053485</v>
      </c>
      <c r="AQ205" s="74">
        <f t="shared" si="78"/>
        <v>745274.25003288512</v>
      </c>
      <c r="AR205" s="74">
        <f t="shared" si="79"/>
        <v>422459.16987086006</v>
      </c>
      <c r="AS205" s="75">
        <v>14237</v>
      </c>
      <c r="AT205" s="75"/>
      <c r="AU205" s="75"/>
      <c r="AV205" s="75">
        <v>99</v>
      </c>
      <c r="AW205" s="75">
        <v>7953.5561239453182</v>
      </c>
      <c r="AX205" s="75">
        <v>3981.6883363613988</v>
      </c>
      <c r="AY205" s="75">
        <v>4894.7328317879292</v>
      </c>
      <c r="AZ205" s="316"/>
      <c r="BA205" s="74"/>
      <c r="BB205" s="74"/>
      <c r="BC205" s="74"/>
      <c r="BD205" s="74"/>
      <c r="BE205" s="74"/>
      <c r="BF205" s="74"/>
      <c r="BG205" s="74"/>
      <c r="BM205" s="316"/>
      <c r="BN205" s="74">
        <v>62552046.249254949</v>
      </c>
      <c r="BO205" s="74">
        <v>58370941.330000013</v>
      </c>
      <c r="BP205" s="74">
        <v>63064000</v>
      </c>
      <c r="BQ205" s="74">
        <v>1520813.85</v>
      </c>
      <c r="BR205" s="74">
        <v>1561000</v>
      </c>
      <c r="BS205" s="406">
        <f t="shared" si="80"/>
        <v>0.60898113539469589</v>
      </c>
      <c r="BT205" s="406">
        <f t="shared" si="81"/>
        <v>0.33333333333333337</v>
      </c>
      <c r="BU205" s="74">
        <f t="shared" si="82"/>
        <v>11575328.368589055</v>
      </c>
      <c r="BV205" s="316"/>
      <c r="BW205" s="74">
        <v>123872517</v>
      </c>
      <c r="BX205" s="74">
        <v>62552046.249254949</v>
      </c>
      <c r="BY205" s="74">
        <v>104988487.8537893</v>
      </c>
      <c r="BZ205" s="74">
        <v>46893869.78457845</v>
      </c>
      <c r="CA205" s="74">
        <f t="shared" si="83"/>
        <v>3224678.1876851968</v>
      </c>
      <c r="CB205" s="74">
        <f t="shared" si="84"/>
        <v>2.6332471491261491</v>
      </c>
      <c r="CC205" s="74">
        <f t="shared" si="85"/>
        <v>-78.659507785770671</v>
      </c>
      <c r="CD205" s="74">
        <f t="shared" si="86"/>
        <v>-81.29275493489682</v>
      </c>
      <c r="CE205" s="74">
        <f t="shared" si="87"/>
        <v>69.16271488720183</v>
      </c>
      <c r="CF205" s="74">
        <f t="shared" si="88"/>
        <v>53.074048258206645</v>
      </c>
      <c r="CG205" s="74">
        <f t="shared" si="89"/>
        <v>36.883809266201133</v>
      </c>
      <c r="CH205" s="74">
        <f t="shared" si="90"/>
        <v>20.907610109414783</v>
      </c>
      <c r="CI205" s="74">
        <f t="shared" si="91"/>
        <v>1397501.8170108001</v>
      </c>
      <c r="CJ205" s="74">
        <f t="shared" si="92"/>
        <v>1072414.2191053235</v>
      </c>
      <c r="CK205" s="74">
        <f t="shared" si="93"/>
        <v>745274.25003286009</v>
      </c>
      <c r="CL205" s="74">
        <f t="shared" si="94"/>
        <v>422459.16987083509</v>
      </c>
      <c r="CM205" s="316"/>
      <c r="CN205" s="74">
        <v>98110.872921403119</v>
      </c>
      <c r="CO205" s="74">
        <v>8120.9624439999998</v>
      </c>
    </row>
    <row r="206" spans="1:93" x14ac:dyDescent="0.2">
      <c r="A206" s="74">
        <v>607</v>
      </c>
      <c r="B206" s="74" t="s">
        <v>327</v>
      </c>
      <c r="C206" s="74">
        <v>12</v>
      </c>
      <c r="D206" s="74">
        <v>4161</v>
      </c>
      <c r="E206" s="89">
        <v>10414095.606474992</v>
      </c>
      <c r="F206" s="74">
        <v>4064748.6413745098</v>
      </c>
      <c r="G206" s="74">
        <v>919745.4412</v>
      </c>
      <c r="H206" s="74">
        <v>1049677.0248</v>
      </c>
      <c r="I206" s="74">
        <v>2934243.7072418975</v>
      </c>
      <c r="J206" s="74">
        <v>937167.34298248449</v>
      </c>
      <c r="K206" s="74">
        <v>5553.6146347195299</v>
      </c>
      <c r="L206" s="74">
        <v>-585937</v>
      </c>
      <c r="M206" s="75">
        <v>164867</v>
      </c>
      <c r="N206" s="75">
        <v>28807.714921043254</v>
      </c>
      <c r="O206" s="178">
        <f t="shared" si="65"/>
        <v>-895222.11932033673</v>
      </c>
      <c r="P206" s="179">
        <f t="shared" si="66"/>
        <v>-215.14590707049669</v>
      </c>
      <c r="Q206" s="74"/>
      <c r="R206" s="89">
        <v>30271065</v>
      </c>
      <c r="S206" s="74">
        <v>10038771.607094964</v>
      </c>
      <c r="T206" s="74">
        <v>1574515.5372000001</v>
      </c>
      <c r="U206" s="74">
        <v>14321145.454780858</v>
      </c>
      <c r="V206" s="74">
        <v>3125579.7330821194</v>
      </c>
      <c r="W206" s="74">
        <v>498675.4412</v>
      </c>
      <c r="X206" s="178">
        <f t="shared" si="67"/>
        <v>-712377.2266420573</v>
      </c>
      <c r="Y206" s="179">
        <f t="shared" si="68"/>
        <v>-171.20337097862469</v>
      </c>
      <c r="Z206" s="74"/>
      <c r="AA206" s="84">
        <f t="shared" si="69"/>
        <v>-182844.89267827943</v>
      </c>
      <c r="AB206" s="132">
        <f t="shared" si="70"/>
        <v>-43.942536091872007</v>
      </c>
      <c r="AD206" s="180">
        <v>200178.43217665641</v>
      </c>
      <c r="AE206" s="187">
        <v>132371.79603982053</v>
      </c>
      <c r="AF206" s="187">
        <v>65426.854196571585</v>
      </c>
      <c r="AG206" s="187">
        <v>2459.3770725572417</v>
      </c>
      <c r="AH206" s="188">
        <v>-1602.5876188307495</v>
      </c>
      <c r="AJ206" s="74">
        <f t="shared" si="71"/>
        <v>5974022.9657204542</v>
      </c>
      <c r="AK206" s="74">
        <f t="shared" si="72"/>
        <v>524838.51240000012</v>
      </c>
      <c r="AL206" s="74">
        <f t="shared" si="73"/>
        <v>11386901.747538961</v>
      </c>
      <c r="AM206" s="74">
        <f t="shared" si="74"/>
        <v>19856969.393525008</v>
      </c>
      <c r="AN206" s="74">
        <f t="shared" si="75"/>
        <v>200178.43217665641</v>
      </c>
      <c r="AO206" s="74">
        <f t="shared" si="76"/>
        <v>132371.79603982053</v>
      </c>
      <c r="AP206" s="74">
        <f t="shared" si="77"/>
        <v>65426.854196571585</v>
      </c>
      <c r="AQ206" s="74">
        <f t="shared" si="78"/>
        <v>2459.3770725572417</v>
      </c>
      <c r="AR206" s="74">
        <f t="shared" si="79"/>
        <v>-1602.5876188307495</v>
      </c>
      <c r="AS206" s="75">
        <v>1591</v>
      </c>
      <c r="AT206" s="75"/>
      <c r="AU206" s="75"/>
      <c r="AV206" s="75">
        <v>0</v>
      </c>
      <c r="AW206" s="75">
        <v>8529.8898824898151</v>
      </c>
      <c r="AX206" s="75">
        <v>-2679.6746346803079</v>
      </c>
      <c r="AY206" s="75">
        <v>2188.4123900996351</v>
      </c>
      <c r="AZ206" s="316"/>
      <c r="BA206" s="74"/>
      <c r="BB206" s="74"/>
      <c r="BC206" s="74"/>
      <c r="BD206" s="74"/>
      <c r="BE206" s="74"/>
      <c r="BF206" s="74"/>
      <c r="BG206" s="74"/>
      <c r="BM206" s="316"/>
      <c r="BN206" s="74">
        <v>10414095.606474992</v>
      </c>
      <c r="BO206" s="74">
        <v>18998753.550000001</v>
      </c>
      <c r="BP206" s="74">
        <v>21234000</v>
      </c>
      <c r="BQ206" s="74">
        <v>361848</v>
      </c>
      <c r="BR206" s="74">
        <v>547000</v>
      </c>
      <c r="BS206" s="406">
        <f t="shared" si="80"/>
        <v>0.59509501755157745</v>
      </c>
      <c r="BT206" s="406">
        <f t="shared" si="81"/>
        <v>0.33333333333333337</v>
      </c>
      <c r="BU206" s="74">
        <f t="shared" si="82"/>
        <v>13580867.752273314</v>
      </c>
      <c r="BV206" s="316"/>
      <c r="BW206" s="74">
        <v>30271065</v>
      </c>
      <c r="BX206" s="74">
        <v>10414095.606474992</v>
      </c>
      <c r="BY206" s="74">
        <v>12533032.585494963</v>
      </c>
      <c r="BZ206" s="74">
        <v>6034171.1073745098</v>
      </c>
      <c r="CA206" s="74">
        <f t="shared" si="83"/>
        <v>5553.6146347155955</v>
      </c>
      <c r="CB206" s="74">
        <f t="shared" si="84"/>
        <v>-171.20337097862452</v>
      </c>
      <c r="CC206" s="74">
        <f t="shared" si="85"/>
        <v>-215.1459070704978</v>
      </c>
      <c r="CD206" s="74">
        <f t="shared" si="86"/>
        <v>-43.942536091873279</v>
      </c>
      <c r="CE206" s="74">
        <f t="shared" si="87"/>
        <v>31.812496044178285</v>
      </c>
      <c r="CF206" s="74">
        <f t="shared" si="88"/>
        <v>15.723829415183106</v>
      </c>
      <c r="CG206" s="74">
        <f t="shared" si="89"/>
        <v>0.59105433130431184</v>
      </c>
      <c r="CH206" s="74">
        <f t="shared" si="90"/>
        <v>-0.38514482548203544</v>
      </c>
      <c r="CI206" s="74">
        <f t="shared" si="91"/>
        <v>132371.79603982586</v>
      </c>
      <c r="CJ206" s="74">
        <f t="shared" si="92"/>
        <v>65426.854196576904</v>
      </c>
      <c r="CK206" s="74">
        <f t="shared" si="93"/>
        <v>2459.3770725572417</v>
      </c>
      <c r="CL206" s="74">
        <f t="shared" si="94"/>
        <v>-1602.5876188307495</v>
      </c>
      <c r="CM206" s="316"/>
      <c r="CN206" s="74">
        <v>10167.512301836185</v>
      </c>
      <c r="CO206" s="74">
        <v>1708.776552</v>
      </c>
    </row>
    <row r="207" spans="1:93" x14ac:dyDescent="0.2">
      <c r="A207" s="74">
        <v>608</v>
      </c>
      <c r="B207" s="74" t="s">
        <v>328</v>
      </c>
      <c r="C207" s="74">
        <v>4</v>
      </c>
      <c r="D207" s="74">
        <v>2013</v>
      </c>
      <c r="E207" s="89">
        <v>6389358.9027404152</v>
      </c>
      <c r="F207" s="74">
        <v>2674295.5646393532</v>
      </c>
      <c r="G207" s="74">
        <v>561195.56999999995</v>
      </c>
      <c r="H207" s="74">
        <v>487595.0772</v>
      </c>
      <c r="I207" s="74">
        <v>1413106.8610460863</v>
      </c>
      <c r="J207" s="74">
        <v>422397.33472889429</v>
      </c>
      <c r="K207" s="74">
        <v>43624.965495833691</v>
      </c>
      <c r="L207" s="74">
        <v>378114</v>
      </c>
      <c r="M207" s="75">
        <v>-34500</v>
      </c>
      <c r="N207" s="75">
        <v>16551.872124858503</v>
      </c>
      <c r="O207" s="178">
        <f t="shared" si="65"/>
        <v>-426977.6575053893</v>
      </c>
      <c r="P207" s="179">
        <f t="shared" si="66"/>
        <v>-212.11011301807716</v>
      </c>
      <c r="Q207" s="74"/>
      <c r="R207" s="89">
        <v>15811314.52</v>
      </c>
      <c r="S207" s="74">
        <v>6164509.0171174034</v>
      </c>
      <c r="T207" s="74">
        <v>731392.61580000003</v>
      </c>
      <c r="U207" s="74">
        <v>6167153.867796082</v>
      </c>
      <c r="V207" s="74">
        <v>1408752.1920417699</v>
      </c>
      <c r="W207" s="74">
        <v>904809.57</v>
      </c>
      <c r="X207" s="178">
        <f t="shared" si="67"/>
        <v>-434697.25724474341</v>
      </c>
      <c r="Y207" s="179">
        <f t="shared" si="68"/>
        <v>-215.94498621199375</v>
      </c>
      <c r="Z207" s="74"/>
      <c r="AA207" s="84">
        <f t="shared" si="69"/>
        <v>7719.5997393541038</v>
      </c>
      <c r="AB207" s="132">
        <f t="shared" si="70"/>
        <v>3.8348731939165939</v>
      </c>
      <c r="AD207" s="180">
        <v>665.98425733730028</v>
      </c>
      <c r="AE207" s="187">
        <v>5777.2293839899748</v>
      </c>
      <c r="AF207" s="187">
        <v>3585.7434598226801</v>
      </c>
      <c r="AG207" s="187">
        <v>1189.7923689155798</v>
      </c>
      <c r="AH207" s="188">
        <v>-775.2965336953373</v>
      </c>
      <c r="AJ207" s="74">
        <f t="shared" si="71"/>
        <v>3490213.4524780503</v>
      </c>
      <c r="AK207" s="74">
        <f t="shared" si="72"/>
        <v>243797.53860000003</v>
      </c>
      <c r="AL207" s="74">
        <f t="shared" si="73"/>
        <v>4754047.006749996</v>
      </c>
      <c r="AM207" s="74">
        <f t="shared" si="74"/>
        <v>9421955.6172595844</v>
      </c>
      <c r="AN207" s="74">
        <f t="shared" si="75"/>
        <v>665.98425733730028</v>
      </c>
      <c r="AO207" s="74">
        <f t="shared" si="76"/>
        <v>5777.2293839899748</v>
      </c>
      <c r="AP207" s="74">
        <f t="shared" si="77"/>
        <v>3585.7434598226801</v>
      </c>
      <c r="AQ207" s="74">
        <f t="shared" si="78"/>
        <v>1189.7923689155798</v>
      </c>
      <c r="AR207" s="74">
        <f t="shared" si="79"/>
        <v>-775.2965336953373</v>
      </c>
      <c r="AS207" s="75">
        <v>543</v>
      </c>
      <c r="AT207" s="75"/>
      <c r="AU207" s="75"/>
      <c r="AV207" s="75">
        <v>1</v>
      </c>
      <c r="AW207" s="75">
        <v>3829.2013240391861</v>
      </c>
      <c r="AX207" s="75">
        <v>-962.52193413835323</v>
      </c>
      <c r="AY207" s="75">
        <v>986.35485731287554</v>
      </c>
      <c r="AZ207" s="316"/>
      <c r="BA207" s="74"/>
      <c r="BB207" s="74"/>
      <c r="BC207" s="74"/>
      <c r="BD207" s="74"/>
      <c r="BE207" s="74"/>
      <c r="BF207" s="74"/>
      <c r="BG207" s="74"/>
      <c r="BM207" s="316"/>
      <c r="BN207" s="74">
        <v>6389358.9027404152</v>
      </c>
      <c r="BO207" s="74">
        <v>8888689.4699999988</v>
      </c>
      <c r="BP207" s="74">
        <v>9646000</v>
      </c>
      <c r="BQ207" s="74">
        <v>276977.82</v>
      </c>
      <c r="BR207" s="74">
        <v>283000</v>
      </c>
      <c r="BS207" s="406">
        <f t="shared" si="80"/>
        <v>0.56617865961206992</v>
      </c>
      <c r="BT207" s="406">
        <f t="shared" si="81"/>
        <v>0.33333333333333337</v>
      </c>
      <c r="BU207" s="74">
        <f t="shared" si="82"/>
        <v>5784026.829558705</v>
      </c>
      <c r="BV207" s="316"/>
      <c r="BW207" s="74">
        <v>15811314.52</v>
      </c>
      <c r="BX207" s="74">
        <v>6389358.9027404152</v>
      </c>
      <c r="BY207" s="74">
        <v>7457097.2029174035</v>
      </c>
      <c r="BZ207" s="74">
        <v>3723086.2118393532</v>
      </c>
      <c r="CA207" s="74">
        <f t="shared" si="83"/>
        <v>43624.965495832039</v>
      </c>
      <c r="CB207" s="74">
        <f t="shared" si="84"/>
        <v>-215.94498621199381</v>
      </c>
      <c r="CC207" s="74">
        <f t="shared" si="85"/>
        <v>-212.11011301807793</v>
      </c>
      <c r="CD207" s="74">
        <f t="shared" si="86"/>
        <v>3.8348731939158824</v>
      </c>
      <c r="CE207" s="74">
        <f t="shared" si="87"/>
        <v>2.8699599523050048</v>
      </c>
      <c r="CF207" s="74">
        <f t="shared" si="88"/>
        <v>1.7812933233098263</v>
      </c>
      <c r="CG207" s="74">
        <f t="shared" si="89"/>
        <v>0.59105433130431184</v>
      </c>
      <c r="CH207" s="74">
        <f t="shared" si="90"/>
        <v>-0.38514482548203544</v>
      </c>
      <c r="CI207" s="74">
        <f t="shared" si="91"/>
        <v>5777.2293839899748</v>
      </c>
      <c r="CJ207" s="74">
        <f t="shared" si="92"/>
        <v>3585.7434598226801</v>
      </c>
      <c r="CK207" s="74">
        <f t="shared" si="93"/>
        <v>1189.7923689155798</v>
      </c>
      <c r="CL207" s="74">
        <f t="shared" si="94"/>
        <v>-775.2965336953373</v>
      </c>
      <c r="CM207" s="316"/>
      <c r="CN207" s="74">
        <v>6247.3951421716965</v>
      </c>
      <c r="CO207" s="74">
        <v>793.75942799999996</v>
      </c>
    </row>
    <row r="208" spans="1:93" x14ac:dyDescent="0.2">
      <c r="A208" s="74">
        <v>609</v>
      </c>
      <c r="B208" s="74" t="s">
        <v>329</v>
      </c>
      <c r="C208" s="74">
        <v>4</v>
      </c>
      <c r="D208" s="74">
        <v>83482</v>
      </c>
      <c r="E208" s="89">
        <v>193856020.01085317</v>
      </c>
      <c r="F208" s="74">
        <v>126854118.99210446</v>
      </c>
      <c r="G208" s="74">
        <v>25780000.483599998</v>
      </c>
      <c r="H208" s="74">
        <v>14299971.751800001</v>
      </c>
      <c r="I208" s="74">
        <v>28686189.982821442</v>
      </c>
      <c r="J208" s="74">
        <v>13355621.612234168</v>
      </c>
      <c r="K208" s="74">
        <v>-13124890.693792341</v>
      </c>
      <c r="L208" s="74">
        <v>-5604125</v>
      </c>
      <c r="M208" s="75">
        <v>6021081</v>
      </c>
      <c r="N208" s="75">
        <v>829341.82224301738</v>
      </c>
      <c r="O208" s="178">
        <f t="shared" si="65"/>
        <v>3241289.9401575923</v>
      </c>
      <c r="P208" s="179">
        <f t="shared" si="66"/>
        <v>38.826213317332986</v>
      </c>
      <c r="Q208" s="74"/>
      <c r="R208" s="89">
        <v>545185500.89999998</v>
      </c>
      <c r="S208" s="74">
        <v>306799070.55021387</v>
      </c>
      <c r="T208" s="74">
        <v>21449957.627700001</v>
      </c>
      <c r="U208" s="74">
        <v>145742423.33060899</v>
      </c>
      <c r="V208" s="74">
        <v>44542802.89053227</v>
      </c>
      <c r="W208" s="74">
        <v>26196956.483599998</v>
      </c>
      <c r="X208" s="178">
        <f t="shared" si="67"/>
        <v>-454290.01734483242</v>
      </c>
      <c r="Y208" s="179">
        <f t="shared" si="68"/>
        <v>-5.441772086735253</v>
      </c>
      <c r="Z208" s="74"/>
      <c r="AA208" s="84">
        <f t="shared" si="69"/>
        <v>3695579.9575024247</v>
      </c>
      <c r="AB208" s="132">
        <f t="shared" si="70"/>
        <v>44.267985404068241</v>
      </c>
      <c r="AD208" s="180">
        <v>-3347817.750243681</v>
      </c>
      <c r="AE208" s="187">
        <v>-2203759.9607640686</v>
      </c>
      <c r="AF208" s="187">
        <v>-1042414.0282858444</v>
      </c>
      <c r="AG208" s="187">
        <v>49342.397685946562</v>
      </c>
      <c r="AH208" s="188">
        <v>-32152.660320891282</v>
      </c>
      <c r="AJ208" s="74">
        <f t="shared" si="71"/>
        <v>179944951.5581094</v>
      </c>
      <c r="AK208" s="74">
        <f t="shared" si="72"/>
        <v>7149985.8759000003</v>
      </c>
      <c r="AL208" s="74">
        <f t="shared" si="73"/>
        <v>117056233.34778756</v>
      </c>
      <c r="AM208" s="74">
        <f t="shared" si="74"/>
        <v>351329480.8891468</v>
      </c>
      <c r="AN208" s="74">
        <f t="shared" si="75"/>
        <v>-3347817.750243681</v>
      </c>
      <c r="AO208" s="74">
        <f t="shared" si="76"/>
        <v>-2203759.9607640686</v>
      </c>
      <c r="AP208" s="74">
        <f t="shared" si="77"/>
        <v>-1042414.0282858444</v>
      </c>
      <c r="AQ208" s="74">
        <f t="shared" si="78"/>
        <v>49342.397685946562</v>
      </c>
      <c r="AR208" s="74">
        <f t="shared" si="79"/>
        <v>-32152.660320891282</v>
      </c>
      <c r="AS208" s="75">
        <v>29111</v>
      </c>
      <c r="AT208" s="75"/>
      <c r="AU208" s="75"/>
      <c r="AV208" s="75">
        <v>1381</v>
      </c>
      <c r="AW208" s="75">
        <v>99710.315818101648</v>
      </c>
      <c r="AX208" s="75">
        <v>-12327.789077922951</v>
      </c>
      <c r="AY208" s="75">
        <v>31187.181278298103</v>
      </c>
      <c r="AZ208" s="316"/>
      <c r="BA208" s="74"/>
      <c r="BB208" s="74"/>
      <c r="BC208" s="74"/>
      <c r="BD208" s="74"/>
      <c r="BE208" s="74"/>
      <c r="BF208" s="74"/>
      <c r="BG208" s="74"/>
      <c r="BM208" s="316"/>
      <c r="BN208" s="74">
        <v>193856020.01085317</v>
      </c>
      <c r="BO208" s="74">
        <v>328670061.59999996</v>
      </c>
      <c r="BP208" s="74">
        <v>353140000</v>
      </c>
      <c r="BQ208" s="74">
        <v>7418344.8100000024</v>
      </c>
      <c r="BR208" s="74">
        <v>8205000</v>
      </c>
      <c r="BS208" s="406">
        <f t="shared" si="80"/>
        <v>0.58652378325460996</v>
      </c>
      <c r="BT208" s="406">
        <f t="shared" si="81"/>
        <v>0.33333333333333337</v>
      </c>
      <c r="BU208" s="74">
        <f t="shared" si="82"/>
        <v>135118523.93229333</v>
      </c>
      <c r="BV208" s="316"/>
      <c r="BW208" s="74">
        <v>545185500.89999998</v>
      </c>
      <c r="BX208" s="74">
        <v>193856020.01085317</v>
      </c>
      <c r="BY208" s="74">
        <v>354029028.66151392</v>
      </c>
      <c r="BZ208" s="74">
        <v>166934091.22750446</v>
      </c>
      <c r="CA208" s="74">
        <f t="shared" si="83"/>
        <v>-13124890.693792349</v>
      </c>
      <c r="CB208" s="74">
        <f t="shared" si="84"/>
        <v>-5.4417720867353427</v>
      </c>
      <c r="CC208" s="74">
        <f t="shared" si="85"/>
        <v>38.826213317332616</v>
      </c>
      <c r="CD208" s="74">
        <f t="shared" si="86"/>
        <v>44.267985404067957</v>
      </c>
      <c r="CE208" s="74">
        <f t="shared" si="87"/>
        <v>-26.398025451762951</v>
      </c>
      <c r="CF208" s="74">
        <f t="shared" si="88"/>
        <v>-12.486692080758131</v>
      </c>
      <c r="CG208" s="74">
        <f t="shared" si="89"/>
        <v>0.59105433130431184</v>
      </c>
      <c r="CH208" s="74">
        <f t="shared" si="90"/>
        <v>-0.38514482548203544</v>
      </c>
      <c r="CI208" s="74">
        <f t="shared" si="91"/>
        <v>-2203759.9607640747</v>
      </c>
      <c r="CJ208" s="74">
        <f t="shared" si="92"/>
        <v>-1042414.0282858503</v>
      </c>
      <c r="CK208" s="74">
        <f t="shared" si="93"/>
        <v>49342.397685946562</v>
      </c>
      <c r="CL208" s="74">
        <f t="shared" si="94"/>
        <v>-32152.660320891282</v>
      </c>
      <c r="CM208" s="316"/>
      <c r="CN208" s="74">
        <v>313033.92050129519</v>
      </c>
      <c r="CO208" s="74">
        <v>23279.023782</v>
      </c>
    </row>
    <row r="209" spans="1:93" x14ac:dyDescent="0.2">
      <c r="A209" s="74">
        <v>611</v>
      </c>
      <c r="B209" s="74" t="s">
        <v>330</v>
      </c>
      <c r="C209" s="74">
        <v>35</v>
      </c>
      <c r="D209" s="74">
        <v>5066</v>
      </c>
      <c r="E209" s="89">
        <v>13884896.10902961</v>
      </c>
      <c r="F209" s="74">
        <v>7984379.572455965</v>
      </c>
      <c r="G209" s="74">
        <v>1243352.2199999997</v>
      </c>
      <c r="H209" s="74">
        <v>403251.1018</v>
      </c>
      <c r="I209" s="74">
        <v>4086778.1481172196</v>
      </c>
      <c r="J209" s="74">
        <v>756894.32117307233</v>
      </c>
      <c r="K209" s="74">
        <v>450249.09415179363</v>
      </c>
      <c r="L209" s="74">
        <v>-1287903</v>
      </c>
      <c r="M209" s="75">
        <v>-20614</v>
      </c>
      <c r="N209" s="75">
        <v>54948.361262391634</v>
      </c>
      <c r="O209" s="178">
        <f t="shared" si="65"/>
        <v>-213560.29006916657</v>
      </c>
      <c r="P209" s="179">
        <f t="shared" si="66"/>
        <v>-42.15560404049873</v>
      </c>
      <c r="Q209" s="74"/>
      <c r="R209" s="89">
        <v>28555863</v>
      </c>
      <c r="S209" s="74">
        <v>20178801.02746236</v>
      </c>
      <c r="T209" s="74">
        <v>604876.65270000009</v>
      </c>
      <c r="U209" s="74">
        <v>5281318.213587448</v>
      </c>
      <c r="V209" s="74">
        <v>2524344.8441285677</v>
      </c>
      <c r="W209" s="74">
        <v>-65164.780000000261</v>
      </c>
      <c r="X209" s="178">
        <f t="shared" si="67"/>
        <v>-31687.042121626437</v>
      </c>
      <c r="Y209" s="179">
        <f t="shared" si="68"/>
        <v>-6.2548444772259053</v>
      </c>
      <c r="Z209" s="74"/>
      <c r="AA209" s="84">
        <f t="shared" si="69"/>
        <v>-181873.24794754013</v>
      </c>
      <c r="AB209" s="132">
        <f t="shared" si="70"/>
        <v>-35.900759563272828</v>
      </c>
      <c r="AD209" s="180">
        <v>202976.75938680614</v>
      </c>
      <c r="AE209" s="187">
        <v>120422.46506591918</v>
      </c>
      <c r="AF209" s="187">
        <v>38917.279923429604</v>
      </c>
      <c r="AG209" s="187">
        <v>2994.2812423876439</v>
      </c>
      <c r="AH209" s="188">
        <v>-1951.1436858919915</v>
      </c>
      <c r="AJ209" s="74">
        <f t="shared" si="71"/>
        <v>12194421.455006395</v>
      </c>
      <c r="AK209" s="74">
        <f t="shared" si="72"/>
        <v>201625.55090000009</v>
      </c>
      <c r="AL209" s="74">
        <f t="shared" si="73"/>
        <v>1194540.0654702284</v>
      </c>
      <c r="AM209" s="74">
        <f t="shared" si="74"/>
        <v>14670966.89097039</v>
      </c>
      <c r="AN209" s="74">
        <f t="shared" si="75"/>
        <v>202976.75938680614</v>
      </c>
      <c r="AO209" s="74">
        <f t="shared" si="76"/>
        <v>120422.46506591918</v>
      </c>
      <c r="AP209" s="74">
        <f t="shared" si="77"/>
        <v>38917.279923429604</v>
      </c>
      <c r="AQ209" s="74">
        <f t="shared" si="78"/>
        <v>2994.2812423876439</v>
      </c>
      <c r="AR209" s="74">
        <f t="shared" si="79"/>
        <v>-1951.1436858919915</v>
      </c>
      <c r="AS209" s="75">
        <v>1609</v>
      </c>
      <c r="AT209" s="75"/>
      <c r="AU209" s="75"/>
      <c r="AV209" s="75">
        <v>0</v>
      </c>
      <c r="AW209" s="75">
        <v>1483.5092513935022</v>
      </c>
      <c r="AX209" s="75">
        <v>168.47848371210452</v>
      </c>
      <c r="AY209" s="75">
        <v>1767.4505229554954</v>
      </c>
      <c r="AZ209" s="316"/>
      <c r="BA209" s="74"/>
      <c r="BB209" s="74"/>
      <c r="BC209" s="74"/>
      <c r="BD209" s="74"/>
      <c r="BE209" s="74"/>
      <c r="BF209" s="74"/>
      <c r="BG209" s="74"/>
      <c r="BM209" s="316"/>
      <c r="BN209" s="74">
        <v>13884896.10902961</v>
      </c>
      <c r="BO209" s="74">
        <v>13451202.870000001</v>
      </c>
      <c r="BP209" s="74">
        <v>15242000</v>
      </c>
      <c r="BQ209" s="74">
        <v>406350.26</v>
      </c>
      <c r="BR209" s="74">
        <v>346000</v>
      </c>
      <c r="BS209" s="406">
        <f t="shared" si="80"/>
        <v>0.60431843489662174</v>
      </c>
      <c r="BT209" s="406">
        <f t="shared" si="81"/>
        <v>0.33333333333333348</v>
      </c>
      <c r="BU209" s="74">
        <f t="shared" si="82"/>
        <v>3412239.6825775173</v>
      </c>
      <c r="BV209" s="316"/>
      <c r="BW209" s="74">
        <v>28555863</v>
      </c>
      <c r="BX209" s="74">
        <v>13884896.10902961</v>
      </c>
      <c r="BY209" s="74">
        <v>22027029.900162358</v>
      </c>
      <c r="BZ209" s="74">
        <v>9630982.8942559641</v>
      </c>
      <c r="CA209" s="74">
        <f t="shared" si="83"/>
        <v>450249.09415179072</v>
      </c>
      <c r="CB209" s="74">
        <f t="shared" si="84"/>
        <v>-6.2548444772255376</v>
      </c>
      <c r="CC209" s="74">
        <f t="shared" si="85"/>
        <v>-42.155604040499497</v>
      </c>
      <c r="CD209" s="74">
        <f t="shared" si="86"/>
        <v>-35.900759563273958</v>
      </c>
      <c r="CE209" s="74">
        <f t="shared" si="87"/>
        <v>23.770719515578964</v>
      </c>
      <c r="CF209" s="74">
        <f t="shared" si="88"/>
        <v>7.6820528865837847</v>
      </c>
      <c r="CG209" s="74">
        <f t="shared" si="89"/>
        <v>0.59105433130431184</v>
      </c>
      <c r="CH209" s="74">
        <f t="shared" si="90"/>
        <v>-0.38514482548203544</v>
      </c>
      <c r="CI209" s="74">
        <f t="shared" si="91"/>
        <v>120422.46506592304</v>
      </c>
      <c r="CJ209" s="74">
        <f t="shared" si="92"/>
        <v>38917.279923433452</v>
      </c>
      <c r="CK209" s="74">
        <f t="shared" si="93"/>
        <v>2994.2812423876439</v>
      </c>
      <c r="CL209" s="74">
        <f t="shared" si="94"/>
        <v>-1951.1436858919915</v>
      </c>
      <c r="CM209" s="316"/>
      <c r="CN209" s="74">
        <v>21048.884393572982</v>
      </c>
      <c r="CO209" s="74">
        <v>656.45528200000001</v>
      </c>
    </row>
    <row r="210" spans="1:93" x14ac:dyDescent="0.2">
      <c r="A210" s="74">
        <v>614</v>
      </c>
      <c r="B210" s="74" t="s">
        <v>332</v>
      </c>
      <c r="C210" s="74">
        <v>19</v>
      </c>
      <c r="D210" s="74">
        <v>3066</v>
      </c>
      <c r="E210" s="89">
        <v>9976721.3789959513</v>
      </c>
      <c r="F210" s="74">
        <v>3906033.6005294658</v>
      </c>
      <c r="G210" s="74">
        <v>1542031.7560000001</v>
      </c>
      <c r="H210" s="74">
        <v>618420.79700000002</v>
      </c>
      <c r="I210" s="74">
        <v>3480403.297942216</v>
      </c>
      <c r="J210" s="74">
        <v>754564.25843074801</v>
      </c>
      <c r="K210" s="74">
        <v>-529647.12186705426</v>
      </c>
      <c r="L210" s="74">
        <v>276859</v>
      </c>
      <c r="M210" s="75">
        <v>-20000</v>
      </c>
      <c r="N210" s="75">
        <v>23173.239519482202</v>
      </c>
      <c r="O210" s="178">
        <f t="shared" si="65"/>
        <v>75117.448558907956</v>
      </c>
      <c r="P210" s="179">
        <f t="shared" si="66"/>
        <v>24.500146301013686</v>
      </c>
      <c r="Q210" s="74"/>
      <c r="R210" s="89">
        <v>30230651</v>
      </c>
      <c r="S210" s="74">
        <v>8824578.1298044715</v>
      </c>
      <c r="T210" s="74">
        <v>927631.19550000003</v>
      </c>
      <c r="U210" s="74">
        <v>15883874.234715391</v>
      </c>
      <c r="V210" s="74">
        <v>2516573.7700095722</v>
      </c>
      <c r="W210" s="74">
        <v>1798890.7560000001</v>
      </c>
      <c r="X210" s="178">
        <f t="shared" si="67"/>
        <v>-279102.91397056729</v>
      </c>
      <c r="Y210" s="179">
        <f t="shared" si="68"/>
        <v>-91.03160925328352</v>
      </c>
      <c r="Z210" s="74"/>
      <c r="AA210" s="84">
        <f t="shared" si="69"/>
        <v>354220.36252947524</v>
      </c>
      <c r="AB210" s="132">
        <f t="shared" si="70"/>
        <v>115.53175555429721</v>
      </c>
      <c r="AD210" s="180">
        <v>-341448.28079382342</v>
      </c>
      <c r="AE210" s="187">
        <v>-299431.06531570252</v>
      </c>
      <c r="AF210" s="187">
        <v>-256778.91720020174</v>
      </c>
      <c r="AG210" s="187">
        <v>-214438.18994969066</v>
      </c>
      <c r="AH210" s="188">
        <v>-171441.21656439759</v>
      </c>
      <c r="AJ210" s="74">
        <f t="shared" si="71"/>
        <v>4918544.5292750057</v>
      </c>
      <c r="AK210" s="74">
        <f t="shared" si="72"/>
        <v>309210.39850000001</v>
      </c>
      <c r="AL210" s="74">
        <f t="shared" si="73"/>
        <v>12403470.936773175</v>
      </c>
      <c r="AM210" s="74">
        <f t="shared" si="74"/>
        <v>20253929.621004049</v>
      </c>
      <c r="AN210" s="74">
        <f t="shared" si="75"/>
        <v>-341448.28079382342</v>
      </c>
      <c r="AO210" s="74">
        <f t="shared" si="76"/>
        <v>-299431.06531570252</v>
      </c>
      <c r="AP210" s="74">
        <f t="shared" si="77"/>
        <v>-256778.91720020174</v>
      </c>
      <c r="AQ210" s="74">
        <f t="shared" si="78"/>
        <v>-214438.18994969066</v>
      </c>
      <c r="AR210" s="74">
        <f t="shared" si="79"/>
        <v>-171441.21656439759</v>
      </c>
      <c r="AS210" s="75">
        <v>1178</v>
      </c>
      <c r="AT210" s="75"/>
      <c r="AU210" s="75"/>
      <c r="AV210" s="75">
        <v>23</v>
      </c>
      <c r="AW210" s="75">
        <v>10615.727623224391</v>
      </c>
      <c r="AX210" s="75">
        <v>-1790.1957809252101</v>
      </c>
      <c r="AY210" s="75">
        <v>1762.0095115788242</v>
      </c>
      <c r="AZ210" s="316"/>
      <c r="BA210" s="74"/>
      <c r="BB210" s="74"/>
      <c r="BC210" s="74"/>
      <c r="BD210" s="74"/>
      <c r="BE210" s="74"/>
      <c r="BF210" s="74"/>
      <c r="BG210" s="74"/>
      <c r="BM210" s="316"/>
      <c r="BN210" s="74">
        <v>9976721.3789959513</v>
      </c>
      <c r="BO210" s="74">
        <v>19093403.779999997</v>
      </c>
      <c r="BP210" s="74">
        <v>18719000</v>
      </c>
      <c r="BQ210" s="74">
        <v>379263</v>
      </c>
      <c r="BR210" s="74">
        <v>413000</v>
      </c>
      <c r="BS210" s="406">
        <f t="shared" si="80"/>
        <v>0.55736880074333794</v>
      </c>
      <c r="BT210" s="406">
        <f t="shared" si="81"/>
        <v>0.33333333333333337</v>
      </c>
      <c r="BU210" s="74">
        <f t="shared" si="82"/>
        <v>13635833.326484947</v>
      </c>
      <c r="BV210" s="316"/>
      <c r="BW210" s="74">
        <v>30230651</v>
      </c>
      <c r="BX210" s="74">
        <v>9976721.3789959513</v>
      </c>
      <c r="BY210" s="74">
        <v>11294241.081304472</v>
      </c>
      <c r="BZ210" s="74">
        <v>6066486.1535294661</v>
      </c>
      <c r="CA210" s="74">
        <f t="shared" si="83"/>
        <v>-529647.12186705519</v>
      </c>
      <c r="CB210" s="74">
        <f t="shared" si="84"/>
        <v>-91.031609253283065</v>
      </c>
      <c r="CC210" s="74">
        <f t="shared" si="85"/>
        <v>24.500146301013025</v>
      </c>
      <c r="CD210" s="74">
        <f t="shared" si="86"/>
        <v>115.5317555542961</v>
      </c>
      <c r="CE210" s="74">
        <f t="shared" si="87"/>
        <v>-97.661795601991088</v>
      </c>
      <c r="CF210" s="74">
        <f t="shared" si="88"/>
        <v>-83.750462230986273</v>
      </c>
      <c r="CG210" s="74">
        <f t="shared" si="89"/>
        <v>-69.940701222991791</v>
      </c>
      <c r="CH210" s="74">
        <f t="shared" si="90"/>
        <v>-55.916900379778134</v>
      </c>
      <c r="CI210" s="74">
        <f t="shared" si="91"/>
        <v>-299431.06531570468</v>
      </c>
      <c r="CJ210" s="74">
        <f t="shared" si="92"/>
        <v>-256778.9172002039</v>
      </c>
      <c r="CK210" s="74">
        <f t="shared" si="93"/>
        <v>-214438.18994969284</v>
      </c>
      <c r="CL210" s="74">
        <f t="shared" si="94"/>
        <v>-171441.21656439977</v>
      </c>
      <c r="CM210" s="316"/>
      <c r="CN210" s="74">
        <v>8701.1996417192277</v>
      </c>
      <c r="CO210" s="74">
        <v>1006.7315299999999</v>
      </c>
    </row>
    <row r="211" spans="1:93" x14ac:dyDescent="0.2">
      <c r="A211" s="74">
        <v>615</v>
      </c>
      <c r="B211" s="74" t="s">
        <v>333</v>
      </c>
      <c r="C211" s="74">
        <v>17</v>
      </c>
      <c r="D211" s="74">
        <v>7702</v>
      </c>
      <c r="E211" s="89">
        <v>26706660.224997275</v>
      </c>
      <c r="F211" s="74">
        <v>8564177.4865584839</v>
      </c>
      <c r="G211" s="74">
        <v>2645483.8802999998</v>
      </c>
      <c r="H211" s="74">
        <v>2231080.4301999998</v>
      </c>
      <c r="I211" s="74">
        <v>11249688.454671968</v>
      </c>
      <c r="J211" s="74">
        <v>1567077.8071874692</v>
      </c>
      <c r="K211" s="74">
        <v>2028894.164462195</v>
      </c>
      <c r="L211" s="74">
        <v>-170506</v>
      </c>
      <c r="M211" s="75">
        <v>757056</v>
      </c>
      <c r="N211" s="75">
        <v>56570.078769288717</v>
      </c>
      <c r="O211" s="178">
        <f t="shared" si="65"/>
        <v>2222862.077152133</v>
      </c>
      <c r="P211" s="179">
        <f t="shared" si="66"/>
        <v>288.60842341627279</v>
      </c>
      <c r="Q211" s="74"/>
      <c r="R211" s="89">
        <v>64342153</v>
      </c>
      <c r="S211" s="74">
        <v>20210534.795632411</v>
      </c>
      <c r="T211" s="74">
        <v>3346620.6453</v>
      </c>
      <c r="U211" s="74">
        <v>35000979.901595816</v>
      </c>
      <c r="V211" s="74">
        <v>5226416.2542414442</v>
      </c>
      <c r="W211" s="74">
        <v>3232033.8802999998</v>
      </c>
      <c r="X211" s="178">
        <f t="shared" si="67"/>
        <v>2674432.4770696759</v>
      </c>
      <c r="Y211" s="179">
        <f t="shared" si="68"/>
        <v>347.23870125547597</v>
      </c>
      <c r="Z211" s="74"/>
      <c r="AA211" s="84">
        <f t="shared" si="69"/>
        <v>-451570.39991754293</v>
      </c>
      <c r="AB211" s="132">
        <f t="shared" si="70"/>
        <v>-58.630277839203188</v>
      </c>
      <c r="AD211" s="180">
        <v>483654.73570617544</v>
      </c>
      <c r="AE211" s="187">
        <v>358144.83147019608</v>
      </c>
      <c r="AF211" s="187">
        <v>234229.92109367522</v>
      </c>
      <c r="AG211" s="187">
        <v>109532.70037724877</v>
      </c>
      <c r="AH211" s="188">
        <v>-2966.385445862637</v>
      </c>
      <c r="AJ211" s="74">
        <f t="shared" si="71"/>
        <v>11646357.309073927</v>
      </c>
      <c r="AK211" s="74">
        <f t="shared" si="72"/>
        <v>1115540.2151000001</v>
      </c>
      <c r="AL211" s="74">
        <f t="shared" si="73"/>
        <v>23751291.446923848</v>
      </c>
      <c r="AM211" s="74">
        <f t="shared" si="74"/>
        <v>37635492.775002725</v>
      </c>
      <c r="AN211" s="74">
        <f t="shared" si="75"/>
        <v>483654.73570617544</v>
      </c>
      <c r="AO211" s="74">
        <f t="shared" si="76"/>
        <v>358144.83147019608</v>
      </c>
      <c r="AP211" s="74">
        <f t="shared" si="77"/>
        <v>234229.92109367522</v>
      </c>
      <c r="AQ211" s="74">
        <f t="shared" si="78"/>
        <v>109532.70037724877</v>
      </c>
      <c r="AR211" s="74">
        <f t="shared" si="79"/>
        <v>-2966.385445862637</v>
      </c>
      <c r="AS211" s="75">
        <v>6460</v>
      </c>
      <c r="AT211" s="75"/>
      <c r="AU211" s="75"/>
      <c r="AV211" s="75">
        <v>0</v>
      </c>
      <c r="AW211" s="75">
        <v>20054.265804465049</v>
      </c>
      <c r="AX211" s="75">
        <v>-4601.3928698858954</v>
      </c>
      <c r="AY211" s="75">
        <v>3659.338447053975</v>
      </c>
      <c r="AZ211" s="316"/>
      <c r="BA211" s="74"/>
      <c r="BB211" s="74"/>
      <c r="BC211" s="74"/>
      <c r="BD211" s="74"/>
      <c r="BE211" s="74"/>
      <c r="BF211" s="74"/>
      <c r="BG211" s="74"/>
      <c r="BM211" s="316"/>
      <c r="BN211" s="74">
        <v>26706660.224997275</v>
      </c>
      <c r="BO211" s="74">
        <v>35734355.090000011</v>
      </c>
      <c r="BP211" s="74">
        <v>36010000</v>
      </c>
      <c r="BQ211" s="74">
        <v>553065.31000000006</v>
      </c>
      <c r="BR211" s="74">
        <v>555000</v>
      </c>
      <c r="BS211" s="406">
        <f t="shared" si="80"/>
        <v>0.57625181257404223</v>
      </c>
      <c r="BT211" s="406">
        <f t="shared" si="81"/>
        <v>0.33333333333333337</v>
      </c>
      <c r="BU211" s="74">
        <f t="shared" si="82"/>
        <v>29439524.058440015</v>
      </c>
      <c r="BV211" s="316"/>
      <c r="BW211" s="74">
        <v>64342153</v>
      </c>
      <c r="BX211" s="74">
        <v>26706660.224997275</v>
      </c>
      <c r="BY211" s="74">
        <v>26202639.321232412</v>
      </c>
      <c r="BZ211" s="74">
        <v>13440741.797058484</v>
      </c>
      <c r="CA211" s="74">
        <f t="shared" si="83"/>
        <v>2028894.1644621878</v>
      </c>
      <c r="CB211" s="74">
        <f t="shared" si="84"/>
        <v>347.23870125547495</v>
      </c>
      <c r="CC211" s="74">
        <f t="shared" si="85"/>
        <v>288.60842341627114</v>
      </c>
      <c r="CD211" s="74">
        <f t="shared" si="86"/>
        <v>-58.630277839203814</v>
      </c>
      <c r="CE211" s="74">
        <f t="shared" si="87"/>
        <v>46.500237791508816</v>
      </c>
      <c r="CF211" s="74">
        <f t="shared" si="88"/>
        <v>30.411571162513638</v>
      </c>
      <c r="CG211" s="74">
        <f t="shared" si="89"/>
        <v>14.221332170508125</v>
      </c>
      <c r="CH211" s="74">
        <f t="shared" si="90"/>
        <v>-0.38514482548203544</v>
      </c>
      <c r="CI211" s="74">
        <f t="shared" si="91"/>
        <v>358144.83147020091</v>
      </c>
      <c r="CJ211" s="74">
        <f t="shared" si="92"/>
        <v>234229.92109368005</v>
      </c>
      <c r="CK211" s="74">
        <f t="shared" si="93"/>
        <v>109532.70037725358</v>
      </c>
      <c r="CL211" s="74">
        <f t="shared" si="94"/>
        <v>-2966.385445862637</v>
      </c>
      <c r="CM211" s="316"/>
      <c r="CN211" s="74">
        <v>20442.847713067822</v>
      </c>
      <c r="CO211" s="74">
        <v>3631.9913979999997</v>
      </c>
    </row>
    <row r="212" spans="1:93" x14ac:dyDescent="0.2">
      <c r="A212" s="74">
        <v>616</v>
      </c>
      <c r="B212" s="74" t="s">
        <v>334</v>
      </c>
      <c r="C212" s="74">
        <v>34</v>
      </c>
      <c r="D212" s="74">
        <v>1848</v>
      </c>
      <c r="E212" s="89">
        <v>5209659.8682767889</v>
      </c>
      <c r="F212" s="74">
        <v>2844304.7891209172</v>
      </c>
      <c r="G212" s="74">
        <v>463417.45399999997</v>
      </c>
      <c r="H212" s="74">
        <v>216532.28779999999</v>
      </c>
      <c r="I212" s="74">
        <v>1258856.338260863</v>
      </c>
      <c r="J212" s="74">
        <v>387692.93355301628</v>
      </c>
      <c r="K212" s="74">
        <v>-16580.564826977003</v>
      </c>
      <c r="L212" s="74">
        <v>-488692</v>
      </c>
      <c r="M212" s="75">
        <v>137700</v>
      </c>
      <c r="N212" s="75">
        <v>17084.487033584272</v>
      </c>
      <c r="O212" s="178">
        <f t="shared" ref="O212:O275" si="95">N212+M212+L212+K212+J212+I212+H212+G212+F212-E212</f>
        <v>-389344.14333538525</v>
      </c>
      <c r="P212" s="179">
        <f t="shared" ref="P212:P275" si="96">O212/D212</f>
        <v>-210.68406024642059</v>
      </c>
      <c r="Q212" s="74"/>
      <c r="R212" s="89">
        <v>12100669</v>
      </c>
      <c r="S212" s="74">
        <v>6590204.6198676955</v>
      </c>
      <c r="T212" s="74">
        <v>324798.43170000002</v>
      </c>
      <c r="U212" s="74">
        <v>3343854.242159836</v>
      </c>
      <c r="V212" s="74">
        <v>1293008.3243362743</v>
      </c>
      <c r="W212" s="74">
        <v>112425.45399999997</v>
      </c>
      <c r="X212" s="178">
        <f t="shared" ref="X212:X275" si="97">W212+V212+U212+T212+S212-R212</f>
        <v>-436377.92793619446</v>
      </c>
      <c r="Y212" s="179">
        <f t="shared" ref="Y212:Y275" si="98">X212/D212</f>
        <v>-236.13524238971561</v>
      </c>
      <c r="Z212" s="74"/>
      <c r="AA212" s="84">
        <f t="shared" ref="AA212:AA275" si="99">O212-X212</f>
        <v>47033.784600809216</v>
      </c>
      <c r="AB212" s="132">
        <f t="shared" ref="AB212:AB275" si="100">AA212/D212</f>
        <v>25.451182143295032</v>
      </c>
      <c r="AD212" s="180">
        <v>-39335.543554665339</v>
      </c>
      <c r="AE212" s="187">
        <v>-14010.09860894862</v>
      </c>
      <c r="AF212" s="187">
        <v>3291.830061476559</v>
      </c>
      <c r="AG212" s="187">
        <v>1092.2684042503683</v>
      </c>
      <c r="AH212" s="188">
        <v>-711.74763749080148</v>
      </c>
      <c r="AJ212" s="74">
        <f t="shared" ref="AJ212:AJ275" si="101">S212-F212</f>
        <v>3745899.8307467783</v>
      </c>
      <c r="AK212" s="74">
        <f t="shared" ref="AK212:AK275" si="102">T212-H212</f>
        <v>108266.14390000002</v>
      </c>
      <c r="AL212" s="74">
        <f t="shared" ref="AL212:AL275" si="103">U212-I212</f>
        <v>2084997.903898973</v>
      </c>
      <c r="AM212" s="74">
        <f t="shared" ref="AM212:AM275" si="104">R212-E212</f>
        <v>6891009.1317232111</v>
      </c>
      <c r="AN212" s="74">
        <f t="shared" ref="AN212:AN275" si="105">AD212</f>
        <v>-39335.543554665339</v>
      </c>
      <c r="AO212" s="74">
        <f t="shared" ref="AO212:AO275" si="106">AE212</f>
        <v>-14010.09860894862</v>
      </c>
      <c r="AP212" s="74">
        <f t="shared" ref="AP212:AP275" si="107">AF212</f>
        <v>3291.830061476559</v>
      </c>
      <c r="AQ212" s="74">
        <f t="shared" ref="AQ212:AQ275" si="108">AG212</f>
        <v>1092.2684042503683</v>
      </c>
      <c r="AR212" s="74">
        <f t="shared" ref="AR212:AR275" si="109">AH212</f>
        <v>-711.74763749080148</v>
      </c>
      <c r="AS212" s="75">
        <v>385</v>
      </c>
      <c r="AT212" s="75"/>
      <c r="AU212" s="75"/>
      <c r="AV212" s="75">
        <v>0</v>
      </c>
      <c r="AW212" s="75">
        <v>1697.1281949177394</v>
      </c>
      <c r="AX212" s="75">
        <v>-424.65153969784313</v>
      </c>
      <c r="AY212" s="75">
        <v>905.31539078325807</v>
      </c>
      <c r="AZ212" s="316"/>
      <c r="BA212" s="74"/>
      <c r="BB212" s="74"/>
      <c r="BC212" s="74"/>
      <c r="BD212" s="74"/>
      <c r="BE212" s="74"/>
      <c r="BF212" s="74"/>
      <c r="BG212" s="74"/>
      <c r="BM212" s="316"/>
      <c r="BN212" s="74">
        <v>5209659.8682767889</v>
      </c>
      <c r="BO212" s="74">
        <v>6314799.3599999994</v>
      </c>
      <c r="BP212" s="74">
        <v>6760000</v>
      </c>
      <c r="BQ212" s="74">
        <v>221228.05000000002</v>
      </c>
      <c r="BR212" s="74">
        <v>180000</v>
      </c>
      <c r="BS212" s="406">
        <f t="shared" si="80"/>
        <v>0.56840417662509246</v>
      </c>
      <c r="BT212" s="406">
        <f t="shared" si="81"/>
        <v>0.33333333333333337</v>
      </c>
      <c r="BU212" s="74">
        <f t="shared" si="82"/>
        <v>2973732.7298552543</v>
      </c>
      <c r="BV212" s="316"/>
      <c r="BW212" s="74">
        <v>12100669</v>
      </c>
      <c r="BX212" s="74">
        <v>5209659.8682767889</v>
      </c>
      <c r="BY212" s="74">
        <v>7378420.505567695</v>
      </c>
      <c r="BZ212" s="74">
        <v>3524254.5309209172</v>
      </c>
      <c r="CA212" s="74">
        <f t="shared" si="83"/>
        <v>-16580.564826978145</v>
      </c>
      <c r="CB212" s="74">
        <f t="shared" si="84"/>
        <v>-236.13524238971573</v>
      </c>
      <c r="CC212" s="74">
        <f t="shared" si="85"/>
        <v>-210.68406024642115</v>
      </c>
      <c r="CD212" s="74">
        <f t="shared" si="86"/>
        <v>25.451182143294574</v>
      </c>
      <c r="CE212" s="74">
        <f t="shared" si="87"/>
        <v>-7.5812221909895694</v>
      </c>
      <c r="CF212" s="74">
        <f t="shared" si="88"/>
        <v>1.7812933233098263</v>
      </c>
      <c r="CG212" s="74">
        <f t="shared" si="89"/>
        <v>0.59105433130431184</v>
      </c>
      <c r="CH212" s="74">
        <f t="shared" si="90"/>
        <v>-0.38514482548203544</v>
      </c>
      <c r="CI212" s="74">
        <f t="shared" si="91"/>
        <v>-14010.098608948725</v>
      </c>
      <c r="CJ212" s="74">
        <f t="shared" si="92"/>
        <v>3291.830061476559</v>
      </c>
      <c r="CK212" s="74">
        <f t="shared" si="93"/>
        <v>1092.2684042503683</v>
      </c>
      <c r="CL212" s="74">
        <f t="shared" si="94"/>
        <v>-711.74763749080148</v>
      </c>
      <c r="CM212" s="316"/>
      <c r="CN212" s="74">
        <v>6704.9824787841189</v>
      </c>
      <c r="CO212" s="74">
        <v>352.49442199999999</v>
      </c>
    </row>
    <row r="213" spans="1:93" x14ac:dyDescent="0.2">
      <c r="A213" s="74">
        <v>619</v>
      </c>
      <c r="B213" s="74" t="s">
        <v>335</v>
      </c>
      <c r="C213" s="74">
        <v>6</v>
      </c>
      <c r="D213" s="74">
        <v>2721</v>
      </c>
      <c r="E213" s="89">
        <v>8273965.9278969429</v>
      </c>
      <c r="F213" s="74">
        <v>3680859.3214179794</v>
      </c>
      <c r="G213" s="74">
        <v>670652.0639999999</v>
      </c>
      <c r="H213" s="74">
        <v>472050.99859999999</v>
      </c>
      <c r="I213" s="74">
        <v>1784308.0720357839</v>
      </c>
      <c r="J213" s="74">
        <v>659653.74186107423</v>
      </c>
      <c r="K213" s="74">
        <v>738596.321678682</v>
      </c>
      <c r="L213" s="74">
        <v>-195770</v>
      </c>
      <c r="M213" s="75">
        <v>-33550</v>
      </c>
      <c r="N213" s="75">
        <v>21032.069832082463</v>
      </c>
      <c r="O213" s="178">
        <f t="shared" si="95"/>
        <v>-476133.33847134095</v>
      </c>
      <c r="P213" s="179">
        <f t="shared" si="96"/>
        <v>-174.98468889060675</v>
      </c>
      <c r="Q213" s="74"/>
      <c r="R213" s="89">
        <v>21436250</v>
      </c>
      <c r="S213" s="74">
        <v>8189552.6868904065</v>
      </c>
      <c r="T213" s="74">
        <v>708076.49789999996</v>
      </c>
      <c r="U213" s="74">
        <v>9823475.365813233</v>
      </c>
      <c r="V213" s="74">
        <v>2200034.3715042281</v>
      </c>
      <c r="W213" s="74">
        <v>441332.0639999999</v>
      </c>
      <c r="X213" s="178">
        <f t="shared" si="97"/>
        <v>-73779.013892132789</v>
      </c>
      <c r="Y213" s="179">
        <f t="shared" si="98"/>
        <v>-27.114668832095845</v>
      </c>
      <c r="Z213" s="74"/>
      <c r="AA213" s="84">
        <f t="shared" si="99"/>
        <v>-402354.32457920816</v>
      </c>
      <c r="AB213" s="132">
        <f t="shared" si="100"/>
        <v>-147.8700200585109</v>
      </c>
      <c r="AD213" s="180">
        <v>413689.23469098029</v>
      </c>
      <c r="AE213" s="187">
        <v>369348.48560943012</v>
      </c>
      <c r="AF213" s="187">
        <v>325571.22371193417</v>
      </c>
      <c r="AG213" s="187">
        <v>281517.58341468719</v>
      </c>
      <c r="AH213" s="188">
        <v>238046.34550907157</v>
      </c>
      <c r="AJ213" s="74">
        <f t="shared" si="101"/>
        <v>4508693.3654724266</v>
      </c>
      <c r="AK213" s="74">
        <f t="shared" si="102"/>
        <v>236025.49929999997</v>
      </c>
      <c r="AL213" s="74">
        <f t="shared" si="103"/>
        <v>8039167.2937774491</v>
      </c>
      <c r="AM213" s="74">
        <f t="shared" si="104"/>
        <v>13162284.072103057</v>
      </c>
      <c r="AN213" s="74">
        <f t="shared" si="105"/>
        <v>413689.23469098029</v>
      </c>
      <c r="AO213" s="74">
        <f t="shared" si="106"/>
        <v>369348.48560943012</v>
      </c>
      <c r="AP213" s="74">
        <f t="shared" si="107"/>
        <v>325571.22371193417</v>
      </c>
      <c r="AQ213" s="74">
        <f t="shared" si="108"/>
        <v>281517.58341468719</v>
      </c>
      <c r="AR213" s="74">
        <f t="shared" si="109"/>
        <v>238046.34550907157</v>
      </c>
      <c r="AS213" s="75">
        <v>1126</v>
      </c>
      <c r="AT213" s="75"/>
      <c r="AU213" s="75"/>
      <c r="AV213" s="75">
        <v>0</v>
      </c>
      <c r="AW213" s="75">
        <v>6619.5916785771906</v>
      </c>
      <c r="AX213" s="75">
        <v>-1510.7993460243858</v>
      </c>
      <c r="AY213" s="75">
        <v>1540.380629643154</v>
      </c>
      <c r="AZ213" s="316"/>
      <c r="BA213" s="74"/>
      <c r="BB213" s="74"/>
      <c r="BC213" s="74"/>
      <c r="BD213" s="74"/>
      <c r="BE213" s="74"/>
      <c r="BF213" s="74"/>
      <c r="BG213" s="74"/>
      <c r="BM213" s="316"/>
      <c r="BN213" s="74">
        <v>8273965.9278969429</v>
      </c>
      <c r="BO213" s="74">
        <v>12668056.77</v>
      </c>
      <c r="BP213" s="74">
        <v>12159000</v>
      </c>
      <c r="BQ213" s="74">
        <v>217505.45</v>
      </c>
      <c r="BR213" s="74">
        <v>226000</v>
      </c>
      <c r="BS213" s="406">
        <f t="shared" ref="BS213:BS276" si="110">1-F213/S213</f>
        <v>0.55054207938484967</v>
      </c>
      <c r="BT213" s="406">
        <f t="shared" ref="BT213:BT276" si="111">1-H213/T213</f>
        <v>0.33333333333333326</v>
      </c>
      <c r="BU213" s="74">
        <f t="shared" ref="BU213:BU276" si="112">(U213+V213)-(I213+J213)+K213</f>
        <v>10318144.245099286</v>
      </c>
      <c r="BV213" s="316"/>
      <c r="BW213" s="74">
        <v>21436250</v>
      </c>
      <c r="BX213" s="74">
        <v>8273965.9278969429</v>
      </c>
      <c r="BY213" s="74">
        <v>9568281.2487904057</v>
      </c>
      <c r="BZ213" s="74">
        <v>4823562.3840179788</v>
      </c>
      <c r="CA213" s="74">
        <f t="shared" ref="CA213:CA276" si="113">((BX213-BW213)-N213+(BY213-BZ213)+AW213*1000+AY213*1000-AX213*1000-$BX$8)*0.6+(D213*-0.260310389757568)</f>
        <v>738596.32167868048</v>
      </c>
      <c r="CB213" s="74">
        <f t="shared" ref="CB213:CB276" si="114">(-R213+S213+T213+U213+V213+W213)/D213</f>
        <v>-27.114668832095798</v>
      </c>
      <c r="CC213" s="74">
        <f t="shared" ref="CC213:CC276" si="115">(-E213+F213+G213+H213+I213+J213+L213+CA213+M213+N213)/D213</f>
        <v>-174.98468889060717</v>
      </c>
      <c r="CD213" s="74">
        <f t="shared" ref="CD213:CD276" si="116">CC213-CB213</f>
        <v>-147.87002005851139</v>
      </c>
      <c r="CE213" s="74">
        <f t="shared" ref="CE213:CE276" si="117">(IF(CD213&lt;-15,-CD213-15,IF(CD213&gt;15,15-CD213,0)))-$BI$24</f>
        <v>135.7399800108164</v>
      </c>
      <c r="CF213" s="74">
        <f t="shared" ref="CF213:CF276" si="118">(IF(CD213&lt;-30,-CD213-30,IF(CD213&gt;30,30-CD213,0)))-$BJ$24</f>
        <v>119.65131338182121</v>
      </c>
      <c r="CG213" s="74">
        <f t="shared" ref="CG213:CG276" si="119">(IF(CD213&lt;-45,-CD213-45,IF(CD213&gt;45,45-CD213,0)))-$BK$24</f>
        <v>103.46107438981569</v>
      </c>
      <c r="CH213" s="74">
        <f t="shared" ref="CH213:CH276" si="120">(IF(CD213&lt;-60,-CD213-60,IF(CD213&gt;60,60-CD213,0)))-$BL$24</f>
        <v>87.484875233029356</v>
      </c>
      <c r="CI213" s="74">
        <f t="shared" ref="CI213:CI276" si="121">CE213*$D213</f>
        <v>369348.4856094314</v>
      </c>
      <c r="CJ213" s="74">
        <f t="shared" ref="CJ213:CJ276" si="122">CF213*$D213</f>
        <v>325571.22371193551</v>
      </c>
      <c r="CK213" s="74">
        <f t="shared" ref="CK213:CK276" si="123">CG213*$D213</f>
        <v>281517.58341468847</v>
      </c>
      <c r="CL213" s="74">
        <f t="shared" ref="CL213:CL276" si="124">CH213*$D213</f>
        <v>238046.34550907288</v>
      </c>
      <c r="CM213" s="316"/>
      <c r="CN213" s="74">
        <v>7893.0073857279986</v>
      </c>
      <c r="CO213" s="74">
        <v>768.45511399999998</v>
      </c>
    </row>
    <row r="214" spans="1:93" x14ac:dyDescent="0.2">
      <c r="A214" s="74">
        <v>620</v>
      </c>
      <c r="B214" s="74" t="s">
        <v>336</v>
      </c>
      <c r="C214" s="74">
        <v>18</v>
      </c>
      <c r="D214" s="74">
        <v>2446</v>
      </c>
      <c r="E214" s="89">
        <v>8167335.7561805919</v>
      </c>
      <c r="F214" s="74">
        <v>2969477.7686836966</v>
      </c>
      <c r="G214" s="74">
        <v>837814.15760000004</v>
      </c>
      <c r="H214" s="74">
        <v>1075792.7566</v>
      </c>
      <c r="I214" s="74">
        <v>2541028.2088741371</v>
      </c>
      <c r="J214" s="74">
        <v>564116.0081108727</v>
      </c>
      <c r="K214" s="74">
        <v>425094.39130486135</v>
      </c>
      <c r="L214" s="74">
        <v>-116298</v>
      </c>
      <c r="M214" s="75">
        <v>-36736</v>
      </c>
      <c r="N214" s="75">
        <v>19410.458864154592</v>
      </c>
      <c r="O214" s="178">
        <f t="shared" si="95"/>
        <v>112363.99385713041</v>
      </c>
      <c r="P214" s="179">
        <f t="shared" si="96"/>
        <v>45.93785521550712</v>
      </c>
      <c r="Q214" s="74"/>
      <c r="R214" s="89">
        <v>24009553</v>
      </c>
      <c r="S214" s="74">
        <v>6810473.7714919886</v>
      </c>
      <c r="T214" s="74">
        <v>1613689.1349000002</v>
      </c>
      <c r="U214" s="74">
        <v>13598827.951815693</v>
      </c>
      <c r="V214" s="74">
        <v>1881403.118942746</v>
      </c>
      <c r="W214" s="74">
        <v>684780.15760000004</v>
      </c>
      <c r="X214" s="178">
        <f t="shared" si="97"/>
        <v>579621.13475042954</v>
      </c>
      <c r="Y214" s="179">
        <f t="shared" si="98"/>
        <v>236.96693979984855</v>
      </c>
      <c r="Z214" s="74"/>
      <c r="AA214" s="84">
        <f t="shared" si="99"/>
        <v>-467257.14089329913</v>
      </c>
      <c r="AB214" s="132">
        <f t="shared" si="100"/>
        <v>-191.02908458434143</v>
      </c>
      <c r="AD214" s="180">
        <v>477446.47942082008</v>
      </c>
      <c r="AE214" s="187">
        <v>437587.06293663342</v>
      </c>
      <c r="AF214" s="187">
        <v>398234.18436211121</v>
      </c>
      <c r="AG214" s="187">
        <v>358632.85978766577</v>
      </c>
      <c r="AH214" s="188">
        <v>319555.07665016636</v>
      </c>
      <c r="AJ214" s="74">
        <f t="shared" si="101"/>
        <v>3840996.0028082919</v>
      </c>
      <c r="AK214" s="74">
        <f t="shared" si="102"/>
        <v>537896.37830000021</v>
      </c>
      <c r="AL214" s="74">
        <f t="shared" si="103"/>
        <v>11057799.742941555</v>
      </c>
      <c r="AM214" s="74">
        <f t="shared" si="104"/>
        <v>15842217.243819408</v>
      </c>
      <c r="AN214" s="74">
        <f t="shared" si="105"/>
        <v>477446.47942082008</v>
      </c>
      <c r="AO214" s="74">
        <f t="shared" si="106"/>
        <v>437587.06293663342</v>
      </c>
      <c r="AP214" s="74">
        <f t="shared" si="107"/>
        <v>398234.18436211121</v>
      </c>
      <c r="AQ214" s="74">
        <f t="shared" si="108"/>
        <v>358632.85978766577</v>
      </c>
      <c r="AR214" s="74">
        <f t="shared" si="109"/>
        <v>319555.07665016636</v>
      </c>
      <c r="AS214" s="75">
        <v>1226</v>
      </c>
      <c r="AT214" s="75"/>
      <c r="AU214" s="75"/>
      <c r="AV214" s="75">
        <v>0</v>
      </c>
      <c r="AW214" s="75">
        <v>9626.2532034679953</v>
      </c>
      <c r="AX214" s="75">
        <v>-1248.7468581390817</v>
      </c>
      <c r="AY214" s="75">
        <v>1317.2871108318732</v>
      </c>
      <c r="AZ214" s="316"/>
      <c r="BA214" s="74"/>
      <c r="BB214" s="74"/>
      <c r="BC214" s="74"/>
      <c r="BD214" s="74"/>
      <c r="BE214" s="74"/>
      <c r="BF214" s="74"/>
      <c r="BG214" s="74"/>
      <c r="BM214" s="316"/>
      <c r="BN214" s="74">
        <v>8167335.7561805919</v>
      </c>
      <c r="BO214" s="74">
        <v>15189925.350000001</v>
      </c>
      <c r="BP214" s="74">
        <v>14879000</v>
      </c>
      <c r="BQ214" s="74">
        <v>345872.8</v>
      </c>
      <c r="BR214" s="74">
        <v>340000</v>
      </c>
      <c r="BS214" s="406">
        <f t="shared" si="110"/>
        <v>0.56398367157455986</v>
      </c>
      <c r="BT214" s="406">
        <f t="shared" si="111"/>
        <v>0.33333333333333348</v>
      </c>
      <c r="BU214" s="74">
        <f t="shared" si="112"/>
        <v>12800181.245078292</v>
      </c>
      <c r="BV214" s="316"/>
      <c r="BW214" s="74">
        <v>24009553</v>
      </c>
      <c r="BX214" s="74">
        <v>8167335.7561805919</v>
      </c>
      <c r="BY214" s="74">
        <v>9261977.0639919899</v>
      </c>
      <c r="BZ214" s="74">
        <v>4883084.6828836966</v>
      </c>
      <c r="CA214" s="74">
        <f t="shared" si="113"/>
        <v>425094.3913048614</v>
      </c>
      <c r="CB214" s="74">
        <f t="shared" si="114"/>
        <v>236.96693979984798</v>
      </c>
      <c r="CC214" s="74">
        <f t="shared" si="115"/>
        <v>45.937855215507192</v>
      </c>
      <c r="CD214" s="74">
        <f t="shared" si="116"/>
        <v>-191.02908458434078</v>
      </c>
      <c r="CE214" s="74">
        <f t="shared" si="117"/>
        <v>178.89904453664579</v>
      </c>
      <c r="CF214" s="74">
        <f t="shared" si="118"/>
        <v>162.8103779076506</v>
      </c>
      <c r="CG214" s="74">
        <f t="shared" si="119"/>
        <v>146.6201389156451</v>
      </c>
      <c r="CH214" s="74">
        <f t="shared" si="120"/>
        <v>130.64393975885875</v>
      </c>
      <c r="CI214" s="74">
        <f t="shared" si="121"/>
        <v>437587.06293663557</v>
      </c>
      <c r="CJ214" s="74">
        <f t="shared" si="122"/>
        <v>398234.18436211336</v>
      </c>
      <c r="CK214" s="74">
        <f t="shared" si="123"/>
        <v>358632.85978766793</v>
      </c>
      <c r="CL214" s="74">
        <f t="shared" si="124"/>
        <v>319555.07665016851</v>
      </c>
      <c r="CM214" s="316"/>
      <c r="CN214" s="74">
        <v>6754.0520344577853</v>
      </c>
      <c r="CO214" s="74">
        <v>1751.290534</v>
      </c>
    </row>
    <row r="215" spans="1:93" x14ac:dyDescent="0.2">
      <c r="A215" s="74">
        <v>623</v>
      </c>
      <c r="B215" s="74" t="s">
        <v>337</v>
      </c>
      <c r="C215" s="74">
        <v>10</v>
      </c>
      <c r="D215" s="74">
        <v>2117</v>
      </c>
      <c r="E215" s="89">
        <v>6370432.611894669</v>
      </c>
      <c r="F215" s="74">
        <v>2319359.8543853806</v>
      </c>
      <c r="G215" s="74">
        <v>1836454.4965000001</v>
      </c>
      <c r="H215" s="74">
        <v>1088936.9794000001</v>
      </c>
      <c r="I215" s="74">
        <v>897179.93214771221</v>
      </c>
      <c r="J215" s="74">
        <v>473206.9033203898</v>
      </c>
      <c r="K215" s="74">
        <v>488578.59961381136</v>
      </c>
      <c r="L215" s="74">
        <v>-468164</v>
      </c>
      <c r="M215" s="75">
        <v>44250</v>
      </c>
      <c r="N215" s="75">
        <v>20158.911312339405</v>
      </c>
      <c r="O215" s="178">
        <f t="shared" si="95"/>
        <v>329529.06478496455</v>
      </c>
      <c r="P215" s="179">
        <f t="shared" si="96"/>
        <v>155.65850958193886</v>
      </c>
      <c r="Q215" s="74"/>
      <c r="R215" s="89">
        <v>17772565.199999999</v>
      </c>
      <c r="S215" s="74">
        <v>6322630.4869199591</v>
      </c>
      <c r="T215" s="74">
        <v>1633405.4691000001</v>
      </c>
      <c r="U215" s="74">
        <v>7276810.0642651962</v>
      </c>
      <c r="V215" s="74">
        <v>1578208.969452325</v>
      </c>
      <c r="W215" s="74">
        <v>1412540.4965000001</v>
      </c>
      <c r="X215" s="178">
        <f t="shared" si="97"/>
        <v>451030.28623748198</v>
      </c>
      <c r="Y215" s="179">
        <f t="shared" si="98"/>
        <v>213.05162316366651</v>
      </c>
      <c r="Z215" s="74"/>
      <c r="AA215" s="84">
        <f t="shared" si="99"/>
        <v>-121501.22145251743</v>
      </c>
      <c r="AB215" s="132">
        <f t="shared" si="100"/>
        <v>-57.393113581727647</v>
      </c>
      <c r="AD215" s="180">
        <v>130320.03979379509</v>
      </c>
      <c r="AE215" s="187">
        <v>95821.926671545254</v>
      </c>
      <c r="AF215" s="187">
        <v>61762.219417962464</v>
      </c>
      <c r="AG215" s="187">
        <v>27487.48347188679</v>
      </c>
      <c r="AH215" s="188">
        <v>-815.35159554546897</v>
      </c>
      <c r="AJ215" s="74">
        <f t="shared" si="101"/>
        <v>4003270.6325345784</v>
      </c>
      <c r="AK215" s="74">
        <f t="shared" si="102"/>
        <v>544468.48970000003</v>
      </c>
      <c r="AL215" s="74">
        <f t="shared" si="103"/>
        <v>6379630.1321174838</v>
      </c>
      <c r="AM215" s="74">
        <f t="shared" si="104"/>
        <v>11402132.58810533</v>
      </c>
      <c r="AN215" s="74">
        <f t="shared" si="105"/>
        <v>130320.03979379509</v>
      </c>
      <c r="AO215" s="74">
        <f t="shared" si="106"/>
        <v>95821.926671545254</v>
      </c>
      <c r="AP215" s="74">
        <f t="shared" si="107"/>
        <v>61762.219417962464</v>
      </c>
      <c r="AQ215" s="74">
        <f t="shared" si="108"/>
        <v>27487.48347188679</v>
      </c>
      <c r="AR215" s="74">
        <f t="shared" si="109"/>
        <v>-815.35159554546897</v>
      </c>
      <c r="AS215" s="75">
        <v>712</v>
      </c>
      <c r="AT215" s="75"/>
      <c r="AU215" s="75"/>
      <c r="AV215" s="75">
        <v>0</v>
      </c>
      <c r="AW215" s="75">
        <v>6305.36675814923</v>
      </c>
      <c r="AX215" s="75">
        <v>-279.39968075013877</v>
      </c>
      <c r="AY215" s="75">
        <v>1105.0020661319352</v>
      </c>
      <c r="AZ215" s="316"/>
      <c r="BA215" s="74"/>
      <c r="BB215" s="74"/>
      <c r="BC215" s="74"/>
      <c r="BD215" s="74"/>
      <c r="BE215" s="74"/>
      <c r="BF215" s="74"/>
      <c r="BG215" s="74"/>
      <c r="BM215" s="316"/>
      <c r="BN215" s="74">
        <v>6370432.611894669</v>
      </c>
      <c r="BO215" s="74">
        <v>11037413.539999997</v>
      </c>
      <c r="BP215" s="74">
        <v>11289000</v>
      </c>
      <c r="BQ215" s="74">
        <v>218785.4</v>
      </c>
      <c r="BR215" s="74">
        <v>228000</v>
      </c>
      <c r="BS215" s="406">
        <f t="shared" si="110"/>
        <v>0.63316536381754518</v>
      </c>
      <c r="BT215" s="406">
        <f t="shared" si="111"/>
        <v>0.33333333333333337</v>
      </c>
      <c r="BU215" s="74">
        <f t="shared" si="112"/>
        <v>7973210.7978632301</v>
      </c>
      <c r="BV215" s="316"/>
      <c r="BW215" s="74">
        <v>17772565.199999999</v>
      </c>
      <c r="BX215" s="74">
        <v>6370432.611894669</v>
      </c>
      <c r="BY215" s="74">
        <v>9792490.4525199588</v>
      </c>
      <c r="BZ215" s="74">
        <v>5244751.3302853815</v>
      </c>
      <c r="CA215" s="74">
        <f t="shared" si="113"/>
        <v>488578.5996138099</v>
      </c>
      <c r="CB215" s="74">
        <f t="shared" si="114"/>
        <v>213.05162316366585</v>
      </c>
      <c r="CC215" s="74">
        <f t="shared" si="115"/>
        <v>155.65850958193829</v>
      </c>
      <c r="CD215" s="74">
        <f t="shared" si="116"/>
        <v>-57.393113581727562</v>
      </c>
      <c r="CE215" s="74">
        <f t="shared" si="117"/>
        <v>45.263073534032564</v>
      </c>
      <c r="CF215" s="74">
        <f t="shared" si="118"/>
        <v>29.174406905037387</v>
      </c>
      <c r="CG215" s="74">
        <f t="shared" si="119"/>
        <v>12.984167913031873</v>
      </c>
      <c r="CH215" s="74">
        <f t="shared" si="120"/>
        <v>-0.38514482548203544</v>
      </c>
      <c r="CI215" s="74">
        <f t="shared" si="121"/>
        <v>95821.926671546942</v>
      </c>
      <c r="CJ215" s="74">
        <f t="shared" si="122"/>
        <v>61762.219417964145</v>
      </c>
      <c r="CK215" s="74">
        <f t="shared" si="123"/>
        <v>27487.483471888478</v>
      </c>
      <c r="CL215" s="74">
        <f t="shared" si="124"/>
        <v>-815.35159554546897</v>
      </c>
      <c r="CM215" s="316"/>
      <c r="CN215" s="74">
        <v>6861.3244121222888</v>
      </c>
      <c r="CO215" s="74">
        <v>1772.6881060000001</v>
      </c>
    </row>
    <row r="216" spans="1:93" x14ac:dyDescent="0.2">
      <c r="A216" s="74">
        <v>624</v>
      </c>
      <c r="B216" s="74" t="s">
        <v>131</v>
      </c>
      <c r="C216" s="74">
        <v>8</v>
      </c>
      <c r="D216" s="74">
        <v>5119</v>
      </c>
      <c r="E216" s="89">
        <v>15115912.914132394</v>
      </c>
      <c r="F216" s="74">
        <v>8102073.0185195049</v>
      </c>
      <c r="G216" s="74">
        <v>2244153.0163000003</v>
      </c>
      <c r="H216" s="74">
        <v>682430.13260000001</v>
      </c>
      <c r="I216" s="74">
        <v>2798384.3377069635</v>
      </c>
      <c r="J216" s="74">
        <v>734009.71555148577</v>
      </c>
      <c r="K216" s="74">
        <v>1230772.7042678252</v>
      </c>
      <c r="L216" s="74">
        <v>-842338</v>
      </c>
      <c r="M216" s="75">
        <v>-16000</v>
      </c>
      <c r="N216" s="75">
        <v>54838.212195361331</v>
      </c>
      <c r="O216" s="178">
        <f t="shared" si="95"/>
        <v>-127589.77699125186</v>
      </c>
      <c r="P216" s="179">
        <f t="shared" si="96"/>
        <v>-24.9247464331416</v>
      </c>
      <c r="Q216" s="74"/>
      <c r="R216" s="89">
        <v>32844684.5</v>
      </c>
      <c r="S216" s="74">
        <v>20132055.936586492</v>
      </c>
      <c r="T216" s="74">
        <v>1023645.1989000001</v>
      </c>
      <c r="U216" s="74">
        <v>8948368.5041040704</v>
      </c>
      <c r="V216" s="74">
        <v>2448021.5918663037</v>
      </c>
      <c r="W216" s="74">
        <v>1385815.0163000003</v>
      </c>
      <c r="X216" s="178">
        <f t="shared" si="97"/>
        <v>1093221.7477568686</v>
      </c>
      <c r="Y216" s="179">
        <f t="shared" si="98"/>
        <v>213.56158385561019</v>
      </c>
      <c r="Z216" s="74"/>
      <c r="AA216" s="84">
        <f t="shared" si="99"/>
        <v>-1220811.5247481205</v>
      </c>
      <c r="AB216" s="132">
        <f t="shared" si="100"/>
        <v>-238.48633028875179</v>
      </c>
      <c r="AD216" s="180">
        <v>1242135.8190745304</v>
      </c>
      <c r="AE216" s="187">
        <v>1158717.8497439697</v>
      </c>
      <c r="AF216" s="187">
        <v>1076359.9652701435</v>
      </c>
      <c r="AG216" s="187">
        <v>993482.13187006721</v>
      </c>
      <c r="AH216" s="188">
        <v>911699.96838647791</v>
      </c>
      <c r="AJ216" s="74">
        <f t="shared" si="101"/>
        <v>12029982.918066986</v>
      </c>
      <c r="AK216" s="74">
        <f t="shared" si="102"/>
        <v>341215.06630000006</v>
      </c>
      <c r="AL216" s="74">
        <f t="shared" si="103"/>
        <v>6149984.1663971068</v>
      </c>
      <c r="AM216" s="74">
        <f t="shared" si="104"/>
        <v>17728771.585867606</v>
      </c>
      <c r="AN216" s="74">
        <f t="shared" si="105"/>
        <v>1242135.8190745304</v>
      </c>
      <c r="AO216" s="74">
        <f t="shared" si="106"/>
        <v>1158717.8497439697</v>
      </c>
      <c r="AP216" s="74">
        <f t="shared" si="107"/>
        <v>1076359.9652701435</v>
      </c>
      <c r="AQ216" s="74">
        <f t="shared" si="108"/>
        <v>993482.13187006721</v>
      </c>
      <c r="AR216" s="74">
        <f t="shared" si="109"/>
        <v>911699.96838647791</v>
      </c>
      <c r="AS216" s="75">
        <v>1538</v>
      </c>
      <c r="AT216" s="75"/>
      <c r="AU216" s="75"/>
      <c r="AV216" s="75">
        <v>110</v>
      </c>
      <c r="AW216" s="75">
        <v>5709.5965861773793</v>
      </c>
      <c r="AX216" s="75">
        <v>-42.312073125440961</v>
      </c>
      <c r="AY216" s="75">
        <v>1714.011876314818</v>
      </c>
      <c r="AZ216" s="316"/>
      <c r="BA216" s="74"/>
      <c r="BB216" s="74"/>
      <c r="BC216" s="74"/>
      <c r="BD216" s="74"/>
      <c r="BE216" s="74"/>
      <c r="BF216" s="74"/>
      <c r="BG216" s="74"/>
      <c r="BM216" s="316"/>
      <c r="BN216" s="74">
        <v>15115912.914132394</v>
      </c>
      <c r="BO216" s="74">
        <v>17049542.119999997</v>
      </c>
      <c r="BP216" s="74">
        <v>18428000</v>
      </c>
      <c r="BQ216" s="74">
        <v>377775.58</v>
      </c>
      <c r="BR216" s="74">
        <v>442000</v>
      </c>
      <c r="BS216" s="406">
        <f t="shared" si="110"/>
        <v>0.59755362075090379</v>
      </c>
      <c r="BT216" s="406">
        <f t="shared" si="111"/>
        <v>0.33333333333333337</v>
      </c>
      <c r="BU216" s="74">
        <f t="shared" si="112"/>
        <v>9094768.7469797507</v>
      </c>
      <c r="BV216" s="316"/>
      <c r="BW216" s="74">
        <v>32844684.5</v>
      </c>
      <c r="BX216" s="74">
        <v>15115912.914132394</v>
      </c>
      <c r="BY216" s="74">
        <v>23399854.151786491</v>
      </c>
      <c r="BZ216" s="74">
        <v>11028656.167419506</v>
      </c>
      <c r="CA216" s="74">
        <f t="shared" si="113"/>
        <v>1230772.7042678231</v>
      </c>
      <c r="CB216" s="74">
        <f t="shared" si="114"/>
        <v>213.56158385560957</v>
      </c>
      <c r="CC216" s="74">
        <f t="shared" si="115"/>
        <v>-24.924746433142182</v>
      </c>
      <c r="CD216" s="74">
        <f t="shared" si="116"/>
        <v>-238.48633028875176</v>
      </c>
      <c r="CE216" s="74">
        <f t="shared" si="117"/>
        <v>226.35629024105677</v>
      </c>
      <c r="CF216" s="74">
        <f t="shared" si="118"/>
        <v>210.26762361206158</v>
      </c>
      <c r="CG216" s="74">
        <f t="shared" si="119"/>
        <v>194.07738462005608</v>
      </c>
      <c r="CH216" s="74">
        <f t="shared" si="120"/>
        <v>178.10118546326973</v>
      </c>
      <c r="CI216" s="74">
        <f t="shared" si="121"/>
        <v>1158717.8497439695</v>
      </c>
      <c r="CJ216" s="74">
        <f t="shared" si="122"/>
        <v>1076359.9652701432</v>
      </c>
      <c r="CK216" s="74">
        <f t="shared" si="123"/>
        <v>993482.1318700671</v>
      </c>
      <c r="CL216" s="74">
        <f t="shared" si="124"/>
        <v>911699.96838647779</v>
      </c>
      <c r="CM216" s="316"/>
      <c r="CN216" s="74">
        <v>20549.84751901311</v>
      </c>
      <c r="CO216" s="74">
        <v>1110.9327740000001</v>
      </c>
    </row>
    <row r="217" spans="1:93" x14ac:dyDescent="0.2">
      <c r="A217" s="74">
        <v>625</v>
      </c>
      <c r="B217" s="74" t="s">
        <v>338</v>
      </c>
      <c r="C217" s="74">
        <v>17</v>
      </c>
      <c r="D217" s="74">
        <v>3048</v>
      </c>
      <c r="E217" s="89">
        <v>11648677.265563952</v>
      </c>
      <c r="F217" s="74">
        <v>4165860.7851944105</v>
      </c>
      <c r="G217" s="74">
        <v>3239699.4869999997</v>
      </c>
      <c r="H217" s="74">
        <v>446118.43819999998</v>
      </c>
      <c r="I217" s="74">
        <v>2609204.2113589831</v>
      </c>
      <c r="J217" s="74">
        <v>548959.78022634261</v>
      </c>
      <c r="K217" s="74">
        <v>926376.7372162512</v>
      </c>
      <c r="L217" s="74">
        <v>590379</v>
      </c>
      <c r="M217" s="75">
        <v>323000</v>
      </c>
      <c r="N217" s="75">
        <v>28044.562197043197</v>
      </c>
      <c r="O217" s="178">
        <f t="shared" si="95"/>
        <v>1228965.7358290777</v>
      </c>
      <c r="P217" s="179">
        <f t="shared" si="96"/>
        <v>403.20398157121969</v>
      </c>
      <c r="Q217" s="74"/>
      <c r="R217" s="89">
        <v>24344500</v>
      </c>
      <c r="S217" s="74">
        <v>10269500.002004813</v>
      </c>
      <c r="T217" s="74">
        <v>669177.65729999996</v>
      </c>
      <c r="U217" s="74">
        <v>9262540.8012009058</v>
      </c>
      <c r="V217" s="74">
        <v>1830855.050808935</v>
      </c>
      <c r="W217" s="74">
        <v>4153078.4869999997</v>
      </c>
      <c r="X217" s="178">
        <f t="shared" si="97"/>
        <v>1840651.9983146526</v>
      </c>
      <c r="Y217" s="179">
        <f t="shared" si="98"/>
        <v>603.88845089063409</v>
      </c>
      <c r="Z217" s="74"/>
      <c r="AA217" s="84">
        <f t="shared" si="99"/>
        <v>-611686.26248557493</v>
      </c>
      <c r="AB217" s="132">
        <f t="shared" si="100"/>
        <v>-200.68446931941435</v>
      </c>
      <c r="AD217" s="180">
        <v>624383.3613538905</v>
      </c>
      <c r="AE217" s="187">
        <v>574713.90042020252</v>
      </c>
      <c r="AF217" s="187">
        <v>525675.64453502523</v>
      </c>
      <c r="AG217" s="187">
        <v>476327.79608739243</v>
      </c>
      <c r="AH217" s="188">
        <v>427632.34105750761</v>
      </c>
      <c r="AJ217" s="74">
        <f t="shared" si="101"/>
        <v>6103639.2168104034</v>
      </c>
      <c r="AK217" s="74">
        <f t="shared" si="102"/>
        <v>223059.21909999999</v>
      </c>
      <c r="AL217" s="74">
        <f t="shared" si="103"/>
        <v>6653336.5898419227</v>
      </c>
      <c r="AM217" s="74">
        <f t="shared" si="104"/>
        <v>12695822.734436048</v>
      </c>
      <c r="AN217" s="74">
        <f t="shared" si="105"/>
        <v>624383.3613538905</v>
      </c>
      <c r="AO217" s="74">
        <f t="shared" si="106"/>
        <v>574713.90042020252</v>
      </c>
      <c r="AP217" s="74">
        <f t="shared" si="107"/>
        <v>525675.64453502523</v>
      </c>
      <c r="AQ217" s="74">
        <f t="shared" si="108"/>
        <v>476327.79608739243</v>
      </c>
      <c r="AR217" s="74">
        <f t="shared" si="109"/>
        <v>427632.34105750761</v>
      </c>
      <c r="AS217" s="75">
        <v>1163</v>
      </c>
      <c r="AT217" s="75"/>
      <c r="AU217" s="75"/>
      <c r="AV217" s="75">
        <v>0</v>
      </c>
      <c r="AW217" s="75">
        <v>5877.2138192402108</v>
      </c>
      <c r="AX217" s="75">
        <v>-783.34337637360125</v>
      </c>
      <c r="AY217" s="75">
        <v>1281.8952705825923</v>
      </c>
      <c r="AZ217" s="316"/>
      <c r="BA217" s="74"/>
      <c r="BB217" s="74"/>
      <c r="BC217" s="74"/>
      <c r="BD217" s="74"/>
      <c r="BE217" s="74"/>
      <c r="BF217" s="74"/>
      <c r="BG217" s="74"/>
      <c r="BM217" s="316"/>
      <c r="BN217" s="74">
        <v>11648677.265563952</v>
      </c>
      <c r="BO217" s="74">
        <v>11595286.960000001</v>
      </c>
      <c r="BP217" s="74">
        <v>12700000</v>
      </c>
      <c r="BQ217" s="74">
        <v>399008.27999999997</v>
      </c>
      <c r="BR217" s="74">
        <v>431000</v>
      </c>
      <c r="BS217" s="406">
        <f t="shared" si="110"/>
        <v>0.59434628907141041</v>
      </c>
      <c r="BT217" s="406">
        <f t="shared" si="111"/>
        <v>0.33333333333333337</v>
      </c>
      <c r="BU217" s="74">
        <f t="shared" si="112"/>
        <v>8861608.5976407658</v>
      </c>
      <c r="BV217" s="316"/>
      <c r="BW217" s="74">
        <v>24344500</v>
      </c>
      <c r="BX217" s="74">
        <v>11648677.265563952</v>
      </c>
      <c r="BY217" s="74">
        <v>14178377.146304812</v>
      </c>
      <c r="BZ217" s="74">
        <v>7851678.7103944095</v>
      </c>
      <c r="CA217" s="74">
        <f t="shared" si="113"/>
        <v>926376.73721624864</v>
      </c>
      <c r="CB217" s="74">
        <f t="shared" si="114"/>
        <v>603.8884508906342</v>
      </c>
      <c r="CC217" s="74">
        <f t="shared" si="115"/>
        <v>403.20398157121889</v>
      </c>
      <c r="CD217" s="74">
        <f t="shared" si="116"/>
        <v>-200.68446931941531</v>
      </c>
      <c r="CE217" s="74">
        <f t="shared" si="117"/>
        <v>188.55442927172032</v>
      </c>
      <c r="CF217" s="74">
        <f t="shared" si="118"/>
        <v>172.46576264272514</v>
      </c>
      <c r="CG217" s="74">
        <f t="shared" si="119"/>
        <v>156.27552365071963</v>
      </c>
      <c r="CH217" s="74">
        <f t="shared" si="120"/>
        <v>140.29932449393328</v>
      </c>
      <c r="CI217" s="74">
        <f t="shared" si="121"/>
        <v>574713.90042020357</v>
      </c>
      <c r="CJ217" s="74">
        <f t="shared" si="122"/>
        <v>525675.64453502628</v>
      </c>
      <c r="CK217" s="74">
        <f t="shared" si="123"/>
        <v>476327.79608739342</v>
      </c>
      <c r="CL217" s="74">
        <f t="shared" si="124"/>
        <v>427632.34105750866</v>
      </c>
      <c r="CM217" s="316"/>
      <c r="CN217" s="74">
        <v>11242.980913832864</v>
      </c>
      <c r="CO217" s="74">
        <v>726.23931799999991</v>
      </c>
    </row>
    <row r="218" spans="1:93" x14ac:dyDescent="0.2">
      <c r="A218" s="74">
        <v>626</v>
      </c>
      <c r="B218" s="74" t="s">
        <v>132</v>
      </c>
      <c r="C218" s="74">
        <v>17</v>
      </c>
      <c r="D218" s="74">
        <v>4964</v>
      </c>
      <c r="E218" s="89">
        <v>14586464.202476677</v>
      </c>
      <c r="F218" s="74">
        <v>7020371.1489103939</v>
      </c>
      <c r="G218" s="74">
        <v>1356026.7050000001</v>
      </c>
      <c r="H218" s="74">
        <v>1823321.4491999999</v>
      </c>
      <c r="I218" s="74">
        <v>2010149.6516612633</v>
      </c>
      <c r="J218" s="74">
        <v>964294.41048747441</v>
      </c>
      <c r="K218" s="74">
        <v>-290975.44823777484</v>
      </c>
      <c r="L218" s="74">
        <v>-294930</v>
      </c>
      <c r="M218" s="75">
        <v>56000</v>
      </c>
      <c r="N218" s="75">
        <v>44308.359250493144</v>
      </c>
      <c r="O218" s="178">
        <f t="shared" si="95"/>
        <v>-1897897.9262048267</v>
      </c>
      <c r="P218" s="179">
        <f t="shared" si="96"/>
        <v>-382.33237836519476</v>
      </c>
      <c r="Q218" s="74"/>
      <c r="R218" s="89">
        <v>43058864</v>
      </c>
      <c r="S218" s="74">
        <v>16104431.705258278</v>
      </c>
      <c r="T218" s="74">
        <v>2734982.1738</v>
      </c>
      <c r="U218" s="74">
        <v>17627605.379427809</v>
      </c>
      <c r="V218" s="74">
        <v>3216052.1690311939</v>
      </c>
      <c r="W218" s="74">
        <v>1117096.7050000001</v>
      </c>
      <c r="X218" s="178">
        <f t="shared" si="97"/>
        <v>-2258695.8674827218</v>
      </c>
      <c r="Y218" s="179">
        <f t="shared" si="98"/>
        <v>-455.01528353801808</v>
      </c>
      <c r="Z218" s="74"/>
      <c r="AA218" s="84">
        <f t="shared" si="99"/>
        <v>360797.94127789512</v>
      </c>
      <c r="AB218" s="132">
        <f t="shared" si="100"/>
        <v>72.682905172823354</v>
      </c>
      <c r="AD218" s="180">
        <v>-340119.33275351004</v>
      </c>
      <c r="AE218" s="187">
        <v>-272091.46007464762</v>
      </c>
      <c r="AF218" s="187">
        <v>-203035.60122097965</v>
      </c>
      <c r="AG218" s="187">
        <v>-134483.94757729501</v>
      </c>
      <c r="AH218" s="188">
        <v>-64869.80019158245</v>
      </c>
      <c r="AJ218" s="74">
        <f t="shared" si="101"/>
        <v>9084060.5563478842</v>
      </c>
      <c r="AK218" s="74">
        <f t="shared" si="102"/>
        <v>911660.72460000007</v>
      </c>
      <c r="AL218" s="74">
        <f t="shared" si="103"/>
        <v>15617455.727766545</v>
      </c>
      <c r="AM218" s="74">
        <f t="shared" si="104"/>
        <v>28472399.797523323</v>
      </c>
      <c r="AN218" s="74">
        <f t="shared" si="105"/>
        <v>-340119.33275351004</v>
      </c>
      <c r="AO218" s="74">
        <f t="shared" si="106"/>
        <v>-272091.46007464762</v>
      </c>
      <c r="AP218" s="74">
        <f t="shared" si="107"/>
        <v>-203035.60122097965</v>
      </c>
      <c r="AQ218" s="74">
        <f t="shared" si="108"/>
        <v>-134483.94757729501</v>
      </c>
      <c r="AR218" s="74">
        <f t="shared" si="109"/>
        <v>-64869.80019158245</v>
      </c>
      <c r="AS218" s="75">
        <v>1786</v>
      </c>
      <c r="AT218" s="75"/>
      <c r="AU218" s="75"/>
      <c r="AV218" s="75">
        <v>0</v>
      </c>
      <c r="AW218" s="75">
        <v>15018.631614004549</v>
      </c>
      <c r="AX218" s="75">
        <v>-767.79205750596111</v>
      </c>
      <c r="AY218" s="75">
        <v>2251.7577585437198</v>
      </c>
      <c r="AZ218" s="316"/>
      <c r="BA218" s="74"/>
      <c r="BB218" s="74"/>
      <c r="BC218" s="74"/>
      <c r="BD218" s="74"/>
      <c r="BE218" s="74"/>
      <c r="BF218" s="74"/>
      <c r="BG218" s="74"/>
      <c r="BM218" s="316"/>
      <c r="BN218" s="74">
        <v>14586464.202476677</v>
      </c>
      <c r="BO218" s="74">
        <v>27402101.249999993</v>
      </c>
      <c r="BP218" s="74">
        <v>26603000</v>
      </c>
      <c r="BQ218" s="74">
        <v>600151.98</v>
      </c>
      <c r="BR218" s="74">
        <v>625000</v>
      </c>
      <c r="BS218" s="406">
        <f t="shared" si="110"/>
        <v>0.56407209658828483</v>
      </c>
      <c r="BT218" s="406">
        <f t="shared" si="111"/>
        <v>0.33333333333333337</v>
      </c>
      <c r="BU218" s="74">
        <f t="shared" si="112"/>
        <v>17578238.038072493</v>
      </c>
      <c r="BV218" s="316"/>
      <c r="BW218" s="74">
        <v>43058864</v>
      </c>
      <c r="BX218" s="74">
        <v>14586464.202476677</v>
      </c>
      <c r="BY218" s="74">
        <v>20195440.584058277</v>
      </c>
      <c r="BZ218" s="74">
        <v>10199719.303110395</v>
      </c>
      <c r="CA218" s="74">
        <f t="shared" si="113"/>
        <v>-290975.44823777914</v>
      </c>
      <c r="CB218" s="74">
        <f t="shared" si="114"/>
        <v>-455.01528353801723</v>
      </c>
      <c r="CC218" s="74">
        <f t="shared" si="115"/>
        <v>-382.33237836519561</v>
      </c>
      <c r="CD218" s="74">
        <f t="shared" si="116"/>
        <v>72.68290517282162</v>
      </c>
      <c r="CE218" s="74">
        <f t="shared" si="117"/>
        <v>-54.812945220516617</v>
      </c>
      <c r="CF218" s="74">
        <f t="shared" si="118"/>
        <v>-40.901611849511795</v>
      </c>
      <c r="CG218" s="74">
        <f t="shared" si="119"/>
        <v>-27.091850841517306</v>
      </c>
      <c r="CH218" s="74">
        <f t="shared" si="120"/>
        <v>-13.068049998303655</v>
      </c>
      <c r="CI218" s="74">
        <f t="shared" si="121"/>
        <v>-272091.46007464448</v>
      </c>
      <c r="CJ218" s="74">
        <f t="shared" si="122"/>
        <v>-203035.60122097656</v>
      </c>
      <c r="CK218" s="74">
        <f t="shared" si="123"/>
        <v>-134483.9475772919</v>
      </c>
      <c r="CL218" s="74">
        <f t="shared" si="124"/>
        <v>-64869.800191579343</v>
      </c>
      <c r="CM218" s="316"/>
      <c r="CN218" s="74">
        <v>15889.283164151366</v>
      </c>
      <c r="CO218" s="74">
        <v>2968.1977080000001</v>
      </c>
    </row>
    <row r="219" spans="1:93" x14ac:dyDescent="0.2">
      <c r="A219" s="74">
        <v>630</v>
      </c>
      <c r="B219" s="74" t="s">
        <v>339</v>
      </c>
      <c r="C219" s="74">
        <v>17</v>
      </c>
      <c r="D219" s="74">
        <v>1631</v>
      </c>
      <c r="E219" s="89">
        <v>4880561.1224981127</v>
      </c>
      <c r="F219" s="74">
        <v>1594802.3784252272</v>
      </c>
      <c r="G219" s="74">
        <v>1303233.6875</v>
      </c>
      <c r="H219" s="74">
        <v>540088.14419999998</v>
      </c>
      <c r="I219" s="74">
        <v>2871540.3877574713</v>
      </c>
      <c r="J219" s="74">
        <v>288582.37330776721</v>
      </c>
      <c r="K219" s="74">
        <v>-353312.35339960601</v>
      </c>
      <c r="L219" s="74">
        <v>-86061</v>
      </c>
      <c r="M219" s="75">
        <v>-28650</v>
      </c>
      <c r="N219" s="75">
        <v>12367.161051807649</v>
      </c>
      <c r="O219" s="178">
        <f t="shared" si="95"/>
        <v>1262029.6563445544</v>
      </c>
      <c r="P219" s="179">
        <f t="shared" si="96"/>
        <v>773.77661333203821</v>
      </c>
      <c r="Q219" s="74"/>
      <c r="R219" s="89">
        <v>12269405.039999999</v>
      </c>
      <c r="S219" s="74">
        <v>4114721.5774000343</v>
      </c>
      <c r="T219" s="74">
        <v>810132.21629999997</v>
      </c>
      <c r="U219" s="74">
        <v>5981017.6394161042</v>
      </c>
      <c r="V219" s="74">
        <v>962461.21259941685</v>
      </c>
      <c r="W219" s="74">
        <v>1188522.6875</v>
      </c>
      <c r="X219" s="178">
        <f t="shared" si="97"/>
        <v>787450.29321555607</v>
      </c>
      <c r="Y219" s="179">
        <f t="shared" si="98"/>
        <v>482.80214176306322</v>
      </c>
      <c r="Z219" s="74"/>
      <c r="AA219" s="84">
        <f t="shared" si="99"/>
        <v>474579.36312899832</v>
      </c>
      <c r="AB219" s="132">
        <f t="shared" si="100"/>
        <v>290.97447156897505</v>
      </c>
      <c r="AD219" s="180">
        <v>-467785.08220569871</v>
      </c>
      <c r="AE219" s="187">
        <v>-445433.45844678965</v>
      </c>
      <c r="AF219" s="187">
        <v>-422744.07371868077</v>
      </c>
      <c r="AG219" s="187">
        <v>-400220.35351464181</v>
      </c>
      <c r="AH219" s="188">
        <v>-377347.53433936031</v>
      </c>
      <c r="AJ219" s="74">
        <f t="shared" si="101"/>
        <v>2519919.1989748068</v>
      </c>
      <c r="AK219" s="74">
        <f t="shared" si="102"/>
        <v>270044.07209999999</v>
      </c>
      <c r="AL219" s="74">
        <f t="shared" si="103"/>
        <v>3109477.2516586329</v>
      </c>
      <c r="AM219" s="74">
        <f t="shared" si="104"/>
        <v>7388843.9175018864</v>
      </c>
      <c r="AN219" s="74">
        <f t="shared" si="105"/>
        <v>-467785.08220569871</v>
      </c>
      <c r="AO219" s="74">
        <f t="shared" si="106"/>
        <v>-445433.45844678965</v>
      </c>
      <c r="AP219" s="74">
        <f t="shared" si="107"/>
        <v>-422744.07371868077</v>
      </c>
      <c r="AQ219" s="74">
        <f t="shared" si="108"/>
        <v>-400220.35351464181</v>
      </c>
      <c r="AR219" s="74">
        <f t="shared" si="109"/>
        <v>-377347.53433936031</v>
      </c>
      <c r="AS219" s="75">
        <v>522</v>
      </c>
      <c r="AT219" s="75"/>
      <c r="AU219" s="75"/>
      <c r="AV219" s="75">
        <v>9</v>
      </c>
      <c r="AW219" s="75">
        <v>2567.8851055703544</v>
      </c>
      <c r="AX219" s="75">
        <v>-781.3375506936967</v>
      </c>
      <c r="AY219" s="75">
        <v>673.87883929164968</v>
      </c>
      <c r="AZ219" s="316"/>
      <c r="BA219" s="74"/>
      <c r="BB219" s="74"/>
      <c r="BC219" s="74"/>
      <c r="BD219" s="74"/>
      <c r="BE219" s="74"/>
      <c r="BF219" s="74"/>
      <c r="BG219" s="74"/>
      <c r="BM219" s="316"/>
      <c r="BN219" s="74">
        <v>4880561.1224981127</v>
      </c>
      <c r="BO219" s="74">
        <v>6788443.9299999997</v>
      </c>
      <c r="BP219" s="74">
        <v>7089000</v>
      </c>
      <c r="BQ219" s="74">
        <v>221869.27000000002</v>
      </c>
      <c r="BR219" s="74">
        <v>251000</v>
      </c>
      <c r="BS219" s="406">
        <f t="shared" si="110"/>
        <v>0.61241548220792774</v>
      </c>
      <c r="BT219" s="406">
        <f t="shared" si="111"/>
        <v>0.33333333333333337</v>
      </c>
      <c r="BU219" s="74">
        <f t="shared" si="112"/>
        <v>3430043.7375506768</v>
      </c>
      <c r="BV219" s="316"/>
      <c r="BW219" s="74">
        <v>12269405.039999999</v>
      </c>
      <c r="BX219" s="74">
        <v>4880561.1224981127</v>
      </c>
      <c r="BY219" s="74">
        <v>6228087.4812000338</v>
      </c>
      <c r="BZ219" s="74">
        <v>3438124.2101252275</v>
      </c>
      <c r="CA219" s="74">
        <f t="shared" si="113"/>
        <v>-353312.35339960683</v>
      </c>
      <c r="CB219" s="74">
        <f t="shared" si="114"/>
        <v>482.80214176306299</v>
      </c>
      <c r="CC219" s="74">
        <f t="shared" si="115"/>
        <v>773.7766133320381</v>
      </c>
      <c r="CD219" s="74">
        <f t="shared" si="116"/>
        <v>290.9744715689751</v>
      </c>
      <c r="CE219" s="74">
        <f t="shared" si="117"/>
        <v>-273.1045116166701</v>
      </c>
      <c r="CF219" s="74">
        <f t="shared" si="118"/>
        <v>-259.19317824566525</v>
      </c>
      <c r="CG219" s="74">
        <f t="shared" si="119"/>
        <v>-245.38341723767078</v>
      </c>
      <c r="CH219" s="74">
        <f t="shared" si="120"/>
        <v>-231.35961639445713</v>
      </c>
      <c r="CI219" s="74">
        <f t="shared" si="121"/>
        <v>-445433.45844678895</v>
      </c>
      <c r="CJ219" s="74">
        <f t="shared" si="122"/>
        <v>-422744.07371868001</v>
      </c>
      <c r="CK219" s="74">
        <f t="shared" si="123"/>
        <v>-400220.35351464106</v>
      </c>
      <c r="CL219" s="74">
        <f t="shared" si="124"/>
        <v>-377347.53433935961</v>
      </c>
      <c r="CM219" s="316"/>
      <c r="CN219" s="74">
        <v>4368.7901864912747</v>
      </c>
      <c r="CO219" s="74">
        <v>879.213258</v>
      </c>
    </row>
    <row r="220" spans="1:93" x14ac:dyDescent="0.2">
      <c r="A220" s="74">
        <v>631</v>
      </c>
      <c r="B220" s="74" t="s">
        <v>340</v>
      </c>
      <c r="C220" s="74">
        <v>2</v>
      </c>
      <c r="D220" s="74">
        <v>1985</v>
      </c>
      <c r="E220" s="89">
        <v>6032955.2364809718</v>
      </c>
      <c r="F220" s="74">
        <v>3344291.6584571404</v>
      </c>
      <c r="G220" s="74">
        <v>791566.86100000003</v>
      </c>
      <c r="H220" s="74">
        <v>313914.11259999999</v>
      </c>
      <c r="I220" s="74">
        <v>900056.05925169238</v>
      </c>
      <c r="J220" s="74">
        <v>354245.45411438402</v>
      </c>
      <c r="K220" s="74">
        <v>562070.08676746942</v>
      </c>
      <c r="L220" s="74">
        <v>-524950</v>
      </c>
      <c r="M220" s="75">
        <v>13448</v>
      </c>
      <c r="N220" s="75">
        <v>19770.116816618589</v>
      </c>
      <c r="O220" s="178">
        <f t="shared" si="95"/>
        <v>-258542.88747366704</v>
      </c>
      <c r="P220" s="179">
        <f t="shared" si="96"/>
        <v>-130.24830603207408</v>
      </c>
      <c r="Q220" s="74"/>
      <c r="R220" s="89">
        <v>12952300</v>
      </c>
      <c r="S220" s="74">
        <v>7647363.8321607457</v>
      </c>
      <c r="T220" s="74">
        <v>470871.16889999999</v>
      </c>
      <c r="U220" s="74">
        <v>3658584.244654343</v>
      </c>
      <c r="V220" s="74">
        <v>1181456.4604787817</v>
      </c>
      <c r="W220" s="74">
        <v>280064.86100000003</v>
      </c>
      <c r="X220" s="178">
        <f t="shared" si="97"/>
        <v>286040.5671938695</v>
      </c>
      <c r="Y220" s="179">
        <f t="shared" si="98"/>
        <v>144.10104140749092</v>
      </c>
      <c r="Z220" s="74"/>
      <c r="AA220" s="84">
        <f t="shared" si="99"/>
        <v>-544583.45466753654</v>
      </c>
      <c r="AB220" s="132">
        <f t="shared" si="100"/>
        <v>-274.34934743956501</v>
      </c>
      <c r="AD220" s="180">
        <v>552852.39864837914</v>
      </c>
      <c r="AE220" s="187">
        <v>520505.32517286378</v>
      </c>
      <c r="AF220" s="187">
        <v>488569.32191430836</v>
      </c>
      <c r="AG220" s="187">
        <v>456431.69751517742</v>
      </c>
      <c r="AH220" s="188">
        <v>424718.94218895654</v>
      </c>
      <c r="AJ220" s="74">
        <f t="shared" si="101"/>
        <v>4303072.1737036053</v>
      </c>
      <c r="AK220" s="74">
        <f t="shared" si="102"/>
        <v>156957.0563</v>
      </c>
      <c r="AL220" s="74">
        <f t="shared" si="103"/>
        <v>2758528.1854026504</v>
      </c>
      <c r="AM220" s="74">
        <f t="shared" si="104"/>
        <v>6919344.7635190282</v>
      </c>
      <c r="AN220" s="74">
        <f t="shared" si="105"/>
        <v>552852.39864837914</v>
      </c>
      <c r="AO220" s="74">
        <f t="shared" si="106"/>
        <v>520505.32517286378</v>
      </c>
      <c r="AP220" s="74">
        <f t="shared" si="107"/>
        <v>488569.32191430836</v>
      </c>
      <c r="AQ220" s="74">
        <f t="shared" si="108"/>
        <v>456431.69751517742</v>
      </c>
      <c r="AR220" s="74">
        <f t="shared" si="109"/>
        <v>424718.94218895654</v>
      </c>
      <c r="AS220" s="75">
        <v>567</v>
      </c>
      <c r="AT220" s="75"/>
      <c r="AU220" s="75"/>
      <c r="AV220" s="75">
        <v>0</v>
      </c>
      <c r="AW220" s="75">
        <v>2303.0052299570543</v>
      </c>
      <c r="AX220" s="75">
        <v>-286.5140854958172</v>
      </c>
      <c r="AY220" s="75">
        <v>827.21100636439769</v>
      </c>
      <c r="AZ220" s="316"/>
      <c r="BA220" s="74"/>
      <c r="BB220" s="74"/>
      <c r="BC220" s="74"/>
      <c r="BD220" s="74"/>
      <c r="BE220" s="74"/>
      <c r="BF220" s="74"/>
      <c r="BG220" s="74"/>
      <c r="BM220" s="316"/>
      <c r="BN220" s="74">
        <v>6032955.2364809718</v>
      </c>
      <c r="BO220" s="74">
        <v>6859075.6699999999</v>
      </c>
      <c r="BP220" s="74">
        <v>6368000</v>
      </c>
      <c r="BQ220" s="74">
        <v>164436.71</v>
      </c>
      <c r="BR220" s="74">
        <v>153000</v>
      </c>
      <c r="BS220" s="406">
        <f t="shared" si="110"/>
        <v>0.56268699491021623</v>
      </c>
      <c r="BT220" s="406">
        <f t="shared" si="111"/>
        <v>0.33333333333333337</v>
      </c>
      <c r="BU220" s="74">
        <f t="shared" si="112"/>
        <v>4147809.2785345186</v>
      </c>
      <c r="BV220" s="316"/>
      <c r="BW220" s="74">
        <v>12952300</v>
      </c>
      <c r="BX220" s="74">
        <v>6032955.2364809718</v>
      </c>
      <c r="BY220" s="74">
        <v>8909801.8620607462</v>
      </c>
      <c r="BZ220" s="74">
        <v>4449772.6320571406</v>
      </c>
      <c r="CA220" s="74">
        <f t="shared" si="113"/>
        <v>562070.08676746814</v>
      </c>
      <c r="CB220" s="74">
        <f t="shared" si="114"/>
        <v>144.10104140749141</v>
      </c>
      <c r="CC220" s="74">
        <f t="shared" si="115"/>
        <v>-130.24830603207459</v>
      </c>
      <c r="CD220" s="74">
        <f t="shared" si="116"/>
        <v>-274.34934743956603</v>
      </c>
      <c r="CE220" s="74">
        <f t="shared" si="117"/>
        <v>262.21930739187104</v>
      </c>
      <c r="CF220" s="74">
        <f t="shared" si="118"/>
        <v>246.13064076287586</v>
      </c>
      <c r="CG220" s="74">
        <f t="shared" si="119"/>
        <v>229.94040177087035</v>
      </c>
      <c r="CH220" s="74">
        <f t="shared" si="120"/>
        <v>213.964202614084</v>
      </c>
      <c r="CI220" s="74">
        <f t="shared" si="121"/>
        <v>520505.32517286402</v>
      </c>
      <c r="CJ220" s="74">
        <f t="shared" si="122"/>
        <v>488569.32191430859</v>
      </c>
      <c r="CK220" s="74">
        <f t="shared" si="123"/>
        <v>456431.69751517766</v>
      </c>
      <c r="CL220" s="74">
        <f t="shared" si="124"/>
        <v>424718.94218895672</v>
      </c>
      <c r="CM220" s="316"/>
      <c r="CN220" s="74">
        <v>7709.4206633531739</v>
      </c>
      <c r="CO220" s="74">
        <v>511.02297399999998</v>
      </c>
    </row>
    <row r="221" spans="1:93" x14ac:dyDescent="0.2">
      <c r="A221" s="74">
        <v>635</v>
      </c>
      <c r="B221" s="74" t="s">
        <v>341</v>
      </c>
      <c r="C221" s="74">
        <v>6</v>
      </c>
      <c r="D221" s="74">
        <v>6439</v>
      </c>
      <c r="E221" s="89">
        <v>16223011.459809046</v>
      </c>
      <c r="F221" s="74">
        <v>9411772.6359100305</v>
      </c>
      <c r="G221" s="74">
        <v>2459858.1036000005</v>
      </c>
      <c r="H221" s="74">
        <v>1076981.3282000001</v>
      </c>
      <c r="I221" s="74">
        <v>3411872.4547180613</v>
      </c>
      <c r="J221" s="74">
        <v>1273547.0510370359</v>
      </c>
      <c r="K221" s="74">
        <v>-40000.643998499349</v>
      </c>
      <c r="L221" s="74">
        <v>-782555</v>
      </c>
      <c r="M221" s="75">
        <v>-4818</v>
      </c>
      <c r="N221" s="75">
        <v>56892.735870815784</v>
      </c>
      <c r="O221" s="178">
        <f t="shared" si="95"/>
        <v>640539.20552839711</v>
      </c>
      <c r="P221" s="179">
        <f t="shared" si="96"/>
        <v>99.478056457275528</v>
      </c>
      <c r="Q221" s="74"/>
      <c r="R221" s="89">
        <v>43861604.229999997</v>
      </c>
      <c r="S221" s="74">
        <v>21707969.157139085</v>
      </c>
      <c r="T221" s="74">
        <v>1615471.9923</v>
      </c>
      <c r="U221" s="74">
        <v>15143344.403515484</v>
      </c>
      <c r="V221" s="74">
        <v>4247451.5161613524</v>
      </c>
      <c r="W221" s="74">
        <v>1672485.1036000005</v>
      </c>
      <c r="X221" s="178">
        <f t="shared" si="97"/>
        <v>525117.94271592051</v>
      </c>
      <c r="Y221" s="179">
        <f t="shared" si="98"/>
        <v>81.552716682081154</v>
      </c>
      <c r="Z221" s="74"/>
      <c r="AA221" s="84">
        <f t="shared" si="99"/>
        <v>115421.26281247661</v>
      </c>
      <c r="AB221" s="132">
        <f t="shared" si="100"/>
        <v>17.925339775194377</v>
      </c>
      <c r="AD221" s="180">
        <v>-88598.224881671384</v>
      </c>
      <c r="AE221" s="187">
        <v>-356.59067957723477</v>
      </c>
      <c r="AF221" s="187">
        <v>11469.747708791971</v>
      </c>
      <c r="AG221" s="187">
        <v>3805.7988392684638</v>
      </c>
      <c r="AH221" s="188">
        <v>-2479.9475312788263</v>
      </c>
      <c r="AJ221" s="74">
        <f t="shared" si="101"/>
        <v>12296196.521229055</v>
      </c>
      <c r="AK221" s="74">
        <f t="shared" si="102"/>
        <v>538490.66409999994</v>
      </c>
      <c r="AL221" s="74">
        <f t="shared" si="103"/>
        <v>11731471.948797423</v>
      </c>
      <c r="AM221" s="74">
        <f t="shared" si="104"/>
        <v>27638592.77019095</v>
      </c>
      <c r="AN221" s="74">
        <f t="shared" si="105"/>
        <v>-88598.224881671384</v>
      </c>
      <c r="AO221" s="74">
        <f t="shared" si="106"/>
        <v>-356.59067957723477</v>
      </c>
      <c r="AP221" s="74">
        <f t="shared" si="107"/>
        <v>11469.747708791971</v>
      </c>
      <c r="AQ221" s="74">
        <f t="shared" si="108"/>
        <v>3805.7988392684638</v>
      </c>
      <c r="AR221" s="74">
        <f t="shared" si="109"/>
        <v>-2479.9475312788263</v>
      </c>
      <c r="AS221" s="75">
        <v>2607</v>
      </c>
      <c r="AT221" s="75"/>
      <c r="AU221" s="75"/>
      <c r="AV221" s="75">
        <v>0</v>
      </c>
      <c r="AW221" s="75">
        <v>9907.9826135588919</v>
      </c>
      <c r="AX221" s="75">
        <v>-1915.0370663847493</v>
      </c>
      <c r="AY221" s="75">
        <v>2973.9044651243166</v>
      </c>
      <c r="AZ221" s="316"/>
      <c r="BA221" s="74"/>
      <c r="BB221" s="74"/>
      <c r="BC221" s="74"/>
      <c r="BD221" s="74"/>
      <c r="BE221" s="74"/>
      <c r="BF221" s="74"/>
      <c r="BG221" s="74"/>
      <c r="BM221" s="316"/>
      <c r="BN221" s="74">
        <v>16223011.459809046</v>
      </c>
      <c r="BO221" s="74">
        <v>26025162.359999999</v>
      </c>
      <c r="BP221" s="74">
        <v>26730000</v>
      </c>
      <c r="BQ221" s="74">
        <v>524529.68999999994</v>
      </c>
      <c r="BR221" s="74">
        <v>516000</v>
      </c>
      <c r="BS221" s="406">
        <f t="shared" si="110"/>
        <v>0.56643698137857412</v>
      </c>
      <c r="BT221" s="406">
        <f t="shared" si="111"/>
        <v>0.33333333333333326</v>
      </c>
      <c r="BU221" s="74">
        <f t="shared" si="112"/>
        <v>14665375.76992324</v>
      </c>
      <c r="BV221" s="316"/>
      <c r="BW221" s="74">
        <v>43861604.229999997</v>
      </c>
      <c r="BX221" s="74">
        <v>16223011.459809046</v>
      </c>
      <c r="BY221" s="74">
        <v>25783299.253039084</v>
      </c>
      <c r="BZ221" s="74">
        <v>12948612.067710031</v>
      </c>
      <c r="CA221" s="74">
        <f t="shared" si="113"/>
        <v>-40000.643998501866</v>
      </c>
      <c r="CB221" s="74">
        <f t="shared" si="114"/>
        <v>81.552716682081936</v>
      </c>
      <c r="CC221" s="74">
        <f t="shared" si="115"/>
        <v>99.478056457275457</v>
      </c>
      <c r="CD221" s="74">
        <f t="shared" si="116"/>
        <v>17.925339775193521</v>
      </c>
      <c r="CE221" s="74">
        <f t="shared" si="117"/>
        <v>-5.5379822888516284E-2</v>
      </c>
      <c r="CF221" s="74">
        <f t="shared" si="118"/>
        <v>1.7812933233098263</v>
      </c>
      <c r="CG221" s="74">
        <f t="shared" si="119"/>
        <v>0.59105433130431184</v>
      </c>
      <c r="CH221" s="74">
        <f t="shared" si="120"/>
        <v>-0.38514482548203544</v>
      </c>
      <c r="CI221" s="74">
        <f t="shared" si="121"/>
        <v>-356.59067957915636</v>
      </c>
      <c r="CJ221" s="74">
        <f t="shared" si="122"/>
        <v>11469.747708791971</v>
      </c>
      <c r="CK221" s="74">
        <f t="shared" si="123"/>
        <v>3805.7988392684638</v>
      </c>
      <c r="CL221" s="74">
        <f t="shared" si="124"/>
        <v>-2479.9475312788263</v>
      </c>
      <c r="CM221" s="316"/>
      <c r="CN221" s="74">
        <v>22310.31902324851</v>
      </c>
      <c r="CO221" s="74">
        <v>1753.225418</v>
      </c>
    </row>
    <row r="222" spans="1:93" x14ac:dyDescent="0.2">
      <c r="A222" s="74">
        <v>636</v>
      </c>
      <c r="B222" s="74" t="s">
        <v>342</v>
      </c>
      <c r="C222" s="74">
        <v>2</v>
      </c>
      <c r="D222" s="74">
        <v>8222</v>
      </c>
      <c r="E222" s="89">
        <v>23174005.129741512</v>
      </c>
      <c r="F222" s="74">
        <v>11124450.667630875</v>
      </c>
      <c r="G222" s="74">
        <v>2137758.8185000001</v>
      </c>
      <c r="H222" s="74">
        <v>1679414.4156000002</v>
      </c>
      <c r="I222" s="74">
        <v>6525638.6997746006</v>
      </c>
      <c r="J222" s="74">
        <v>1639170.0568497679</v>
      </c>
      <c r="K222" s="74">
        <v>547609.04309370148</v>
      </c>
      <c r="L222" s="74">
        <v>-688258</v>
      </c>
      <c r="M222" s="75">
        <v>-70900</v>
      </c>
      <c r="N222" s="75">
        <v>68651.879606664312</v>
      </c>
      <c r="O222" s="178">
        <f t="shared" si="95"/>
        <v>-210469.54868590087</v>
      </c>
      <c r="P222" s="179">
        <f t="shared" si="96"/>
        <v>-25.598339660167948</v>
      </c>
      <c r="Q222" s="74"/>
      <c r="R222" s="89">
        <v>53747833.450000003</v>
      </c>
      <c r="S222" s="74">
        <v>25772228.565787919</v>
      </c>
      <c r="T222" s="74">
        <v>2519121.6234000004</v>
      </c>
      <c r="U222" s="74">
        <v>18593964.022692434</v>
      </c>
      <c r="V222" s="74">
        <v>5466853.6490611108</v>
      </c>
      <c r="W222" s="74">
        <v>1378600.8185000001</v>
      </c>
      <c r="X222" s="178">
        <f t="shared" si="97"/>
        <v>-17064.770558536053</v>
      </c>
      <c r="Y222" s="179">
        <f t="shared" si="98"/>
        <v>-2.0755011625560753</v>
      </c>
      <c r="Z222" s="74"/>
      <c r="AA222" s="84">
        <f t="shared" si="99"/>
        <v>-193404.77812736481</v>
      </c>
      <c r="AB222" s="132">
        <f t="shared" si="100"/>
        <v>-23.522838497611872</v>
      </c>
      <c r="AD222" s="180">
        <v>227655.28563894538</v>
      </c>
      <c r="AE222" s="187">
        <v>93671.588855224007</v>
      </c>
      <c r="AF222" s="187">
        <v>14645.793704253392</v>
      </c>
      <c r="AG222" s="187">
        <v>4859.6487119840522</v>
      </c>
      <c r="AH222" s="188">
        <v>-3166.6607551132952</v>
      </c>
      <c r="AJ222" s="74">
        <f t="shared" si="101"/>
        <v>14647777.898157043</v>
      </c>
      <c r="AK222" s="74">
        <f t="shared" si="102"/>
        <v>839707.20780000021</v>
      </c>
      <c r="AL222" s="74">
        <f t="shared" si="103"/>
        <v>12068325.322917834</v>
      </c>
      <c r="AM222" s="74">
        <f t="shared" si="104"/>
        <v>30573828.320258491</v>
      </c>
      <c r="AN222" s="74">
        <f t="shared" si="105"/>
        <v>227655.28563894538</v>
      </c>
      <c r="AO222" s="74">
        <f t="shared" si="106"/>
        <v>93671.588855224007</v>
      </c>
      <c r="AP222" s="74">
        <f t="shared" si="107"/>
        <v>14645.793704253392</v>
      </c>
      <c r="AQ222" s="74">
        <f t="shared" si="108"/>
        <v>4859.6487119840522</v>
      </c>
      <c r="AR222" s="74">
        <f t="shared" si="109"/>
        <v>-3166.6607551132952</v>
      </c>
      <c r="AS222" s="75">
        <v>2868</v>
      </c>
      <c r="AT222" s="75"/>
      <c r="AU222" s="75"/>
      <c r="AV222" s="75">
        <v>0</v>
      </c>
      <c r="AW222" s="75">
        <v>9326.1184860705325</v>
      </c>
      <c r="AX222" s="75">
        <v>-2917.4418741567106</v>
      </c>
      <c r="AY222" s="75">
        <v>3827.6835922113428</v>
      </c>
      <c r="AZ222" s="316"/>
      <c r="BA222" s="74"/>
      <c r="BB222" s="74"/>
      <c r="BC222" s="74"/>
      <c r="BD222" s="74"/>
      <c r="BE222" s="74"/>
      <c r="BF222" s="74"/>
      <c r="BG222" s="74"/>
      <c r="BM222" s="316"/>
      <c r="BN222" s="74">
        <v>23174005.129741512</v>
      </c>
      <c r="BO222" s="74">
        <v>28382499.600000001</v>
      </c>
      <c r="BP222" s="74">
        <v>29505000</v>
      </c>
      <c r="BQ222" s="74">
        <v>610213.77</v>
      </c>
      <c r="BR222" s="74">
        <v>640000</v>
      </c>
      <c r="BS222" s="406">
        <f t="shared" si="110"/>
        <v>0.56835511375223691</v>
      </c>
      <c r="BT222" s="406">
        <f t="shared" si="111"/>
        <v>0.33333333333333337</v>
      </c>
      <c r="BU222" s="74">
        <f t="shared" si="112"/>
        <v>16443617.958222877</v>
      </c>
      <c r="BV222" s="316"/>
      <c r="BW222" s="74">
        <v>53747833.450000003</v>
      </c>
      <c r="BX222" s="74">
        <v>23174005.129741512</v>
      </c>
      <c r="BY222" s="74">
        <v>30429109.007687919</v>
      </c>
      <c r="BZ222" s="74">
        <v>14941623.901730875</v>
      </c>
      <c r="CA222" s="74">
        <f t="shared" si="113"/>
        <v>547609.04309369845</v>
      </c>
      <c r="CB222" s="74">
        <f t="shared" si="114"/>
        <v>-2.0755011625565287</v>
      </c>
      <c r="CC222" s="74">
        <f t="shared" si="115"/>
        <v>-25.598339660168627</v>
      </c>
      <c r="CD222" s="74">
        <f t="shared" si="116"/>
        <v>-23.522838497612099</v>
      </c>
      <c r="CE222" s="74">
        <f t="shared" si="117"/>
        <v>11.392798449917104</v>
      </c>
      <c r="CF222" s="74">
        <f t="shared" si="118"/>
        <v>1.7812933233098263</v>
      </c>
      <c r="CG222" s="74">
        <f t="shared" si="119"/>
        <v>0.59105433130431184</v>
      </c>
      <c r="CH222" s="74">
        <f t="shared" si="120"/>
        <v>-0.38514482548203544</v>
      </c>
      <c r="CI222" s="74">
        <f t="shared" si="121"/>
        <v>93671.588855218419</v>
      </c>
      <c r="CJ222" s="74">
        <f t="shared" si="122"/>
        <v>14645.793704253392</v>
      </c>
      <c r="CK222" s="74">
        <f t="shared" si="123"/>
        <v>4859.6487119840522</v>
      </c>
      <c r="CL222" s="74">
        <f t="shared" si="124"/>
        <v>-3166.6607551132952</v>
      </c>
      <c r="CM222" s="316"/>
      <c r="CN222" s="74">
        <v>26408.561229506191</v>
      </c>
      <c r="CO222" s="74">
        <v>2733.9304440000001</v>
      </c>
    </row>
    <row r="223" spans="1:93" x14ac:dyDescent="0.2">
      <c r="A223" s="74">
        <v>638</v>
      </c>
      <c r="B223" s="74" t="s">
        <v>331</v>
      </c>
      <c r="C223" s="74">
        <v>34</v>
      </c>
      <c r="D223" s="74">
        <v>51149</v>
      </c>
      <c r="E223" s="89">
        <v>156098461.46281749</v>
      </c>
      <c r="F223" s="74">
        <v>79223132.084346384</v>
      </c>
      <c r="G223" s="74">
        <v>17737824.919999998</v>
      </c>
      <c r="H223" s="74">
        <v>39567829.121799998</v>
      </c>
      <c r="I223" s="74">
        <v>22827573.164334219</v>
      </c>
      <c r="J223" s="74">
        <v>7076133.7912272345</v>
      </c>
      <c r="K223" s="74">
        <v>13635707.035093911</v>
      </c>
      <c r="L223" s="74">
        <v>-691202</v>
      </c>
      <c r="M223" s="75">
        <v>953500</v>
      </c>
      <c r="N223" s="75">
        <v>686962.20737291407</v>
      </c>
      <c r="O223" s="178">
        <f t="shared" si="95"/>
        <v>24918998.861357152</v>
      </c>
      <c r="P223" s="179">
        <f t="shared" si="96"/>
        <v>487.18447792443942</v>
      </c>
      <c r="Q223" s="74"/>
      <c r="R223" s="89">
        <v>329227712</v>
      </c>
      <c r="S223" s="74">
        <v>214414099.72624305</v>
      </c>
      <c r="T223" s="74">
        <v>59351743.682700001</v>
      </c>
      <c r="U223" s="74">
        <v>44359107.789523348</v>
      </c>
      <c r="V223" s="74">
        <v>23599862.42803891</v>
      </c>
      <c r="W223" s="74">
        <v>18000122.919999998</v>
      </c>
      <c r="X223" s="178">
        <f t="shared" si="97"/>
        <v>30497224.546505332</v>
      </c>
      <c r="Y223" s="179">
        <f t="shared" si="98"/>
        <v>596.24283068105592</v>
      </c>
      <c r="Z223" s="74"/>
      <c r="AA223" s="84">
        <f t="shared" si="99"/>
        <v>-5578225.6851481795</v>
      </c>
      <c r="AB223" s="132">
        <f t="shared" si="100"/>
        <v>-109.05835275661654</v>
      </c>
      <c r="AD223" s="180">
        <v>5791297.8341033822</v>
      </c>
      <c r="AE223" s="187">
        <v>4957786.2667486556</v>
      </c>
      <c r="AF223" s="187">
        <v>4134867.0573421805</v>
      </c>
      <c r="AG223" s="187">
        <v>3306752.5231400905</v>
      </c>
      <c r="AH223" s="188">
        <v>2489585.9124696259</v>
      </c>
      <c r="AJ223" s="74">
        <f t="shared" si="101"/>
        <v>135190967.64189667</v>
      </c>
      <c r="AK223" s="74">
        <f t="shared" si="102"/>
        <v>19783914.560900003</v>
      </c>
      <c r="AL223" s="74">
        <f t="shared" si="103"/>
        <v>21531534.625189129</v>
      </c>
      <c r="AM223" s="74">
        <f t="shared" si="104"/>
        <v>173129250.53718251</v>
      </c>
      <c r="AN223" s="74">
        <f t="shared" si="105"/>
        <v>5791297.8341033822</v>
      </c>
      <c r="AO223" s="74">
        <f t="shared" si="106"/>
        <v>4957786.2667486556</v>
      </c>
      <c r="AP223" s="74">
        <f t="shared" si="107"/>
        <v>4134867.0573421805</v>
      </c>
      <c r="AQ223" s="74">
        <f t="shared" si="108"/>
        <v>3306752.5231400905</v>
      </c>
      <c r="AR223" s="74">
        <f t="shared" si="109"/>
        <v>2489585.9124696259</v>
      </c>
      <c r="AS223" s="75">
        <v>27875</v>
      </c>
      <c r="AT223" s="75"/>
      <c r="AU223" s="75"/>
      <c r="AV223" s="75">
        <v>806</v>
      </c>
      <c r="AW223" s="75">
        <v>37173.838753430311</v>
      </c>
      <c r="AX223" s="75">
        <v>12107.867429783912</v>
      </c>
      <c r="AY223" s="75">
        <v>16523.728636811677</v>
      </c>
      <c r="AZ223" s="316"/>
      <c r="BA223" s="74"/>
      <c r="BB223" s="74"/>
      <c r="BC223" s="74"/>
      <c r="BD223" s="74"/>
      <c r="BE223" s="74"/>
      <c r="BF223" s="74"/>
      <c r="BG223" s="74"/>
      <c r="BM223" s="316"/>
      <c r="BN223" s="74">
        <v>156098461.46281749</v>
      </c>
      <c r="BO223" s="74">
        <v>161422493.49000001</v>
      </c>
      <c r="BP223" s="74">
        <v>174318000</v>
      </c>
      <c r="BQ223" s="74">
        <v>4979534.3500000006</v>
      </c>
      <c r="BR223" s="74">
        <v>4400000</v>
      </c>
      <c r="BS223" s="406">
        <f t="shared" si="110"/>
        <v>0.63051342152640188</v>
      </c>
      <c r="BT223" s="406">
        <f t="shared" si="111"/>
        <v>0.33333333333333337</v>
      </c>
      <c r="BU223" s="74">
        <f t="shared" si="112"/>
        <v>51690970.297094718</v>
      </c>
      <c r="BV223" s="316"/>
      <c r="BW223" s="74">
        <v>329227712</v>
      </c>
      <c r="BX223" s="74">
        <v>156098461.46281749</v>
      </c>
      <c r="BY223" s="74">
        <v>291503668.32894307</v>
      </c>
      <c r="BZ223" s="74">
        <v>136528786.12614638</v>
      </c>
      <c r="CA223" s="74">
        <f t="shared" si="113"/>
        <v>13635707.035093911</v>
      </c>
      <c r="CB223" s="74">
        <f t="shared" si="114"/>
        <v>596.24283068105547</v>
      </c>
      <c r="CC223" s="74">
        <f t="shared" si="115"/>
        <v>487.18447792443982</v>
      </c>
      <c r="CD223" s="74">
        <f t="shared" si="116"/>
        <v>-109.05835275661565</v>
      </c>
      <c r="CE223" s="74">
        <f t="shared" si="117"/>
        <v>96.928312708920657</v>
      </c>
      <c r="CF223" s="74">
        <f t="shared" si="118"/>
        <v>80.839646079925473</v>
      </c>
      <c r="CG223" s="74">
        <f t="shared" si="119"/>
        <v>64.649407087919954</v>
      </c>
      <c r="CH223" s="74">
        <f t="shared" si="120"/>
        <v>48.673207931133611</v>
      </c>
      <c r="CI223" s="74">
        <f t="shared" si="121"/>
        <v>4957786.2667485829</v>
      </c>
      <c r="CJ223" s="74">
        <f t="shared" si="122"/>
        <v>4134867.0573421079</v>
      </c>
      <c r="CK223" s="74">
        <f t="shared" si="123"/>
        <v>3306752.5231400179</v>
      </c>
      <c r="CL223" s="74">
        <f t="shared" si="124"/>
        <v>2489585.9124695528</v>
      </c>
      <c r="CM223" s="316"/>
      <c r="CN223" s="74">
        <v>222896.6374631855</v>
      </c>
      <c r="CO223" s="74">
        <v>64412.745082000001</v>
      </c>
    </row>
    <row r="224" spans="1:93" x14ac:dyDescent="0.2">
      <c r="A224" s="74">
        <v>678</v>
      </c>
      <c r="B224" s="74" t="s">
        <v>343</v>
      </c>
      <c r="C224" s="74">
        <v>17</v>
      </c>
      <c r="D224" s="74">
        <v>24260</v>
      </c>
      <c r="E224" s="89">
        <v>73623323.419274479</v>
      </c>
      <c r="F224" s="74">
        <v>37733303.374624215</v>
      </c>
      <c r="G224" s="74">
        <v>7147963.6890000012</v>
      </c>
      <c r="H224" s="74">
        <v>3153774.9032000001</v>
      </c>
      <c r="I224" s="74">
        <v>18074508.782639332</v>
      </c>
      <c r="J224" s="74">
        <v>3459599.7259840341</v>
      </c>
      <c r="K224" s="74">
        <v>2016187.6418590839</v>
      </c>
      <c r="L224" s="74">
        <v>-907211</v>
      </c>
      <c r="M224" s="75">
        <v>1355000</v>
      </c>
      <c r="N224" s="75">
        <v>242599.12444694972</v>
      </c>
      <c r="O224" s="178">
        <f t="shared" si="95"/>
        <v>-1347597.1775208712</v>
      </c>
      <c r="P224" s="179">
        <f t="shared" si="96"/>
        <v>-55.548111192121645</v>
      </c>
      <c r="Q224" s="74"/>
      <c r="R224" s="89">
        <v>174428903</v>
      </c>
      <c r="S224" s="74">
        <v>90885439.339676917</v>
      </c>
      <c r="T224" s="74">
        <v>4730662.3547999999</v>
      </c>
      <c r="U224" s="74">
        <v>59568212.701473638</v>
      </c>
      <c r="V224" s="74">
        <v>11538232.599633222</v>
      </c>
      <c r="W224" s="74">
        <v>7595752.6890000012</v>
      </c>
      <c r="X224" s="178">
        <f t="shared" si="97"/>
        <v>-110603.31541621685</v>
      </c>
      <c r="Y224" s="179">
        <f t="shared" si="98"/>
        <v>-4.5590814268844539</v>
      </c>
      <c r="Z224" s="74"/>
      <c r="AA224" s="84">
        <f t="shared" si="99"/>
        <v>-1236993.8621046543</v>
      </c>
      <c r="AB224" s="132">
        <f t="shared" si="100"/>
        <v>-50.989029765237191</v>
      </c>
      <c r="AD224" s="180">
        <v>1338054.1044095391</v>
      </c>
      <c r="AE224" s="187">
        <v>942719.09054757364</v>
      </c>
      <c r="AF224" s="187">
        <v>552408.03812815063</v>
      </c>
      <c r="AG224" s="187">
        <v>159632.84018209687</v>
      </c>
      <c r="AH224" s="188">
        <v>-9343.6134661941796</v>
      </c>
      <c r="AJ224" s="74">
        <f t="shared" si="101"/>
        <v>53152135.965052702</v>
      </c>
      <c r="AK224" s="74">
        <f t="shared" si="102"/>
        <v>1576887.4515999998</v>
      </c>
      <c r="AL224" s="74">
        <f t="shared" si="103"/>
        <v>41493703.918834306</v>
      </c>
      <c r="AM224" s="74">
        <f t="shared" si="104"/>
        <v>100805579.58072552</v>
      </c>
      <c r="AN224" s="74">
        <f t="shared" si="105"/>
        <v>1338054.1044095391</v>
      </c>
      <c r="AO224" s="74">
        <f t="shared" si="106"/>
        <v>942719.09054757364</v>
      </c>
      <c r="AP224" s="74">
        <f t="shared" si="107"/>
        <v>552408.03812815063</v>
      </c>
      <c r="AQ224" s="74">
        <f t="shared" si="108"/>
        <v>159632.84018209687</v>
      </c>
      <c r="AR224" s="74">
        <f t="shared" si="109"/>
        <v>-9343.6134661941796</v>
      </c>
      <c r="AS224" s="75">
        <v>8969</v>
      </c>
      <c r="AT224" s="75"/>
      <c r="AU224" s="75"/>
      <c r="AV224" s="75">
        <v>0</v>
      </c>
      <c r="AW224" s="75">
        <v>38276.105000333635</v>
      </c>
      <c r="AX224" s="75">
        <v>-3335.2553677279216</v>
      </c>
      <c r="AY224" s="75">
        <v>8078.6328736491887</v>
      </c>
      <c r="AZ224" s="316"/>
      <c r="BA224" s="74"/>
      <c r="BB224" s="74"/>
      <c r="BC224" s="74"/>
      <c r="BD224" s="74"/>
      <c r="BE224" s="74"/>
      <c r="BF224" s="74"/>
      <c r="BG224" s="74"/>
      <c r="BM224" s="316"/>
      <c r="BN224" s="74">
        <v>73623323.419274479</v>
      </c>
      <c r="BO224" s="74">
        <v>92296167.519999981</v>
      </c>
      <c r="BP224" s="74">
        <v>102608000</v>
      </c>
      <c r="BQ224" s="74">
        <v>3148922.02</v>
      </c>
      <c r="BR224" s="74">
        <v>3204000</v>
      </c>
      <c r="BS224" s="406">
        <f t="shared" si="110"/>
        <v>0.58482564810410309</v>
      </c>
      <c r="BT224" s="406">
        <f t="shared" si="111"/>
        <v>0.33333333333333326</v>
      </c>
      <c r="BU224" s="74">
        <f t="shared" si="112"/>
        <v>51588524.434342578</v>
      </c>
      <c r="BV224" s="316"/>
      <c r="BW224" s="74">
        <v>174428903</v>
      </c>
      <c r="BX224" s="74">
        <v>73623323.419274479</v>
      </c>
      <c r="BY224" s="74">
        <v>102764065.38347691</v>
      </c>
      <c r="BZ224" s="74">
        <v>48035041.966824219</v>
      </c>
      <c r="CA224" s="74">
        <f t="shared" si="113"/>
        <v>2016187.6418590674</v>
      </c>
      <c r="CB224" s="74">
        <f t="shared" si="114"/>
        <v>-4.5590814268846076</v>
      </c>
      <c r="CC224" s="74">
        <f t="shared" si="115"/>
        <v>-55.548111192121887</v>
      </c>
      <c r="CD224" s="74">
        <f t="shared" si="116"/>
        <v>-50.989029765237277</v>
      </c>
      <c r="CE224" s="74">
        <f t="shared" si="117"/>
        <v>38.858989717542279</v>
      </c>
      <c r="CF224" s="74">
        <f t="shared" si="118"/>
        <v>22.770323088547102</v>
      </c>
      <c r="CG224" s="74">
        <f t="shared" si="119"/>
        <v>6.5800840965415883</v>
      </c>
      <c r="CH224" s="74">
        <f t="shared" si="120"/>
        <v>-0.38514482548203544</v>
      </c>
      <c r="CI224" s="74">
        <f t="shared" si="121"/>
        <v>942719.09054757573</v>
      </c>
      <c r="CJ224" s="74">
        <f t="shared" si="122"/>
        <v>552408.03812815272</v>
      </c>
      <c r="CK224" s="74">
        <f t="shared" si="123"/>
        <v>159632.84018209894</v>
      </c>
      <c r="CL224" s="74">
        <f t="shared" si="124"/>
        <v>-9343.6134661941796</v>
      </c>
      <c r="CM224" s="316"/>
      <c r="CN224" s="74">
        <v>93152.540515188288</v>
      </c>
      <c r="CO224" s="74">
        <v>5134.0521680000002</v>
      </c>
    </row>
    <row r="225" spans="1:93" x14ac:dyDescent="0.2">
      <c r="A225" s="74">
        <v>680</v>
      </c>
      <c r="B225" s="74" t="s">
        <v>344</v>
      </c>
      <c r="C225" s="74">
        <v>2</v>
      </c>
      <c r="D225" s="74">
        <v>24810</v>
      </c>
      <c r="E225" s="89">
        <v>62622255.215139613</v>
      </c>
      <c r="F225" s="74">
        <v>38062511.697909035</v>
      </c>
      <c r="G225" s="74">
        <v>8029155.8219999997</v>
      </c>
      <c r="H225" s="74">
        <v>5398819.1705999998</v>
      </c>
      <c r="I225" s="74">
        <v>8196109.6478553424</v>
      </c>
      <c r="J225" s="74">
        <v>3372172.8273510933</v>
      </c>
      <c r="K225" s="74">
        <v>123682.93708904352</v>
      </c>
      <c r="L225" s="74">
        <v>-980961</v>
      </c>
      <c r="M225" s="75">
        <v>246230</v>
      </c>
      <c r="N225" s="75">
        <v>276912.72474023543</v>
      </c>
      <c r="O225" s="178">
        <f t="shared" si="95"/>
        <v>102378.61240513623</v>
      </c>
      <c r="P225" s="179">
        <f t="shared" si="96"/>
        <v>4.1265059413597838</v>
      </c>
      <c r="Q225" s="74"/>
      <c r="R225" s="89">
        <v>152878718</v>
      </c>
      <c r="S225" s="74">
        <v>97833084.356883362</v>
      </c>
      <c r="T225" s="74">
        <v>8098228.7559000002</v>
      </c>
      <c r="U225" s="74">
        <v>29155786.903133895</v>
      </c>
      <c r="V225" s="74">
        <v>11246652.078246605</v>
      </c>
      <c r="W225" s="74">
        <v>7294424.8219999997</v>
      </c>
      <c r="X225" s="178">
        <f t="shared" si="97"/>
        <v>749458.91616386175</v>
      </c>
      <c r="Y225" s="179">
        <f t="shared" si="98"/>
        <v>30.207936967507528</v>
      </c>
      <c r="Z225" s="74"/>
      <c r="AA225" s="84">
        <f t="shared" si="99"/>
        <v>-647080.30375872552</v>
      </c>
      <c r="AB225" s="132">
        <f t="shared" si="100"/>
        <v>-26.081431026147744</v>
      </c>
      <c r="AD225" s="180">
        <v>750431.68923208304</v>
      </c>
      <c r="AE225" s="187">
        <v>346134.0101753904</v>
      </c>
      <c r="AF225" s="187">
        <v>44193.887351316793</v>
      </c>
      <c r="AG225" s="187">
        <v>14664.057959659976</v>
      </c>
      <c r="AH225" s="188">
        <v>-9555.4431202092983</v>
      </c>
      <c r="AJ225" s="74">
        <f t="shared" si="101"/>
        <v>59770572.658974327</v>
      </c>
      <c r="AK225" s="74">
        <f t="shared" si="102"/>
        <v>2699409.5853000004</v>
      </c>
      <c r="AL225" s="74">
        <f t="shared" si="103"/>
        <v>20959677.255278554</v>
      </c>
      <c r="AM225" s="74">
        <f t="shared" si="104"/>
        <v>90256462.784860387</v>
      </c>
      <c r="AN225" s="74">
        <f t="shared" si="105"/>
        <v>750431.68923208304</v>
      </c>
      <c r="AO225" s="74">
        <f t="shared" si="106"/>
        <v>346134.0101753904</v>
      </c>
      <c r="AP225" s="74">
        <f t="shared" si="107"/>
        <v>44193.887351316793</v>
      </c>
      <c r="AQ225" s="74">
        <f t="shared" si="108"/>
        <v>14664.057959659976</v>
      </c>
      <c r="AR225" s="74">
        <f t="shared" si="109"/>
        <v>-9555.4431202092983</v>
      </c>
      <c r="AS225" s="75">
        <v>7925</v>
      </c>
      <c r="AT225" s="75"/>
      <c r="AU225" s="75"/>
      <c r="AV225" s="75">
        <v>221</v>
      </c>
      <c r="AW225" s="75">
        <v>22934.449455171034</v>
      </c>
      <c r="AX225" s="75">
        <v>2528.6333776420506</v>
      </c>
      <c r="AY225" s="75">
        <v>7874.4792508955115</v>
      </c>
      <c r="AZ225" s="316"/>
      <c r="BA225" s="74"/>
      <c r="BB225" s="74"/>
      <c r="BC225" s="74"/>
      <c r="BD225" s="74"/>
      <c r="BE225" s="74"/>
      <c r="BF225" s="74"/>
      <c r="BG225" s="74"/>
      <c r="BM225" s="316"/>
      <c r="BN225" s="74">
        <v>62622255.215139613</v>
      </c>
      <c r="BO225" s="74">
        <v>83348675.349999979</v>
      </c>
      <c r="BP225" s="74">
        <v>88778000</v>
      </c>
      <c r="BQ225" s="74">
        <v>1859809.93</v>
      </c>
      <c r="BR225" s="74">
        <v>1885000</v>
      </c>
      <c r="BS225" s="406">
        <f t="shared" si="110"/>
        <v>0.61094437584057393</v>
      </c>
      <c r="BT225" s="406">
        <f t="shared" si="111"/>
        <v>0.33333333333333337</v>
      </c>
      <c r="BU225" s="74">
        <f t="shared" si="112"/>
        <v>28957839.44326311</v>
      </c>
      <c r="BV225" s="316"/>
      <c r="BW225" s="74">
        <v>152878718</v>
      </c>
      <c r="BX225" s="74">
        <v>62622255.215139613</v>
      </c>
      <c r="BY225" s="74">
        <v>113960468.93478335</v>
      </c>
      <c r="BZ225" s="74">
        <v>51490486.690509029</v>
      </c>
      <c r="CA225" s="74">
        <f t="shared" si="113"/>
        <v>123682.9370890323</v>
      </c>
      <c r="CB225" s="74">
        <f t="shared" si="114"/>
        <v>30.207936967507639</v>
      </c>
      <c r="CC225" s="74">
        <f t="shared" si="115"/>
        <v>4.1265059413594125</v>
      </c>
      <c r="CD225" s="74">
        <f t="shared" si="116"/>
        <v>-26.081431026148227</v>
      </c>
      <c r="CE225" s="74">
        <f t="shared" si="117"/>
        <v>13.951390978453231</v>
      </c>
      <c r="CF225" s="74">
        <f t="shared" si="118"/>
        <v>1.7812933233098263</v>
      </c>
      <c r="CG225" s="74">
        <f t="shared" si="119"/>
        <v>0.59105433130431184</v>
      </c>
      <c r="CH225" s="74">
        <f t="shared" si="120"/>
        <v>-0.38514482548203544</v>
      </c>
      <c r="CI225" s="74">
        <f t="shared" si="121"/>
        <v>346134.01017542469</v>
      </c>
      <c r="CJ225" s="74">
        <f t="shared" si="122"/>
        <v>44193.887351316793</v>
      </c>
      <c r="CK225" s="74">
        <f t="shared" si="123"/>
        <v>14664.057959659976</v>
      </c>
      <c r="CL225" s="74">
        <f t="shared" si="124"/>
        <v>-9555.4431202092983</v>
      </c>
      <c r="CM225" s="316"/>
      <c r="CN225" s="74">
        <v>102625.57982230496</v>
      </c>
      <c r="CO225" s="74">
        <v>8788.7753940000002</v>
      </c>
    </row>
    <row r="226" spans="1:93" x14ac:dyDescent="0.2">
      <c r="A226" s="74">
        <v>681</v>
      </c>
      <c r="B226" s="74" t="s">
        <v>345</v>
      </c>
      <c r="C226" s="74">
        <v>10</v>
      </c>
      <c r="D226" s="74">
        <v>3330</v>
      </c>
      <c r="E226" s="89">
        <v>9171418.0129900817</v>
      </c>
      <c r="F226" s="74">
        <v>4535525.2448588368</v>
      </c>
      <c r="G226" s="74">
        <v>1423200.0200000003</v>
      </c>
      <c r="H226" s="74">
        <v>1048707.5726000001</v>
      </c>
      <c r="I226" s="74">
        <v>1212162.5640139056</v>
      </c>
      <c r="J226" s="74">
        <v>781085.17729681032</v>
      </c>
      <c r="K226" s="74">
        <v>371221.84530391701</v>
      </c>
      <c r="L226" s="74">
        <v>-70396</v>
      </c>
      <c r="M226" s="75">
        <v>194692</v>
      </c>
      <c r="N226" s="75">
        <v>26837.93855846459</v>
      </c>
      <c r="O226" s="178">
        <f t="shared" si="95"/>
        <v>351618.34964185394</v>
      </c>
      <c r="P226" s="179">
        <f t="shared" si="96"/>
        <v>105.59109598854472</v>
      </c>
      <c r="Q226" s="74"/>
      <c r="R226" s="89">
        <v>25026370</v>
      </c>
      <c r="S226" s="74">
        <v>10065662.26172778</v>
      </c>
      <c r="T226" s="74">
        <v>1573061.3589000001</v>
      </c>
      <c r="U226" s="74">
        <v>9946544.9929679465</v>
      </c>
      <c r="V226" s="74">
        <v>2605024.6183358449</v>
      </c>
      <c r="W226" s="74">
        <v>1547496.0200000003</v>
      </c>
      <c r="X226" s="178">
        <f t="shared" si="97"/>
        <v>711419.25193157047</v>
      </c>
      <c r="Y226" s="179">
        <f t="shared" si="98"/>
        <v>213.6394149944656</v>
      </c>
      <c r="Z226" s="74"/>
      <c r="AA226" s="84">
        <f t="shared" si="99"/>
        <v>-359800.90228971653</v>
      </c>
      <c r="AB226" s="132">
        <f t="shared" si="100"/>
        <v>-108.04831900592087</v>
      </c>
      <c r="AD226" s="180">
        <v>373672.73274623661</v>
      </c>
      <c r="AE226" s="187">
        <v>319407.86893088848</v>
      </c>
      <c r="AF226" s="187">
        <v>265832.60905633454</v>
      </c>
      <c r="AG226" s="187">
        <v>211919.11321295617</v>
      </c>
      <c r="AH226" s="188">
        <v>158718.37002085763</v>
      </c>
      <c r="AJ226" s="74">
        <f t="shared" si="101"/>
        <v>5530137.0168689433</v>
      </c>
      <c r="AK226" s="74">
        <f t="shared" si="102"/>
        <v>524353.78630000004</v>
      </c>
      <c r="AL226" s="74">
        <f t="shared" si="103"/>
        <v>8734382.4289540406</v>
      </c>
      <c r="AM226" s="74">
        <f t="shared" si="104"/>
        <v>15854951.987009918</v>
      </c>
      <c r="AN226" s="74">
        <f t="shared" si="105"/>
        <v>373672.73274623661</v>
      </c>
      <c r="AO226" s="74">
        <f t="shared" si="106"/>
        <v>319407.86893088848</v>
      </c>
      <c r="AP226" s="74">
        <f t="shared" si="107"/>
        <v>265832.60905633454</v>
      </c>
      <c r="AQ226" s="74">
        <f t="shared" si="108"/>
        <v>211919.11321295617</v>
      </c>
      <c r="AR226" s="74">
        <f t="shared" si="109"/>
        <v>158718.37002085763</v>
      </c>
      <c r="AS226" s="75">
        <v>1103</v>
      </c>
      <c r="AT226" s="75"/>
      <c r="AU226" s="75"/>
      <c r="AV226" s="75">
        <v>0</v>
      </c>
      <c r="AW226" s="75">
        <v>7036.9195694035689</v>
      </c>
      <c r="AX226" s="75">
        <v>-1586.5879101265173</v>
      </c>
      <c r="AY226" s="75">
        <v>1823.9394410390346</v>
      </c>
      <c r="AZ226" s="316"/>
      <c r="BA226" s="74"/>
      <c r="BB226" s="74"/>
      <c r="BC226" s="74"/>
      <c r="BD226" s="74"/>
      <c r="BE226" s="74"/>
      <c r="BF226" s="74"/>
      <c r="BG226" s="74"/>
      <c r="BM226" s="316"/>
      <c r="BN226" s="74">
        <v>9171418.0129900817</v>
      </c>
      <c r="BO226" s="74">
        <v>14963966.439999999</v>
      </c>
      <c r="BP226" s="74">
        <v>15155000</v>
      </c>
      <c r="BQ226" s="74">
        <v>304503.06</v>
      </c>
      <c r="BR226" s="74">
        <v>343000</v>
      </c>
      <c r="BS226" s="406">
        <f t="shared" si="110"/>
        <v>0.5494061764714615</v>
      </c>
      <c r="BT226" s="406">
        <f t="shared" si="111"/>
        <v>0.33333333333333337</v>
      </c>
      <c r="BU226" s="74">
        <f t="shared" si="112"/>
        <v>10929543.715296993</v>
      </c>
      <c r="BV226" s="316"/>
      <c r="BW226" s="74">
        <v>25026370</v>
      </c>
      <c r="BX226" s="74">
        <v>9171418.0129900817</v>
      </c>
      <c r="BY226" s="74">
        <v>13061923.640627779</v>
      </c>
      <c r="BZ226" s="74">
        <v>7007432.8374588378</v>
      </c>
      <c r="CA226" s="74">
        <f t="shared" si="113"/>
        <v>371221.8453039148</v>
      </c>
      <c r="CB226" s="74">
        <f t="shared" si="114"/>
        <v>213.63941499446582</v>
      </c>
      <c r="CC226" s="74">
        <f t="shared" si="115"/>
        <v>105.59109598854381</v>
      </c>
      <c r="CD226" s="74">
        <f t="shared" si="116"/>
        <v>-108.04831900592201</v>
      </c>
      <c r="CE226" s="74">
        <f t="shared" si="117"/>
        <v>95.91827895822702</v>
      </c>
      <c r="CF226" s="74">
        <f t="shared" si="118"/>
        <v>79.829612329231836</v>
      </c>
      <c r="CG226" s="74">
        <f t="shared" si="119"/>
        <v>63.639373337226324</v>
      </c>
      <c r="CH226" s="74">
        <f t="shared" si="120"/>
        <v>47.663174180439974</v>
      </c>
      <c r="CI226" s="74">
        <f t="shared" si="121"/>
        <v>319407.86893089599</v>
      </c>
      <c r="CJ226" s="74">
        <f t="shared" si="122"/>
        <v>265832.60905634199</v>
      </c>
      <c r="CK226" s="74">
        <f t="shared" si="123"/>
        <v>211919.11321296365</v>
      </c>
      <c r="CL226" s="74">
        <f t="shared" si="124"/>
        <v>158718.37002086511</v>
      </c>
      <c r="CM226" s="316"/>
      <c r="CN226" s="74">
        <v>10239.54414574892</v>
      </c>
      <c r="CO226" s="74">
        <v>1707.1983740000001</v>
      </c>
    </row>
    <row r="227" spans="1:93" x14ac:dyDescent="0.2">
      <c r="A227" s="74">
        <v>683</v>
      </c>
      <c r="B227" s="74" t="s">
        <v>346</v>
      </c>
      <c r="C227" s="74">
        <v>19</v>
      </c>
      <c r="D227" s="74">
        <v>3670</v>
      </c>
      <c r="E227" s="89">
        <v>13282163.71009554</v>
      </c>
      <c r="F227" s="74">
        <v>3441301.4941134532</v>
      </c>
      <c r="G227" s="74">
        <v>1085220.7805000001</v>
      </c>
      <c r="H227" s="74">
        <v>593966.18959999993</v>
      </c>
      <c r="I227" s="74">
        <v>7372917.7713972786</v>
      </c>
      <c r="J227" s="74">
        <v>755840.99864131329</v>
      </c>
      <c r="K227" s="74">
        <v>-388451.5013686202</v>
      </c>
      <c r="L227" s="74">
        <v>155471</v>
      </c>
      <c r="M227" s="75">
        <v>170000</v>
      </c>
      <c r="N227" s="75">
        <v>25815.076990467551</v>
      </c>
      <c r="O227" s="178">
        <f t="shared" si="95"/>
        <v>-70081.900221647695</v>
      </c>
      <c r="P227" s="179">
        <f t="shared" si="96"/>
        <v>-19.095885618977572</v>
      </c>
      <c r="Q227" s="74"/>
      <c r="R227" s="89">
        <v>32743454</v>
      </c>
      <c r="S227" s="74">
        <v>8968057.2785646096</v>
      </c>
      <c r="T227" s="74">
        <v>890949.2844</v>
      </c>
      <c r="U227" s="74">
        <v>18907122.239585593</v>
      </c>
      <c r="V227" s="74">
        <v>2520831.8711442682</v>
      </c>
      <c r="W227" s="74">
        <v>1410691.7805000001</v>
      </c>
      <c r="X227" s="178">
        <f t="shared" si="97"/>
        <v>-45801.54580552876</v>
      </c>
      <c r="Y227" s="179">
        <f t="shared" si="98"/>
        <v>-12.479985233114103</v>
      </c>
      <c r="Z227" s="74"/>
      <c r="AA227" s="84">
        <f t="shared" si="99"/>
        <v>-24280.354416118935</v>
      </c>
      <c r="AB227" s="132">
        <f t="shared" si="100"/>
        <v>-6.61590038586347</v>
      </c>
      <c r="AD227" s="180">
        <v>39568.527922255889</v>
      </c>
      <c r="AE227" s="187">
        <v>10532.753024959367</v>
      </c>
      <c r="AF227" s="187">
        <v>6537.3464965470621</v>
      </c>
      <c r="AG227" s="187">
        <v>2169.1693958868245</v>
      </c>
      <c r="AH227" s="188">
        <v>-1413.48150951907</v>
      </c>
      <c r="AJ227" s="74">
        <f t="shared" si="101"/>
        <v>5526755.7844511569</v>
      </c>
      <c r="AK227" s="74">
        <f t="shared" si="102"/>
        <v>296983.09480000008</v>
      </c>
      <c r="AL227" s="74">
        <f t="shared" si="103"/>
        <v>11534204.468188316</v>
      </c>
      <c r="AM227" s="74">
        <f t="shared" si="104"/>
        <v>19461290.28990446</v>
      </c>
      <c r="AN227" s="74">
        <f t="shared" si="105"/>
        <v>39568.527922255889</v>
      </c>
      <c r="AO227" s="74">
        <f t="shared" si="106"/>
        <v>10532.753024959367</v>
      </c>
      <c r="AP227" s="74">
        <f t="shared" si="107"/>
        <v>6537.3464965470621</v>
      </c>
      <c r="AQ227" s="74">
        <f t="shared" si="108"/>
        <v>2169.1693958868245</v>
      </c>
      <c r="AR227" s="74">
        <f t="shared" si="109"/>
        <v>-1413.48150951907</v>
      </c>
      <c r="AS227" s="75">
        <v>981</v>
      </c>
      <c r="AT227" s="75"/>
      <c r="AU227" s="75"/>
      <c r="AV227" s="75">
        <v>10</v>
      </c>
      <c r="AW227" s="75">
        <v>8775.4303856271126</v>
      </c>
      <c r="AX227" s="75">
        <v>-2477.1182924500185</v>
      </c>
      <c r="AY227" s="75">
        <v>1764.990872502955</v>
      </c>
      <c r="AZ227" s="316"/>
      <c r="BA227" s="74"/>
      <c r="BB227" s="74"/>
      <c r="BC227" s="74"/>
      <c r="BD227" s="74"/>
      <c r="BE227" s="74"/>
      <c r="BF227" s="74"/>
      <c r="BG227" s="74"/>
      <c r="BM227" s="316"/>
      <c r="BN227" s="74">
        <v>13282163.71009554</v>
      </c>
      <c r="BO227" s="74">
        <v>17606006.050000001</v>
      </c>
      <c r="BP227" s="74">
        <v>17929000</v>
      </c>
      <c r="BQ227" s="74">
        <v>416791</v>
      </c>
      <c r="BR227" s="74">
        <v>456000</v>
      </c>
      <c r="BS227" s="406">
        <f t="shared" si="110"/>
        <v>0.6162712405574361</v>
      </c>
      <c r="BT227" s="406">
        <f t="shared" si="111"/>
        <v>0.33333333333333337</v>
      </c>
      <c r="BU227" s="74">
        <f t="shared" si="112"/>
        <v>12910743.839322651</v>
      </c>
      <c r="BV227" s="316"/>
      <c r="BW227" s="74">
        <v>32743454</v>
      </c>
      <c r="BX227" s="74">
        <v>13282163.71009554</v>
      </c>
      <c r="BY227" s="74">
        <v>10944227.343464609</v>
      </c>
      <c r="BZ227" s="74">
        <v>5120488.4642134532</v>
      </c>
      <c r="CA227" s="74">
        <f t="shared" si="113"/>
        <v>-388451.50136862078</v>
      </c>
      <c r="CB227" s="74">
        <f t="shared" si="114"/>
        <v>-12.479985233113787</v>
      </c>
      <c r="CC227" s="74">
        <f t="shared" si="115"/>
        <v>-19.09588561897759</v>
      </c>
      <c r="CD227" s="74">
        <f t="shared" si="116"/>
        <v>-6.615900385863803</v>
      </c>
      <c r="CE227" s="74">
        <f t="shared" si="117"/>
        <v>2.8699599523050048</v>
      </c>
      <c r="CF227" s="74">
        <f t="shared" si="118"/>
        <v>1.7812933233098263</v>
      </c>
      <c r="CG227" s="74">
        <f t="shared" si="119"/>
        <v>0.59105433130431184</v>
      </c>
      <c r="CH227" s="74">
        <f t="shared" si="120"/>
        <v>-0.38514482548203544</v>
      </c>
      <c r="CI227" s="74">
        <f t="shared" si="121"/>
        <v>10532.753024959367</v>
      </c>
      <c r="CJ227" s="74">
        <f t="shared" si="122"/>
        <v>6537.3464965470621</v>
      </c>
      <c r="CK227" s="74">
        <f t="shared" si="123"/>
        <v>2169.1693958868245</v>
      </c>
      <c r="CL227" s="74">
        <f t="shared" si="124"/>
        <v>-1413.48150951907</v>
      </c>
      <c r="CM227" s="316"/>
      <c r="CN227" s="74">
        <v>8680.5394279135035</v>
      </c>
      <c r="CO227" s="74">
        <v>966.92170399999998</v>
      </c>
    </row>
    <row r="228" spans="1:93" x14ac:dyDescent="0.2">
      <c r="A228" s="74">
        <v>684</v>
      </c>
      <c r="B228" s="74" t="s">
        <v>347</v>
      </c>
      <c r="C228" s="74">
        <v>4</v>
      </c>
      <c r="D228" s="74">
        <v>38959</v>
      </c>
      <c r="E228" s="89">
        <v>101267201.03033179</v>
      </c>
      <c r="F228" s="74">
        <v>65834647.486867875</v>
      </c>
      <c r="G228" s="74">
        <v>9211881.3920000028</v>
      </c>
      <c r="H228" s="74">
        <v>10915992.556</v>
      </c>
      <c r="I228" s="74">
        <v>7151383.666784972</v>
      </c>
      <c r="J228" s="74">
        <v>6970093.6041405443</v>
      </c>
      <c r="K228" s="74">
        <v>4224861.5882231388</v>
      </c>
      <c r="L228" s="74">
        <v>-1150120</v>
      </c>
      <c r="M228" s="75">
        <v>1163055</v>
      </c>
      <c r="N228" s="75">
        <v>471665.16230403428</v>
      </c>
      <c r="O228" s="178">
        <f t="shared" si="95"/>
        <v>3526259.4259887785</v>
      </c>
      <c r="P228" s="179">
        <f t="shared" si="96"/>
        <v>90.512062064960048</v>
      </c>
      <c r="Q228" s="74"/>
      <c r="R228" s="89">
        <v>252473463.81999999</v>
      </c>
      <c r="S228" s="74">
        <v>166781708.40519592</v>
      </c>
      <c r="T228" s="74">
        <v>16373988.834000001</v>
      </c>
      <c r="U228" s="74">
        <v>44794956.400121339</v>
      </c>
      <c r="V228" s="74">
        <v>23246204.074349783</v>
      </c>
      <c r="W228" s="74">
        <v>9224816.3920000028</v>
      </c>
      <c r="X228" s="178">
        <f t="shared" si="97"/>
        <v>7948210.2856670618</v>
      </c>
      <c r="Y228" s="179">
        <f t="shared" si="98"/>
        <v>204.01474077022155</v>
      </c>
      <c r="Z228" s="74"/>
      <c r="AA228" s="84">
        <f t="shared" si="99"/>
        <v>-4421950.8596782833</v>
      </c>
      <c r="AB228" s="132">
        <f t="shared" si="100"/>
        <v>-113.50267870526152</v>
      </c>
      <c r="AD228" s="180">
        <v>4584242.9445898775</v>
      </c>
      <c r="AE228" s="187">
        <v>3949376.6294601038</v>
      </c>
      <c r="AF228" s="187">
        <v>3322578.2662610803</v>
      </c>
      <c r="AG228" s="187">
        <v>2691822.7453715373</v>
      </c>
      <c r="AH228" s="188">
        <v>2069406.0024222983</v>
      </c>
      <c r="AJ228" s="74">
        <f t="shared" si="101"/>
        <v>100947060.91832805</v>
      </c>
      <c r="AK228" s="74">
        <f t="shared" si="102"/>
        <v>5457996.2780000009</v>
      </c>
      <c r="AL228" s="74">
        <f t="shared" si="103"/>
        <v>37643572.733336367</v>
      </c>
      <c r="AM228" s="74">
        <f t="shared" si="104"/>
        <v>151206262.7896682</v>
      </c>
      <c r="AN228" s="74">
        <f t="shared" si="105"/>
        <v>4584242.9445898775</v>
      </c>
      <c r="AO228" s="74">
        <f t="shared" si="106"/>
        <v>3949376.6294601038</v>
      </c>
      <c r="AP228" s="74">
        <f t="shared" si="107"/>
        <v>3322578.2662610803</v>
      </c>
      <c r="AQ228" s="74">
        <f t="shared" si="108"/>
        <v>2691822.7453715373</v>
      </c>
      <c r="AR228" s="74">
        <f t="shared" si="109"/>
        <v>2069406.0024222983</v>
      </c>
      <c r="AS228" s="75">
        <v>18050</v>
      </c>
      <c r="AT228" s="75"/>
      <c r="AU228" s="75"/>
      <c r="AV228" s="75">
        <v>488</v>
      </c>
      <c r="AW228" s="75">
        <v>41985.693447118188</v>
      </c>
      <c r="AX228" s="75">
        <v>5930.5947938537611</v>
      </c>
      <c r="AY228" s="75">
        <v>16276.11047020924</v>
      </c>
      <c r="AZ228" s="316"/>
      <c r="BA228" s="74"/>
      <c r="BB228" s="74"/>
      <c r="BC228" s="74"/>
      <c r="BD228" s="74"/>
      <c r="BE228" s="74"/>
      <c r="BF228" s="74"/>
      <c r="BG228" s="74"/>
      <c r="BM228" s="316"/>
      <c r="BN228" s="74">
        <v>101267201.03033179</v>
      </c>
      <c r="BO228" s="74">
        <v>143790641</v>
      </c>
      <c r="BP228" s="74">
        <v>153501000</v>
      </c>
      <c r="BQ228" s="74">
        <v>3629000</v>
      </c>
      <c r="BR228" s="74">
        <v>3856000</v>
      </c>
      <c r="BS228" s="406">
        <f t="shared" si="110"/>
        <v>0.60526458137170125</v>
      </c>
      <c r="BT228" s="406">
        <f t="shared" si="111"/>
        <v>0.33333333333333337</v>
      </c>
      <c r="BU228" s="74">
        <f t="shared" si="112"/>
        <v>58144544.791768745</v>
      </c>
      <c r="BV228" s="316"/>
      <c r="BW228" s="74">
        <v>252473463.81999999</v>
      </c>
      <c r="BX228" s="74">
        <v>101267201.03033179</v>
      </c>
      <c r="BY228" s="74">
        <v>192367578.6311959</v>
      </c>
      <c r="BZ228" s="74">
        <v>85962521.434867874</v>
      </c>
      <c r="CA228" s="74">
        <f t="shared" si="113"/>
        <v>4224861.5882231034</v>
      </c>
      <c r="CB228" s="74">
        <f t="shared" si="114"/>
        <v>204.01474077022152</v>
      </c>
      <c r="CC228" s="74">
        <f t="shared" si="115"/>
        <v>90.512062064959139</v>
      </c>
      <c r="CD228" s="74">
        <f t="shared" si="116"/>
        <v>-113.50267870526238</v>
      </c>
      <c r="CE228" s="74">
        <f t="shared" si="117"/>
        <v>101.37263865756739</v>
      </c>
      <c r="CF228" s="74">
        <f t="shared" si="118"/>
        <v>85.283972028572208</v>
      </c>
      <c r="CG228" s="74">
        <f t="shared" si="119"/>
        <v>69.09373303656669</v>
      </c>
      <c r="CH228" s="74">
        <f t="shared" si="120"/>
        <v>53.117533879780346</v>
      </c>
      <c r="CI228" s="74">
        <f t="shared" si="121"/>
        <v>3949376.6294601681</v>
      </c>
      <c r="CJ228" s="74">
        <f t="shared" si="122"/>
        <v>3322578.2662611445</v>
      </c>
      <c r="CK228" s="74">
        <f t="shared" si="123"/>
        <v>2691822.7453716015</v>
      </c>
      <c r="CL228" s="74">
        <f t="shared" si="124"/>
        <v>2069406.0024223626</v>
      </c>
      <c r="CM228" s="316"/>
      <c r="CN228" s="74">
        <v>165545.09886415716</v>
      </c>
      <c r="CO228" s="74">
        <v>17770.220440000001</v>
      </c>
    </row>
    <row r="229" spans="1:93" x14ac:dyDescent="0.2">
      <c r="A229" s="74">
        <v>686</v>
      </c>
      <c r="B229" s="74" t="s">
        <v>348</v>
      </c>
      <c r="C229" s="74">
        <v>11</v>
      </c>
      <c r="D229" s="74">
        <v>3033</v>
      </c>
      <c r="E229" s="89">
        <v>9452876.5288972482</v>
      </c>
      <c r="F229" s="74">
        <v>4348346.8700236212</v>
      </c>
      <c r="G229" s="74">
        <v>1273164.4200000002</v>
      </c>
      <c r="H229" s="74">
        <v>657978.13959999999</v>
      </c>
      <c r="I229" s="74">
        <v>1931998.9496759451</v>
      </c>
      <c r="J229" s="74">
        <v>657541.56677178456</v>
      </c>
      <c r="K229" s="74">
        <v>-437443.22531851195</v>
      </c>
      <c r="L229" s="74">
        <v>105714</v>
      </c>
      <c r="M229" s="75">
        <v>184000</v>
      </c>
      <c r="N229" s="75">
        <v>24175.763402480003</v>
      </c>
      <c r="O229" s="178">
        <f t="shared" si="95"/>
        <v>-707400.04474192858</v>
      </c>
      <c r="P229" s="179">
        <f t="shared" si="96"/>
        <v>-233.23443611669256</v>
      </c>
      <c r="Q229" s="74"/>
      <c r="R229" s="89">
        <v>26175351</v>
      </c>
      <c r="S229" s="74">
        <v>9473276.58243718</v>
      </c>
      <c r="T229" s="74">
        <v>986967.20940000005</v>
      </c>
      <c r="U229" s="74">
        <v>10812351.951884797</v>
      </c>
      <c r="V229" s="74">
        <v>2192989.982152381</v>
      </c>
      <c r="W229" s="74">
        <v>1562878.4200000002</v>
      </c>
      <c r="X229" s="178">
        <f t="shared" si="97"/>
        <v>-1146886.8541256413</v>
      </c>
      <c r="Y229" s="179">
        <f t="shared" si="98"/>
        <v>-378.13612071402616</v>
      </c>
      <c r="Z229" s="74"/>
      <c r="AA229" s="84">
        <f t="shared" si="99"/>
        <v>439486.80938371271</v>
      </c>
      <c r="AB229" s="132">
        <f t="shared" si="100"/>
        <v>144.90168459733357</v>
      </c>
      <c r="AD229" s="180">
        <v>-426852.19623817626</v>
      </c>
      <c r="AE229" s="187">
        <v>-385287.22084837174</v>
      </c>
      <c r="AF229" s="187">
        <v>-343094.1467341141</v>
      </c>
      <c r="AG229" s="187">
        <v>-301209.14159686683</v>
      </c>
      <c r="AH229" s="188">
        <v>-258674.95363939981</v>
      </c>
      <c r="AJ229" s="74">
        <f t="shared" si="101"/>
        <v>5124929.7124135587</v>
      </c>
      <c r="AK229" s="74">
        <f t="shared" si="102"/>
        <v>328989.06980000006</v>
      </c>
      <c r="AL229" s="74">
        <f t="shared" si="103"/>
        <v>8880353.0022088513</v>
      </c>
      <c r="AM229" s="74">
        <f t="shared" si="104"/>
        <v>16722474.471102752</v>
      </c>
      <c r="AN229" s="74">
        <f t="shared" si="105"/>
        <v>-426852.19623817626</v>
      </c>
      <c r="AO229" s="74">
        <f t="shared" si="106"/>
        <v>-385287.22084837174</v>
      </c>
      <c r="AP229" s="74">
        <f t="shared" si="107"/>
        <v>-343094.1467341141</v>
      </c>
      <c r="AQ229" s="74">
        <f t="shared" si="108"/>
        <v>-301209.14159686683</v>
      </c>
      <c r="AR229" s="74">
        <f t="shared" si="109"/>
        <v>-258674.95363939981</v>
      </c>
      <c r="AS229" s="75">
        <v>1008</v>
      </c>
      <c r="AT229" s="75"/>
      <c r="AU229" s="75"/>
      <c r="AV229" s="75">
        <v>58</v>
      </c>
      <c r="AW229" s="75">
        <v>7513.4270328922348</v>
      </c>
      <c r="AX229" s="75">
        <v>-1516.099830841546</v>
      </c>
      <c r="AY229" s="75">
        <v>1535.4484153805965</v>
      </c>
      <c r="AZ229" s="316"/>
      <c r="BA229" s="74"/>
      <c r="BB229" s="74"/>
      <c r="BC229" s="74"/>
      <c r="BD229" s="74"/>
      <c r="BE229" s="74"/>
      <c r="BF229" s="74"/>
      <c r="BG229" s="74"/>
      <c r="BM229" s="316"/>
      <c r="BN229" s="74">
        <v>9452876.5288972482</v>
      </c>
      <c r="BO229" s="74">
        <v>15126022.730000004</v>
      </c>
      <c r="BP229" s="74">
        <v>16833000</v>
      </c>
      <c r="BQ229" s="74">
        <v>343875.32999999996</v>
      </c>
      <c r="BR229" s="74">
        <v>328000</v>
      </c>
      <c r="BS229" s="406">
        <f t="shared" si="110"/>
        <v>0.54098808029260281</v>
      </c>
      <c r="BT229" s="406">
        <f t="shared" si="111"/>
        <v>0.33333333333333337</v>
      </c>
      <c r="BU229" s="74">
        <f t="shared" si="112"/>
        <v>9978358.1922709364</v>
      </c>
      <c r="BV229" s="316"/>
      <c r="BW229" s="74">
        <v>26175351</v>
      </c>
      <c r="BX229" s="74">
        <v>9452876.5288972482</v>
      </c>
      <c r="BY229" s="74">
        <v>11733408.21183718</v>
      </c>
      <c r="BZ229" s="74">
        <v>6279489.4296236215</v>
      </c>
      <c r="CA229" s="74">
        <f t="shared" si="113"/>
        <v>-437443.22531851329</v>
      </c>
      <c r="CB229" s="74">
        <f t="shared" si="114"/>
        <v>-378.13612071402639</v>
      </c>
      <c r="CC229" s="74">
        <f t="shared" si="115"/>
        <v>-233.2344361166933</v>
      </c>
      <c r="CD229" s="74">
        <f t="shared" si="116"/>
        <v>144.90168459733309</v>
      </c>
      <c r="CE229" s="74">
        <f t="shared" si="117"/>
        <v>-127.03172464502808</v>
      </c>
      <c r="CF229" s="74">
        <f t="shared" si="118"/>
        <v>-113.12039127402326</v>
      </c>
      <c r="CG229" s="74">
        <f t="shared" si="119"/>
        <v>-99.310630266028781</v>
      </c>
      <c r="CH229" s="74">
        <f t="shared" si="120"/>
        <v>-85.286829422815117</v>
      </c>
      <c r="CI229" s="74">
        <f t="shared" si="121"/>
        <v>-385287.22084837017</v>
      </c>
      <c r="CJ229" s="74">
        <f t="shared" si="122"/>
        <v>-343094.14673411258</v>
      </c>
      <c r="CK229" s="74">
        <f t="shared" si="123"/>
        <v>-301209.14159686532</v>
      </c>
      <c r="CL229" s="74">
        <f t="shared" si="124"/>
        <v>-258674.95363939824</v>
      </c>
      <c r="CM229" s="316"/>
      <c r="CN229" s="74">
        <v>9587.2090774582466</v>
      </c>
      <c r="CO229" s="74">
        <v>1071.1272039999999</v>
      </c>
    </row>
    <row r="230" spans="1:93" x14ac:dyDescent="0.2">
      <c r="A230" s="74">
        <v>687</v>
      </c>
      <c r="B230" s="74" t="s">
        <v>349</v>
      </c>
      <c r="C230" s="74">
        <v>11</v>
      </c>
      <c r="D230" s="74">
        <v>1513</v>
      </c>
      <c r="E230" s="89">
        <v>5081618.2677605879</v>
      </c>
      <c r="F230" s="74">
        <v>1751826.2190898282</v>
      </c>
      <c r="G230" s="74">
        <v>469827.46370000002</v>
      </c>
      <c r="H230" s="74">
        <v>1176257.6126000001</v>
      </c>
      <c r="I230" s="74">
        <v>995139.04973792925</v>
      </c>
      <c r="J230" s="74">
        <v>375711.84264648927</v>
      </c>
      <c r="K230" s="74">
        <v>-184051.24712608245</v>
      </c>
      <c r="L230" s="74">
        <v>105677</v>
      </c>
      <c r="M230" s="75">
        <v>248000</v>
      </c>
      <c r="N230" s="75">
        <v>11984.181005292035</v>
      </c>
      <c r="O230" s="178">
        <f t="shared" si="95"/>
        <v>-131246.14610713162</v>
      </c>
      <c r="P230" s="179">
        <f t="shared" si="96"/>
        <v>-86.745635232737357</v>
      </c>
      <c r="Q230" s="74"/>
      <c r="R230" s="89">
        <v>15133534</v>
      </c>
      <c r="S230" s="74">
        <v>3867262.4992807196</v>
      </c>
      <c r="T230" s="74">
        <v>1764386.4189000002</v>
      </c>
      <c r="U230" s="74">
        <v>7007502.1604075273</v>
      </c>
      <c r="V230" s="74">
        <v>1253049.767096668</v>
      </c>
      <c r="W230" s="74">
        <v>823504.46369999996</v>
      </c>
      <c r="X230" s="178">
        <f t="shared" si="97"/>
        <v>-417828.69061508588</v>
      </c>
      <c r="Y230" s="179">
        <f t="shared" si="98"/>
        <v>-276.15908170197349</v>
      </c>
      <c r="Z230" s="74"/>
      <c r="AA230" s="84">
        <f t="shared" si="99"/>
        <v>286582.54450795427</v>
      </c>
      <c r="AB230" s="132">
        <f t="shared" si="100"/>
        <v>189.41344646923613</v>
      </c>
      <c r="AD230" s="180">
        <v>-280279.81793716451</v>
      </c>
      <c r="AE230" s="187">
        <v>-259545.29510011396</v>
      </c>
      <c r="AF230" s="187">
        <v>-238497.44770978368</v>
      </c>
      <c r="AG230" s="187">
        <v>-217603.27930468801</v>
      </c>
      <c r="AH230" s="188">
        <v>-196385.26862890573</v>
      </c>
      <c r="AJ230" s="74">
        <f t="shared" si="101"/>
        <v>2115436.2801908916</v>
      </c>
      <c r="AK230" s="74">
        <f t="shared" si="102"/>
        <v>588128.80630000005</v>
      </c>
      <c r="AL230" s="74">
        <f t="shared" si="103"/>
        <v>6012363.110669598</v>
      </c>
      <c r="AM230" s="74">
        <f t="shared" si="104"/>
        <v>10051915.732239412</v>
      </c>
      <c r="AN230" s="74">
        <f t="shared" si="105"/>
        <v>-280279.81793716451</v>
      </c>
      <c r="AO230" s="74">
        <f t="shared" si="106"/>
        <v>-259545.29510011396</v>
      </c>
      <c r="AP230" s="74">
        <f t="shared" si="107"/>
        <v>-238497.44770978368</v>
      </c>
      <c r="AQ230" s="74">
        <f t="shared" si="108"/>
        <v>-217603.27930468801</v>
      </c>
      <c r="AR230" s="74">
        <f t="shared" si="109"/>
        <v>-196385.26862890573</v>
      </c>
      <c r="AS230" s="75">
        <v>1569</v>
      </c>
      <c r="AT230" s="75"/>
      <c r="AU230" s="75"/>
      <c r="AV230" s="75">
        <v>7</v>
      </c>
      <c r="AW230" s="75">
        <v>5421.5345537568719</v>
      </c>
      <c r="AX230" s="75">
        <v>-755.36668603612702</v>
      </c>
      <c r="AY230" s="75">
        <v>877.33792445017878</v>
      </c>
      <c r="AZ230" s="316"/>
      <c r="BA230" s="74"/>
      <c r="BB230" s="74"/>
      <c r="BC230" s="74"/>
      <c r="BD230" s="74"/>
      <c r="BE230" s="74"/>
      <c r="BF230" s="74"/>
      <c r="BG230" s="74"/>
      <c r="BM230" s="316"/>
      <c r="BN230" s="74">
        <v>5081618.2677605879</v>
      </c>
      <c r="BO230" s="74">
        <v>8843156.5300000012</v>
      </c>
      <c r="BP230" s="74">
        <v>9480000</v>
      </c>
      <c r="BQ230" s="74">
        <v>270077.55</v>
      </c>
      <c r="BR230" s="74">
        <v>301000</v>
      </c>
      <c r="BS230" s="406">
        <f t="shared" si="110"/>
        <v>0.54701129819461336</v>
      </c>
      <c r="BT230" s="406">
        <f t="shared" si="111"/>
        <v>0.33333333333333337</v>
      </c>
      <c r="BU230" s="74">
        <f t="shared" si="112"/>
        <v>6705649.7879936937</v>
      </c>
      <c r="BV230" s="316"/>
      <c r="BW230" s="74">
        <v>15133534</v>
      </c>
      <c r="BX230" s="74">
        <v>5081618.2677605879</v>
      </c>
      <c r="BY230" s="74">
        <v>6101476.3818807201</v>
      </c>
      <c r="BZ230" s="74">
        <v>3397911.2953898283</v>
      </c>
      <c r="CA230" s="74">
        <f t="shared" si="113"/>
        <v>-184051.24712608362</v>
      </c>
      <c r="CB230" s="74">
        <f t="shared" si="114"/>
        <v>-276.15908170197332</v>
      </c>
      <c r="CC230" s="74">
        <f t="shared" si="115"/>
        <v>-86.745635232737698</v>
      </c>
      <c r="CD230" s="74">
        <f t="shared" si="116"/>
        <v>189.41344646923562</v>
      </c>
      <c r="CE230" s="74">
        <f t="shared" si="117"/>
        <v>-171.54348651693061</v>
      </c>
      <c r="CF230" s="74">
        <f t="shared" si="118"/>
        <v>-157.6321531459258</v>
      </c>
      <c r="CG230" s="74">
        <f t="shared" si="119"/>
        <v>-143.8223921379313</v>
      </c>
      <c r="CH230" s="74">
        <f t="shared" si="120"/>
        <v>-129.79859129471765</v>
      </c>
      <c r="CI230" s="74">
        <f t="shared" si="121"/>
        <v>-259545.29510011603</v>
      </c>
      <c r="CJ230" s="74">
        <f t="shared" si="122"/>
        <v>-238497.44770978575</v>
      </c>
      <c r="CK230" s="74">
        <f t="shared" si="123"/>
        <v>-217603.27930469005</v>
      </c>
      <c r="CL230" s="74">
        <f t="shared" si="124"/>
        <v>-196385.2686289078</v>
      </c>
      <c r="CM230" s="316"/>
      <c r="CN230" s="74">
        <v>3843.6479893128862</v>
      </c>
      <c r="CO230" s="74">
        <v>1914.837974</v>
      </c>
    </row>
    <row r="231" spans="1:93" x14ac:dyDescent="0.2">
      <c r="A231" s="74">
        <v>689</v>
      </c>
      <c r="B231" s="74" t="s">
        <v>350</v>
      </c>
      <c r="C231" s="74">
        <v>9</v>
      </c>
      <c r="D231" s="74">
        <v>3092</v>
      </c>
      <c r="E231" s="89">
        <v>8528992.7395101953</v>
      </c>
      <c r="F231" s="74">
        <v>4543710.0396807352</v>
      </c>
      <c r="G231" s="74">
        <v>887686.85129999998</v>
      </c>
      <c r="H231" s="74">
        <v>1882735.3232</v>
      </c>
      <c r="I231" s="74">
        <v>-156076.82457490105</v>
      </c>
      <c r="J231" s="74">
        <v>594072.79576208931</v>
      </c>
      <c r="K231" s="74">
        <v>1478680.7573115446</v>
      </c>
      <c r="L231" s="74">
        <v>-494646</v>
      </c>
      <c r="M231" s="75">
        <v>70800</v>
      </c>
      <c r="N231" s="75">
        <v>33594.500510012847</v>
      </c>
      <c r="O231" s="178">
        <f t="shared" si="95"/>
        <v>311564.70367928594</v>
      </c>
      <c r="P231" s="179">
        <f t="shared" si="96"/>
        <v>100.7647812675569</v>
      </c>
      <c r="Q231" s="74"/>
      <c r="R231" s="89">
        <v>24706739.920000002</v>
      </c>
      <c r="S231" s="74">
        <v>11181076.263764227</v>
      </c>
      <c r="T231" s="74">
        <v>2824102.9847999997</v>
      </c>
      <c r="U231" s="74">
        <v>9577550.7974247448</v>
      </c>
      <c r="V231" s="74">
        <v>1981313.0539741004</v>
      </c>
      <c r="W231" s="74">
        <v>463840.85129999998</v>
      </c>
      <c r="X231" s="178">
        <f t="shared" si="97"/>
        <v>1321144.0312630683</v>
      </c>
      <c r="Y231" s="179">
        <f t="shared" si="98"/>
        <v>427.278147239026</v>
      </c>
      <c r="Z231" s="74"/>
      <c r="AA231" s="84">
        <f t="shared" si="99"/>
        <v>-1009579.3275837824</v>
      </c>
      <c r="AB231" s="132">
        <f t="shared" si="100"/>
        <v>-326.51336597146906</v>
      </c>
      <c r="AD231" s="180">
        <v>1022459.7179055758</v>
      </c>
      <c r="AE231" s="187">
        <v>972073.24375630962</v>
      </c>
      <c r="AF231" s="187">
        <v>922327.08653945662</v>
      </c>
      <c r="AG231" s="187">
        <v>872266.86757617537</v>
      </c>
      <c r="AH231" s="188">
        <v>822868.45978339203</v>
      </c>
      <c r="AJ231" s="74">
        <f t="shared" si="101"/>
        <v>6637366.2240834916</v>
      </c>
      <c r="AK231" s="74">
        <f t="shared" si="102"/>
        <v>941367.66159999976</v>
      </c>
      <c r="AL231" s="74">
        <f t="shared" si="103"/>
        <v>9733627.6219996456</v>
      </c>
      <c r="AM231" s="74">
        <f t="shared" si="104"/>
        <v>16177747.180489806</v>
      </c>
      <c r="AN231" s="74">
        <f t="shared" si="105"/>
        <v>1022459.7179055758</v>
      </c>
      <c r="AO231" s="74">
        <f t="shared" si="106"/>
        <v>972073.24375630962</v>
      </c>
      <c r="AP231" s="74">
        <f t="shared" si="107"/>
        <v>922327.08653945662</v>
      </c>
      <c r="AQ231" s="74">
        <f t="shared" si="108"/>
        <v>872266.86757617537</v>
      </c>
      <c r="AR231" s="74">
        <f t="shared" si="109"/>
        <v>822868.45978339203</v>
      </c>
      <c r="AS231" s="75">
        <v>1601</v>
      </c>
      <c r="AT231" s="75"/>
      <c r="AU231" s="75"/>
      <c r="AV231" s="75">
        <v>0</v>
      </c>
      <c r="AW231" s="75">
        <v>9313.5284126563765</v>
      </c>
      <c r="AX231" s="75">
        <v>-397.64851950906751</v>
      </c>
      <c r="AY231" s="75">
        <v>1387.2402582120112</v>
      </c>
      <c r="AZ231" s="316"/>
      <c r="BA231" s="74"/>
      <c r="BB231" s="74"/>
      <c r="BC231" s="74"/>
      <c r="BD231" s="74"/>
      <c r="BE231" s="74"/>
      <c r="BF231" s="74"/>
      <c r="BG231" s="74"/>
      <c r="BM231" s="316"/>
      <c r="BN231" s="74">
        <v>8528992.7395101953</v>
      </c>
      <c r="BO231" s="74">
        <v>14859848.540000003</v>
      </c>
      <c r="BP231" s="74">
        <v>16263000</v>
      </c>
      <c r="BQ231" s="74">
        <v>295226.86000000004</v>
      </c>
      <c r="BR231" s="74">
        <v>369000</v>
      </c>
      <c r="BS231" s="406">
        <f t="shared" si="110"/>
        <v>0.59362498452800572</v>
      </c>
      <c r="BT231" s="406">
        <f t="shared" si="111"/>
        <v>0.33333333333333326</v>
      </c>
      <c r="BU231" s="74">
        <f t="shared" si="112"/>
        <v>12599548.6375232</v>
      </c>
      <c r="BV231" s="316"/>
      <c r="BW231" s="74">
        <v>24706739.920000002</v>
      </c>
      <c r="BX231" s="74">
        <v>8528992.7395101953</v>
      </c>
      <c r="BY231" s="74">
        <v>14892866.099864226</v>
      </c>
      <c r="BZ231" s="74">
        <v>7314132.2141807359</v>
      </c>
      <c r="CA231" s="74">
        <f t="shared" si="113"/>
        <v>1478680.7573115451</v>
      </c>
      <c r="CB231" s="74">
        <f t="shared" si="114"/>
        <v>427.27814723902651</v>
      </c>
      <c r="CC231" s="74">
        <f t="shared" si="115"/>
        <v>100.76478126755701</v>
      </c>
      <c r="CD231" s="74">
        <f t="shared" si="116"/>
        <v>-326.51336597146951</v>
      </c>
      <c r="CE231" s="74">
        <f t="shared" si="117"/>
        <v>314.38332592377452</v>
      </c>
      <c r="CF231" s="74">
        <f t="shared" si="118"/>
        <v>298.29465929477936</v>
      </c>
      <c r="CG231" s="74">
        <f t="shared" si="119"/>
        <v>282.1044203027738</v>
      </c>
      <c r="CH231" s="74">
        <f t="shared" si="120"/>
        <v>266.12822114598748</v>
      </c>
      <c r="CI231" s="74">
        <f t="shared" si="121"/>
        <v>972073.24375631078</v>
      </c>
      <c r="CJ231" s="74">
        <f t="shared" si="122"/>
        <v>922327.08653945778</v>
      </c>
      <c r="CK231" s="74">
        <f t="shared" si="123"/>
        <v>872266.86757617665</v>
      </c>
      <c r="CL231" s="74">
        <f t="shared" si="124"/>
        <v>822868.45978339331</v>
      </c>
      <c r="CM231" s="316"/>
      <c r="CN231" s="74">
        <v>10897.43893069775</v>
      </c>
      <c r="CO231" s="74">
        <v>3064.9179679999997</v>
      </c>
    </row>
    <row r="232" spans="1:93" x14ac:dyDescent="0.2">
      <c r="A232" s="74">
        <v>691</v>
      </c>
      <c r="B232" s="74" t="s">
        <v>351</v>
      </c>
      <c r="C232" s="74">
        <v>17</v>
      </c>
      <c r="D232" s="74">
        <v>2690</v>
      </c>
      <c r="E232" s="89">
        <v>8312103.812574707</v>
      </c>
      <c r="F232" s="74">
        <v>3630100.6559591615</v>
      </c>
      <c r="G232" s="74">
        <v>782406.86699999997</v>
      </c>
      <c r="H232" s="74">
        <v>383495.22480000003</v>
      </c>
      <c r="I232" s="74">
        <v>3551373.3123606858</v>
      </c>
      <c r="J232" s="74">
        <v>571534.65955286357</v>
      </c>
      <c r="K232" s="74">
        <v>538032.02669340617</v>
      </c>
      <c r="L232" s="74">
        <v>2184</v>
      </c>
      <c r="M232" s="75">
        <v>151500</v>
      </c>
      <c r="N232" s="75">
        <v>19575.764329468664</v>
      </c>
      <c r="O232" s="178">
        <f t="shared" si="95"/>
        <v>1318098.698120879</v>
      </c>
      <c r="P232" s="179">
        <f t="shared" si="96"/>
        <v>489.99951603006656</v>
      </c>
      <c r="Q232" s="74"/>
      <c r="R232" s="89">
        <v>20802848</v>
      </c>
      <c r="S232" s="74">
        <v>7854537.4252165044</v>
      </c>
      <c r="T232" s="74">
        <v>575242.83720000007</v>
      </c>
      <c r="U232" s="74">
        <v>10892852.15610088</v>
      </c>
      <c r="V232" s="74">
        <v>1906145.3240222507</v>
      </c>
      <c r="W232" s="74">
        <v>936090.86699999997</v>
      </c>
      <c r="X232" s="178">
        <f t="shared" si="97"/>
        <v>1362020.6095396355</v>
      </c>
      <c r="Y232" s="179">
        <f t="shared" si="98"/>
        <v>506.32736414112844</v>
      </c>
      <c r="Z232" s="74"/>
      <c r="AA232" s="84">
        <f t="shared" si="99"/>
        <v>-43921.91141875647</v>
      </c>
      <c r="AB232" s="132">
        <f t="shared" si="100"/>
        <v>-16.327848111061886</v>
      </c>
      <c r="AD232" s="180">
        <v>55127.684370124356</v>
      </c>
      <c r="AE232" s="187">
        <v>11292.103690458762</v>
      </c>
      <c r="AF232" s="187">
        <v>4791.6790397034329</v>
      </c>
      <c r="AG232" s="187">
        <v>1589.9361512085989</v>
      </c>
      <c r="AH232" s="188">
        <v>-1036.0395805466753</v>
      </c>
      <c r="AJ232" s="74">
        <f t="shared" si="101"/>
        <v>4224436.7692573424</v>
      </c>
      <c r="AK232" s="74">
        <f t="shared" si="102"/>
        <v>191747.61240000004</v>
      </c>
      <c r="AL232" s="74">
        <f t="shared" si="103"/>
        <v>7341478.843740195</v>
      </c>
      <c r="AM232" s="74">
        <f t="shared" si="104"/>
        <v>12490744.187425293</v>
      </c>
      <c r="AN232" s="74">
        <f t="shared" si="105"/>
        <v>55127.684370124356</v>
      </c>
      <c r="AO232" s="74">
        <f t="shared" si="106"/>
        <v>11292.103690458762</v>
      </c>
      <c r="AP232" s="74">
        <f t="shared" si="107"/>
        <v>4791.6790397034329</v>
      </c>
      <c r="AQ232" s="74">
        <f t="shared" si="108"/>
        <v>1589.9361512085989</v>
      </c>
      <c r="AR232" s="74">
        <f t="shared" si="109"/>
        <v>-1036.0395805466753</v>
      </c>
      <c r="AS232" s="75">
        <v>1022</v>
      </c>
      <c r="AT232" s="75"/>
      <c r="AU232" s="75"/>
      <c r="AV232" s="75">
        <v>0</v>
      </c>
      <c r="AW232" s="75">
        <v>6043.5687763073711</v>
      </c>
      <c r="AX232" s="75">
        <v>-1613.8432320570814</v>
      </c>
      <c r="AY232" s="75">
        <v>1334.6106644693871</v>
      </c>
      <c r="AZ232" s="316"/>
      <c r="BA232" s="74"/>
      <c r="BB232" s="74"/>
      <c r="BC232" s="74"/>
      <c r="BD232" s="74"/>
      <c r="BE232" s="74"/>
      <c r="BF232" s="74"/>
      <c r="BG232" s="74"/>
      <c r="BM232" s="316"/>
      <c r="BN232" s="74">
        <v>8312103.812574707</v>
      </c>
      <c r="BO232" s="74">
        <v>11656795.920000002</v>
      </c>
      <c r="BP232" s="74">
        <v>11683000</v>
      </c>
      <c r="BQ232" s="74">
        <v>274036.03999999998</v>
      </c>
      <c r="BR232" s="74">
        <v>266000</v>
      </c>
      <c r="BS232" s="406">
        <f t="shared" si="110"/>
        <v>0.53783393477699293</v>
      </c>
      <c r="BT232" s="406">
        <f t="shared" si="111"/>
        <v>0.33333333333333337</v>
      </c>
      <c r="BU232" s="74">
        <f t="shared" si="112"/>
        <v>9214121.534902988</v>
      </c>
      <c r="BV232" s="316"/>
      <c r="BW232" s="74">
        <v>20802848</v>
      </c>
      <c r="BX232" s="74">
        <v>8312103.812574707</v>
      </c>
      <c r="BY232" s="74">
        <v>9212187.1294165049</v>
      </c>
      <c r="BZ232" s="74">
        <v>4796002.7477591615</v>
      </c>
      <c r="CA232" s="74">
        <f t="shared" si="113"/>
        <v>538032.026693405</v>
      </c>
      <c r="CB232" s="74">
        <f t="shared" si="114"/>
        <v>506.32736414112844</v>
      </c>
      <c r="CC232" s="74">
        <f t="shared" si="115"/>
        <v>489.99951603006576</v>
      </c>
      <c r="CD232" s="74">
        <f t="shared" si="116"/>
        <v>-16.327848111062679</v>
      </c>
      <c r="CE232" s="74">
        <f t="shared" si="117"/>
        <v>4.1978080633676829</v>
      </c>
      <c r="CF232" s="74">
        <f t="shared" si="118"/>
        <v>1.7812933233098263</v>
      </c>
      <c r="CG232" s="74">
        <f t="shared" si="119"/>
        <v>0.59105433130431184</v>
      </c>
      <c r="CH232" s="74">
        <f t="shared" si="120"/>
        <v>-0.38514482548203544</v>
      </c>
      <c r="CI232" s="74">
        <f t="shared" si="121"/>
        <v>11292.103690459067</v>
      </c>
      <c r="CJ232" s="74">
        <f t="shared" si="122"/>
        <v>4791.6790397034329</v>
      </c>
      <c r="CK232" s="74">
        <f t="shared" si="123"/>
        <v>1589.9361512085989</v>
      </c>
      <c r="CL232" s="74">
        <f t="shared" si="124"/>
        <v>-1036.0395805466753</v>
      </c>
      <c r="CM232" s="316"/>
      <c r="CN232" s="74">
        <v>8022.8337828097319</v>
      </c>
      <c r="CO232" s="74">
        <v>624.29455200000007</v>
      </c>
    </row>
    <row r="233" spans="1:93" x14ac:dyDescent="0.2">
      <c r="A233" s="74">
        <v>694</v>
      </c>
      <c r="B233" s="74" t="s">
        <v>352</v>
      </c>
      <c r="C233" s="74">
        <v>5</v>
      </c>
      <c r="D233" s="74">
        <v>28521</v>
      </c>
      <c r="E233" s="89">
        <v>64679508.694603741</v>
      </c>
      <c r="F233" s="74">
        <v>44919142.479922339</v>
      </c>
      <c r="G233" s="74">
        <v>9992702.9224999994</v>
      </c>
      <c r="H233" s="74">
        <v>8908647.4123999998</v>
      </c>
      <c r="I233" s="74">
        <v>8553213.6815428473</v>
      </c>
      <c r="J233" s="74">
        <v>4155324.7106648944</v>
      </c>
      <c r="K233" s="74">
        <v>182336.14887084407</v>
      </c>
      <c r="L233" s="74">
        <v>-504462</v>
      </c>
      <c r="M233" s="75">
        <v>1341300</v>
      </c>
      <c r="N233" s="75">
        <v>324459.87308498833</v>
      </c>
      <c r="O233" s="178">
        <f t="shared" si="95"/>
        <v>13193156.534382164</v>
      </c>
      <c r="P233" s="179">
        <f t="shared" si="96"/>
        <v>462.57692697949454</v>
      </c>
      <c r="Q233" s="74"/>
      <c r="R233" s="89">
        <v>172345700</v>
      </c>
      <c r="S233" s="74">
        <v>113661175.24167643</v>
      </c>
      <c r="T233" s="74">
        <v>13362971.118600002</v>
      </c>
      <c r="U233" s="74">
        <v>35411431.756750852</v>
      </c>
      <c r="V233" s="74">
        <v>13858569.440433711</v>
      </c>
      <c r="W233" s="74">
        <v>10829540.922499999</v>
      </c>
      <c r="X233" s="178">
        <f t="shared" si="97"/>
        <v>14777988.479960978</v>
      </c>
      <c r="Y233" s="179">
        <f t="shared" si="98"/>
        <v>518.14412117250367</v>
      </c>
      <c r="Z233" s="74"/>
      <c r="AA233" s="84">
        <f t="shared" si="99"/>
        <v>-1584831.9455788136</v>
      </c>
      <c r="AB233" s="132">
        <f t="shared" si="100"/>
        <v>-55.567194193009136</v>
      </c>
      <c r="AD233" s="180">
        <v>1703642.2988672401</v>
      </c>
      <c r="AE233" s="187">
        <v>1238871.0733784882</v>
      </c>
      <c r="AF233" s="187">
        <v>780006.21245291666</v>
      </c>
      <c r="AG233" s="187">
        <v>318244.40616192744</v>
      </c>
      <c r="AH233" s="188">
        <v>-10984.715567573132</v>
      </c>
      <c r="AJ233" s="74">
        <f t="shared" si="101"/>
        <v>68742032.761754096</v>
      </c>
      <c r="AK233" s="74">
        <f t="shared" si="102"/>
        <v>4454323.7062000018</v>
      </c>
      <c r="AL233" s="74">
        <f t="shared" si="103"/>
        <v>26858218.075208005</v>
      </c>
      <c r="AM233" s="74">
        <f t="shared" si="104"/>
        <v>107666191.30539626</v>
      </c>
      <c r="AN233" s="74">
        <f t="shared" si="105"/>
        <v>1703642.2988672401</v>
      </c>
      <c r="AO233" s="74">
        <f t="shared" si="106"/>
        <v>1238871.0733784882</v>
      </c>
      <c r="AP233" s="74">
        <f t="shared" si="107"/>
        <v>780006.21245291666</v>
      </c>
      <c r="AQ233" s="74">
        <f t="shared" si="108"/>
        <v>318244.40616192744</v>
      </c>
      <c r="AR233" s="74">
        <f t="shared" si="109"/>
        <v>-10984.715567573132</v>
      </c>
      <c r="AS233" s="75">
        <v>8702</v>
      </c>
      <c r="AT233" s="75"/>
      <c r="AU233" s="75"/>
      <c r="AV233" s="75">
        <v>81</v>
      </c>
      <c r="AW233" s="75">
        <v>26898.975366196148</v>
      </c>
      <c r="AX233" s="75">
        <v>1491.6579496093022</v>
      </c>
      <c r="AY233" s="75">
        <v>9703.2447297688159</v>
      </c>
      <c r="AZ233" s="316"/>
      <c r="BA233" s="74"/>
      <c r="BB233" s="74"/>
      <c r="BC233" s="74"/>
      <c r="BD233" s="74"/>
      <c r="BE233" s="74"/>
      <c r="BF233" s="74"/>
      <c r="BG233" s="74"/>
      <c r="BM233" s="316"/>
      <c r="BN233" s="74">
        <v>64679508.694603741</v>
      </c>
      <c r="BO233" s="74">
        <v>100954602.28</v>
      </c>
      <c r="BP233" s="74">
        <v>111360000</v>
      </c>
      <c r="BQ233" s="74">
        <v>2327910.8200000003</v>
      </c>
      <c r="BR233" s="74">
        <v>2528000</v>
      </c>
      <c r="BS233" s="406">
        <f t="shared" si="110"/>
        <v>0.60479783545778676</v>
      </c>
      <c r="BT233" s="406">
        <f t="shared" si="111"/>
        <v>0.33333333333333348</v>
      </c>
      <c r="BU233" s="74">
        <f t="shared" si="112"/>
        <v>36743798.953847662</v>
      </c>
      <c r="BV233" s="316"/>
      <c r="BW233" s="74">
        <v>172345700</v>
      </c>
      <c r="BX233" s="74">
        <v>64679508.694603741</v>
      </c>
      <c r="BY233" s="74">
        <v>137016849.28277642</v>
      </c>
      <c r="BZ233" s="74">
        <v>63820492.814822339</v>
      </c>
      <c r="CA233" s="74">
        <f t="shared" si="113"/>
        <v>182336.14887081279</v>
      </c>
      <c r="CB233" s="74">
        <f t="shared" si="114"/>
        <v>518.14412117250447</v>
      </c>
      <c r="CC233" s="74">
        <f t="shared" si="115"/>
        <v>462.57692697949369</v>
      </c>
      <c r="CD233" s="74">
        <f t="shared" si="116"/>
        <v>-55.567194193010778</v>
      </c>
      <c r="CE233" s="74">
        <f t="shared" si="117"/>
        <v>43.43715414531578</v>
      </c>
      <c r="CF233" s="74">
        <f t="shared" si="118"/>
        <v>27.348487516320603</v>
      </c>
      <c r="CG233" s="74">
        <f t="shared" si="119"/>
        <v>11.15824852431509</v>
      </c>
      <c r="CH233" s="74">
        <f t="shared" si="120"/>
        <v>-0.38514482548203544</v>
      </c>
      <c r="CI233" s="74">
        <f t="shared" si="121"/>
        <v>1238871.0733785513</v>
      </c>
      <c r="CJ233" s="74">
        <f t="shared" si="122"/>
        <v>780006.21245297987</v>
      </c>
      <c r="CK233" s="74">
        <f t="shared" si="123"/>
        <v>318244.40616199066</v>
      </c>
      <c r="CL233" s="74">
        <f t="shared" si="124"/>
        <v>-10984.715567573132</v>
      </c>
      <c r="CM233" s="316"/>
      <c r="CN233" s="74">
        <v>115712.19330953868</v>
      </c>
      <c r="CO233" s="74">
        <v>14502.449275999999</v>
      </c>
    </row>
    <row r="234" spans="1:93" x14ac:dyDescent="0.2">
      <c r="A234" s="74">
        <v>697</v>
      </c>
      <c r="B234" s="74" t="s">
        <v>353</v>
      </c>
      <c r="C234" s="74">
        <v>18</v>
      </c>
      <c r="D234" s="74">
        <v>1210</v>
      </c>
      <c r="E234" s="89">
        <v>3774169.899831702</v>
      </c>
      <c r="F234" s="74">
        <v>1768070.7681516439</v>
      </c>
      <c r="G234" s="74">
        <v>889172.95050000004</v>
      </c>
      <c r="H234" s="74">
        <v>391050.67739999999</v>
      </c>
      <c r="I234" s="74">
        <v>722139.92925274943</v>
      </c>
      <c r="J234" s="74">
        <v>291405.21281640953</v>
      </c>
      <c r="K234" s="74">
        <v>-130762.00988030998</v>
      </c>
      <c r="L234" s="74">
        <v>-257531</v>
      </c>
      <c r="M234" s="75">
        <v>8500</v>
      </c>
      <c r="N234" s="75">
        <v>10642.863575425405</v>
      </c>
      <c r="O234" s="178">
        <f t="shared" si="95"/>
        <v>-81480.508015783504</v>
      </c>
      <c r="P234" s="179">
        <f t="shared" si="96"/>
        <v>-67.339262822961572</v>
      </c>
      <c r="Q234" s="74"/>
      <c r="R234" s="89">
        <v>11701182</v>
      </c>
      <c r="S234" s="74">
        <v>3973516.7073470391</v>
      </c>
      <c r="T234" s="74">
        <v>586576.01610000001</v>
      </c>
      <c r="U234" s="74">
        <v>5367023.3122101119</v>
      </c>
      <c r="V234" s="74">
        <v>971875.7638255374</v>
      </c>
      <c r="W234" s="74">
        <v>640141.95050000004</v>
      </c>
      <c r="X234" s="178">
        <f t="shared" si="97"/>
        <v>-162048.25001731142</v>
      </c>
      <c r="Y234" s="179">
        <f t="shared" si="98"/>
        <v>-133.92417356802596</v>
      </c>
      <c r="Z234" s="74"/>
      <c r="AA234" s="84">
        <f t="shared" si="99"/>
        <v>80567.74200152792</v>
      </c>
      <c r="AB234" s="132">
        <f t="shared" si="100"/>
        <v>66.584910745064391</v>
      </c>
      <c r="AD234" s="180">
        <v>-75527.227030838621</v>
      </c>
      <c r="AE234" s="187">
        <v>-58945.090459238396</v>
      </c>
      <c r="AF234" s="187">
        <v>-42112.377080322563</v>
      </c>
      <c r="AG234" s="187">
        <v>-25402.56626064923</v>
      </c>
      <c r="AH234" s="188">
        <v>-8433.7672403607121</v>
      </c>
      <c r="AJ234" s="74">
        <f t="shared" si="101"/>
        <v>2205445.9391953954</v>
      </c>
      <c r="AK234" s="74">
        <f t="shared" si="102"/>
        <v>195525.33870000002</v>
      </c>
      <c r="AL234" s="74">
        <f t="shared" si="103"/>
        <v>4644883.3829573626</v>
      </c>
      <c r="AM234" s="74">
        <f t="shared" si="104"/>
        <v>7927012.100168298</v>
      </c>
      <c r="AN234" s="74">
        <f t="shared" si="105"/>
        <v>-75527.227030838621</v>
      </c>
      <c r="AO234" s="74">
        <f t="shared" si="106"/>
        <v>-58945.090459238396</v>
      </c>
      <c r="AP234" s="74">
        <f t="shared" si="107"/>
        <v>-42112.377080322563</v>
      </c>
      <c r="AQ234" s="74">
        <f t="shared" si="108"/>
        <v>-25402.56626064923</v>
      </c>
      <c r="AR234" s="74">
        <f t="shared" si="109"/>
        <v>-8433.7672403607121</v>
      </c>
      <c r="AS234" s="75">
        <v>532</v>
      </c>
      <c r="AT234" s="75"/>
      <c r="AU234" s="75"/>
      <c r="AV234" s="75">
        <v>0</v>
      </c>
      <c r="AW234" s="75">
        <v>4152.6161487193931</v>
      </c>
      <c r="AX234" s="75">
        <v>-486.18526227196645</v>
      </c>
      <c r="AY234" s="75">
        <v>680.47055100912792</v>
      </c>
      <c r="AZ234" s="316"/>
      <c r="BA234" s="74"/>
      <c r="BB234" s="74"/>
      <c r="BC234" s="74"/>
      <c r="BD234" s="74"/>
      <c r="BE234" s="74"/>
      <c r="BF234" s="74"/>
      <c r="BG234" s="74"/>
      <c r="BM234" s="316"/>
      <c r="BN234" s="74">
        <v>3774169.899831702</v>
      </c>
      <c r="BO234" s="74">
        <v>7522239.3100000015</v>
      </c>
      <c r="BP234" s="74">
        <v>7341000</v>
      </c>
      <c r="BQ234" s="74">
        <v>174730.42</v>
      </c>
      <c r="BR234" s="74">
        <v>169000</v>
      </c>
      <c r="BS234" s="406">
        <f t="shared" si="110"/>
        <v>0.5550362818702943</v>
      </c>
      <c r="BT234" s="406">
        <f t="shared" si="111"/>
        <v>0.33333333333333337</v>
      </c>
      <c r="BU234" s="74">
        <f t="shared" si="112"/>
        <v>5194591.9240861805</v>
      </c>
      <c r="BV234" s="316"/>
      <c r="BW234" s="74">
        <v>11701182</v>
      </c>
      <c r="BX234" s="74">
        <v>3774169.899831702</v>
      </c>
      <c r="BY234" s="74">
        <v>5449265.6739470391</v>
      </c>
      <c r="BZ234" s="74">
        <v>3048294.3960516439</v>
      </c>
      <c r="CA234" s="74">
        <f t="shared" si="113"/>
        <v>-130762.00988031056</v>
      </c>
      <c r="CB234" s="74">
        <f t="shared" si="114"/>
        <v>-133.92417356802636</v>
      </c>
      <c r="CC234" s="74">
        <f t="shared" si="115"/>
        <v>-67.33926282296224</v>
      </c>
      <c r="CD234" s="74">
        <f t="shared" si="116"/>
        <v>66.584910745064121</v>
      </c>
      <c r="CE234" s="74">
        <f t="shared" si="117"/>
        <v>-48.714950792759119</v>
      </c>
      <c r="CF234" s="74">
        <f t="shared" si="118"/>
        <v>-34.803617421754296</v>
      </c>
      <c r="CG234" s="74">
        <f t="shared" si="119"/>
        <v>-20.993856413759808</v>
      </c>
      <c r="CH234" s="74">
        <f t="shared" si="120"/>
        <v>-6.9700555705461564</v>
      </c>
      <c r="CI234" s="74">
        <f t="shared" si="121"/>
        <v>-58945.090459238534</v>
      </c>
      <c r="CJ234" s="74">
        <f t="shared" si="122"/>
        <v>-42112.377080322702</v>
      </c>
      <c r="CK234" s="74">
        <f t="shared" si="123"/>
        <v>-25402.566260649368</v>
      </c>
      <c r="CL234" s="74">
        <f t="shared" si="124"/>
        <v>-8433.7672403608485</v>
      </c>
      <c r="CM234" s="316"/>
      <c r="CN234" s="74">
        <v>3860.2522068252033</v>
      </c>
      <c r="CO234" s="74">
        <v>636.59412599999996</v>
      </c>
    </row>
    <row r="235" spans="1:93" x14ac:dyDescent="0.2">
      <c r="A235" s="74">
        <v>698</v>
      </c>
      <c r="B235" s="74" t="s">
        <v>354</v>
      </c>
      <c r="C235" s="74">
        <v>19</v>
      </c>
      <c r="D235" s="74">
        <v>64180</v>
      </c>
      <c r="E235" s="89">
        <v>174441441.43971613</v>
      </c>
      <c r="F235" s="74">
        <v>102765371.65401709</v>
      </c>
      <c r="G235" s="74">
        <v>34148882.187000006</v>
      </c>
      <c r="H235" s="74">
        <v>10970092.008400001</v>
      </c>
      <c r="I235" s="74">
        <v>37962270.768640071</v>
      </c>
      <c r="J235" s="74">
        <v>9547961.6850379929</v>
      </c>
      <c r="K235" s="74">
        <v>-18309719.873889558</v>
      </c>
      <c r="L235" s="74">
        <v>-3819856</v>
      </c>
      <c r="M235" s="75">
        <v>11449000</v>
      </c>
      <c r="N235" s="75">
        <v>634598.91460943373</v>
      </c>
      <c r="O235" s="178">
        <f t="shared" si="95"/>
        <v>10907159.904098898</v>
      </c>
      <c r="P235" s="179">
        <f t="shared" si="96"/>
        <v>169.94639925364442</v>
      </c>
      <c r="Q235" s="74"/>
      <c r="R235" s="89">
        <v>427219577</v>
      </c>
      <c r="S235" s="74">
        <v>240442338.03142759</v>
      </c>
      <c r="T235" s="74">
        <v>16455138.012599999</v>
      </c>
      <c r="U235" s="74">
        <v>95474294.180892482</v>
      </c>
      <c r="V235" s="74">
        <v>31843742.484694231</v>
      </c>
      <c r="W235" s="74">
        <v>41778026.187000006</v>
      </c>
      <c r="X235" s="178">
        <f t="shared" si="97"/>
        <v>-1226038.1033856869</v>
      </c>
      <c r="Y235" s="179">
        <f t="shared" si="98"/>
        <v>-19.103117846458193</v>
      </c>
      <c r="Z235" s="74"/>
      <c r="AA235" s="84">
        <f t="shared" si="99"/>
        <v>12133198.007484585</v>
      </c>
      <c r="AB235" s="132">
        <f t="shared" si="100"/>
        <v>189.04951710010261</v>
      </c>
      <c r="AD235" s="180">
        <v>-11865842.428295486</v>
      </c>
      <c r="AE235" s="187">
        <v>-10986303.97774565</v>
      </c>
      <c r="AF235" s="187">
        <v>-10093474.601994561</v>
      </c>
      <c r="AG235" s="187">
        <v>-9207164.1405014731</v>
      </c>
      <c r="AH235" s="188">
        <v>-8307116.6023840215</v>
      </c>
      <c r="AJ235" s="74">
        <f t="shared" si="101"/>
        <v>137676966.3774105</v>
      </c>
      <c r="AK235" s="74">
        <f t="shared" si="102"/>
        <v>5485046.0041999985</v>
      </c>
      <c r="AL235" s="74">
        <f t="shared" si="103"/>
        <v>57512023.412252411</v>
      </c>
      <c r="AM235" s="74">
        <f t="shared" si="104"/>
        <v>252778135.56028387</v>
      </c>
      <c r="AN235" s="74">
        <f t="shared" si="105"/>
        <v>-11865842.428295486</v>
      </c>
      <c r="AO235" s="74">
        <f t="shared" si="106"/>
        <v>-10986303.97774565</v>
      </c>
      <c r="AP235" s="74">
        <f t="shared" si="107"/>
        <v>-10093474.601994561</v>
      </c>
      <c r="AQ235" s="74">
        <f t="shared" si="108"/>
        <v>-9207164.1405014731</v>
      </c>
      <c r="AR235" s="74">
        <f t="shared" si="109"/>
        <v>-8307116.6023840215</v>
      </c>
      <c r="AS235" s="75">
        <v>15050</v>
      </c>
      <c r="AT235" s="75"/>
      <c r="AU235" s="75"/>
      <c r="AV235" s="75">
        <v>0</v>
      </c>
      <c r="AW235" s="75">
        <v>49434.746559364095</v>
      </c>
      <c r="AX235" s="75">
        <v>-8031.8394791375449</v>
      </c>
      <c r="AY235" s="75">
        <v>22295.780799656241</v>
      </c>
      <c r="AZ235" s="316"/>
      <c r="BA235" s="74"/>
      <c r="BB235" s="74"/>
      <c r="BC235" s="74"/>
      <c r="BD235" s="74"/>
      <c r="BE235" s="74"/>
      <c r="BF235" s="74"/>
      <c r="BG235" s="74"/>
      <c r="BM235" s="316"/>
      <c r="BN235" s="74">
        <v>174441441.43971613</v>
      </c>
      <c r="BO235" s="74">
        <v>228117816.81999999</v>
      </c>
      <c r="BP235" s="74">
        <v>271352000</v>
      </c>
      <c r="BQ235" s="74">
        <v>5062046</v>
      </c>
      <c r="BR235" s="74">
        <v>5536000</v>
      </c>
      <c r="BS235" s="406">
        <f t="shared" si="110"/>
        <v>0.57259868417772208</v>
      </c>
      <c r="BT235" s="406">
        <f t="shared" si="111"/>
        <v>0.33333333333333326</v>
      </c>
      <c r="BU235" s="74">
        <f t="shared" si="112"/>
        <v>61498084.33801908</v>
      </c>
      <c r="BV235" s="316"/>
      <c r="BW235" s="74">
        <v>427219577</v>
      </c>
      <c r="BX235" s="74">
        <v>174441441.43971613</v>
      </c>
      <c r="BY235" s="74">
        <v>291046358.2310276</v>
      </c>
      <c r="BZ235" s="74">
        <v>147884345.84941709</v>
      </c>
      <c r="CA235" s="74">
        <f t="shared" si="113"/>
        <v>-18309719.873889584</v>
      </c>
      <c r="CB235" s="74">
        <f t="shared" si="114"/>
        <v>-19.103117846458193</v>
      </c>
      <c r="CC235" s="74">
        <f t="shared" si="115"/>
        <v>169.94639925364416</v>
      </c>
      <c r="CD235" s="74">
        <f t="shared" si="116"/>
        <v>189.04951710010235</v>
      </c>
      <c r="CE235" s="74">
        <f t="shared" si="117"/>
        <v>-171.17955714779734</v>
      </c>
      <c r="CF235" s="74">
        <f t="shared" si="118"/>
        <v>-157.26822377679252</v>
      </c>
      <c r="CG235" s="74">
        <f t="shared" si="119"/>
        <v>-143.45846276879803</v>
      </c>
      <c r="CH235" s="74">
        <f t="shared" si="120"/>
        <v>-129.43466192558438</v>
      </c>
      <c r="CI235" s="74">
        <f t="shared" si="121"/>
        <v>-10986303.977745634</v>
      </c>
      <c r="CJ235" s="74">
        <f t="shared" si="122"/>
        <v>-10093474.601994544</v>
      </c>
      <c r="CK235" s="74">
        <f t="shared" si="123"/>
        <v>-9207164.1405014582</v>
      </c>
      <c r="CL235" s="74">
        <f t="shared" si="124"/>
        <v>-8307116.6023840057</v>
      </c>
      <c r="CM235" s="316"/>
      <c r="CN235" s="74">
        <v>251452.83520747657</v>
      </c>
      <c r="CO235" s="74">
        <v>17858.289316000002</v>
      </c>
    </row>
    <row r="236" spans="1:93" x14ac:dyDescent="0.2">
      <c r="A236" s="74">
        <v>700</v>
      </c>
      <c r="B236" s="74" t="s">
        <v>355</v>
      </c>
      <c r="C236" s="74">
        <v>9</v>
      </c>
      <c r="D236" s="74">
        <v>4913</v>
      </c>
      <c r="E236" s="89">
        <v>12188317.580846973</v>
      </c>
      <c r="F236" s="74">
        <v>7214418.3559916746</v>
      </c>
      <c r="G236" s="74">
        <v>1883407.7559000002</v>
      </c>
      <c r="H236" s="74">
        <v>1344968.9296000001</v>
      </c>
      <c r="I236" s="74">
        <v>497140.78283538268</v>
      </c>
      <c r="J236" s="74">
        <v>836502.53368570888</v>
      </c>
      <c r="K236" s="74">
        <v>242837.30904163822</v>
      </c>
      <c r="L236" s="74">
        <v>-1000953</v>
      </c>
      <c r="M236" s="75">
        <v>-98200</v>
      </c>
      <c r="N236" s="75">
        <v>52285.81992927636</v>
      </c>
      <c r="O236" s="178">
        <f t="shared" si="95"/>
        <v>-1215909.0938632917</v>
      </c>
      <c r="P236" s="179">
        <f t="shared" si="96"/>
        <v>-247.4881119200675</v>
      </c>
      <c r="Q236" s="74"/>
      <c r="R236" s="89">
        <v>35212710</v>
      </c>
      <c r="S236" s="74">
        <v>18337326.268603165</v>
      </c>
      <c r="T236" s="74">
        <v>2017453.3944000001</v>
      </c>
      <c r="U236" s="74">
        <v>10556172.220096385</v>
      </c>
      <c r="V236" s="74">
        <v>2789848.9907247657</v>
      </c>
      <c r="W236" s="74">
        <v>784254.75590000022</v>
      </c>
      <c r="X236" s="178">
        <f t="shared" si="97"/>
        <v>-727654.3702756837</v>
      </c>
      <c r="Y236" s="179">
        <f t="shared" si="98"/>
        <v>-148.10795242737302</v>
      </c>
      <c r="Z236" s="74"/>
      <c r="AA236" s="84">
        <f t="shared" si="99"/>
        <v>-488254.72358760796</v>
      </c>
      <c r="AB236" s="132">
        <f t="shared" si="100"/>
        <v>-99.380159492694474</v>
      </c>
      <c r="AD236" s="180">
        <v>508720.88065454527</v>
      </c>
      <c r="AE236" s="187">
        <v>428659.83683328249</v>
      </c>
      <c r="AF236" s="187">
        <v>349616.21768502914</v>
      </c>
      <c r="AG236" s="187">
        <v>270073.57351730607</v>
      </c>
      <c r="AH236" s="188">
        <v>191582.5070600147</v>
      </c>
      <c r="AJ236" s="74">
        <f t="shared" si="101"/>
        <v>11122907.91261149</v>
      </c>
      <c r="AK236" s="74">
        <f t="shared" si="102"/>
        <v>672484.46479999996</v>
      </c>
      <c r="AL236" s="74">
        <f t="shared" si="103"/>
        <v>10059031.437261002</v>
      </c>
      <c r="AM236" s="74">
        <f t="shared" si="104"/>
        <v>23024392.419153027</v>
      </c>
      <c r="AN236" s="74">
        <f t="shared" si="105"/>
        <v>508720.88065454527</v>
      </c>
      <c r="AO236" s="74">
        <f t="shared" si="106"/>
        <v>428659.83683328249</v>
      </c>
      <c r="AP236" s="74">
        <f t="shared" si="107"/>
        <v>349616.21768502914</v>
      </c>
      <c r="AQ236" s="74">
        <f t="shared" si="108"/>
        <v>270073.57351730607</v>
      </c>
      <c r="AR236" s="74">
        <f t="shared" si="109"/>
        <v>191582.5070600147</v>
      </c>
      <c r="AS236" s="75">
        <v>1819</v>
      </c>
      <c r="AT236" s="75"/>
      <c r="AU236" s="75"/>
      <c r="AV236" s="75">
        <v>0</v>
      </c>
      <c r="AW236" s="75">
        <v>9685.9500859434902</v>
      </c>
      <c r="AX236" s="75">
        <v>-48.849675332455377</v>
      </c>
      <c r="AY236" s="75">
        <v>1953.3464570390568</v>
      </c>
      <c r="AZ236" s="316"/>
      <c r="BA236" s="74"/>
      <c r="BB236" s="74"/>
      <c r="BC236" s="74"/>
      <c r="BD236" s="74"/>
      <c r="BE236" s="74"/>
      <c r="BF236" s="74"/>
      <c r="BG236" s="74"/>
      <c r="BM236" s="316"/>
      <c r="BN236" s="74">
        <v>12188317.580846973</v>
      </c>
      <c r="BO236" s="74">
        <v>21714542.650000002</v>
      </c>
      <c r="BP236" s="74">
        <v>22068000</v>
      </c>
      <c r="BQ236" s="74">
        <v>417484.91</v>
      </c>
      <c r="BR236" s="74">
        <v>453000</v>
      </c>
      <c r="BS236" s="406">
        <f t="shared" si="110"/>
        <v>0.60657195872966119</v>
      </c>
      <c r="BT236" s="406">
        <f t="shared" si="111"/>
        <v>0.33333333333333326</v>
      </c>
      <c r="BU236" s="74">
        <f t="shared" si="112"/>
        <v>12255215.203341698</v>
      </c>
      <c r="BV236" s="316"/>
      <c r="BW236" s="74">
        <v>35212710</v>
      </c>
      <c r="BX236" s="74">
        <v>12188317.580846973</v>
      </c>
      <c r="BY236" s="74">
        <v>22238187.418903165</v>
      </c>
      <c r="BZ236" s="74">
        <v>10442795.041491676</v>
      </c>
      <c r="CA236" s="74">
        <f t="shared" si="113"/>
        <v>242837.30904163385</v>
      </c>
      <c r="CB236" s="74">
        <f t="shared" si="114"/>
        <v>-148.10795242737302</v>
      </c>
      <c r="CC236" s="74">
        <f t="shared" si="115"/>
        <v>-247.48811192006841</v>
      </c>
      <c r="CD236" s="74">
        <f t="shared" si="116"/>
        <v>-99.380159492695384</v>
      </c>
      <c r="CE236" s="74">
        <f t="shared" si="117"/>
        <v>87.250119445000394</v>
      </c>
      <c r="CF236" s="74">
        <f t="shared" si="118"/>
        <v>71.161452816005209</v>
      </c>
      <c r="CG236" s="74">
        <f t="shared" si="119"/>
        <v>54.971213823999697</v>
      </c>
      <c r="CH236" s="74">
        <f t="shared" si="120"/>
        <v>38.995014667213347</v>
      </c>
      <c r="CI236" s="74">
        <f t="shared" si="121"/>
        <v>428659.83683328691</v>
      </c>
      <c r="CJ236" s="74">
        <f t="shared" si="122"/>
        <v>349616.21768503357</v>
      </c>
      <c r="CK236" s="74">
        <f t="shared" si="123"/>
        <v>270073.57351731049</v>
      </c>
      <c r="CL236" s="74">
        <f t="shared" si="124"/>
        <v>191582.50706001918</v>
      </c>
      <c r="CM236" s="316"/>
      <c r="CN236" s="74">
        <v>18394.881484874091</v>
      </c>
      <c r="CO236" s="74">
        <v>2189.4843040000001</v>
      </c>
    </row>
    <row r="237" spans="1:93" x14ac:dyDescent="0.2">
      <c r="A237" s="74">
        <v>702</v>
      </c>
      <c r="B237" s="74" t="s">
        <v>356</v>
      </c>
      <c r="C237" s="74">
        <v>6</v>
      </c>
      <c r="D237" s="74">
        <v>4155</v>
      </c>
      <c r="E237" s="89">
        <v>12959234.236704394</v>
      </c>
      <c r="F237" s="74">
        <v>6026729.2274111556</v>
      </c>
      <c r="G237" s="74">
        <v>1986916.5715000001</v>
      </c>
      <c r="H237" s="74">
        <v>1332229.7753999999</v>
      </c>
      <c r="I237" s="74">
        <v>1147507.1483980583</v>
      </c>
      <c r="J237" s="74">
        <v>898094.98621874396</v>
      </c>
      <c r="K237" s="74">
        <v>595501.04167854588</v>
      </c>
      <c r="L237" s="74">
        <v>-912196</v>
      </c>
      <c r="M237" s="75">
        <v>-63500</v>
      </c>
      <c r="N237" s="75">
        <v>36222.146901291017</v>
      </c>
      <c r="O237" s="178">
        <f t="shared" si="95"/>
        <v>-1911729.3391966</v>
      </c>
      <c r="P237" s="179">
        <f t="shared" si="96"/>
        <v>-460.10333073323704</v>
      </c>
      <c r="Q237" s="74"/>
      <c r="R237" s="89">
        <v>33991516</v>
      </c>
      <c r="S237" s="74">
        <v>13532130.747618437</v>
      </c>
      <c r="T237" s="74">
        <v>1998344.6631</v>
      </c>
      <c r="U237" s="74">
        <v>12744582.581159033</v>
      </c>
      <c r="V237" s="74">
        <v>2995268.143226834</v>
      </c>
      <c r="W237" s="74">
        <v>1011220.5715000001</v>
      </c>
      <c r="X237" s="178">
        <f t="shared" si="97"/>
        <v>-1709969.2933956981</v>
      </c>
      <c r="Y237" s="179">
        <f t="shared" si="98"/>
        <v>-411.54495629258679</v>
      </c>
      <c r="Z237" s="74"/>
      <c r="AA237" s="84">
        <f t="shared" si="99"/>
        <v>-201760.04580090195</v>
      </c>
      <c r="AB237" s="132">
        <f t="shared" si="100"/>
        <v>-48.55837444065029</v>
      </c>
      <c r="AD237" s="180">
        <v>219068.59101017009</v>
      </c>
      <c r="AE237" s="187">
        <v>151359.72940273123</v>
      </c>
      <c r="AF237" s="187">
        <v>84511.319559256255</v>
      </c>
      <c r="AG237" s="187">
        <v>17240.876547473348</v>
      </c>
      <c r="AH237" s="188">
        <v>-1600.2767498778571</v>
      </c>
      <c r="AJ237" s="74">
        <f t="shared" si="101"/>
        <v>7505401.5202072812</v>
      </c>
      <c r="AK237" s="74">
        <f t="shared" si="102"/>
        <v>666114.88770000008</v>
      </c>
      <c r="AL237" s="74">
        <f t="shared" si="103"/>
        <v>11597075.432760974</v>
      </c>
      <c r="AM237" s="74">
        <f t="shared" si="104"/>
        <v>21032281.763295606</v>
      </c>
      <c r="AN237" s="74">
        <f t="shared" si="105"/>
        <v>219068.59101017009</v>
      </c>
      <c r="AO237" s="74">
        <f t="shared" si="106"/>
        <v>151359.72940273123</v>
      </c>
      <c r="AP237" s="74">
        <f t="shared" si="107"/>
        <v>84511.319559256255</v>
      </c>
      <c r="AQ237" s="74">
        <f t="shared" si="108"/>
        <v>17240.876547473348</v>
      </c>
      <c r="AR237" s="74">
        <f t="shared" si="109"/>
        <v>-1600.2767498778571</v>
      </c>
      <c r="AS237" s="75">
        <v>1245</v>
      </c>
      <c r="AT237" s="75"/>
      <c r="AU237" s="75"/>
      <c r="AV237" s="75">
        <v>0</v>
      </c>
      <c r="AW237" s="75">
        <v>10275.12844747788</v>
      </c>
      <c r="AX237" s="75">
        <v>-1518.990283383619</v>
      </c>
      <c r="AY237" s="75">
        <v>2097.1731570080901</v>
      </c>
      <c r="AZ237" s="316"/>
      <c r="BA237" s="74"/>
      <c r="BB237" s="74"/>
      <c r="BC237" s="74"/>
      <c r="BD237" s="74"/>
      <c r="BE237" s="74"/>
      <c r="BF237" s="74"/>
      <c r="BG237" s="74"/>
      <c r="BM237" s="316"/>
      <c r="BN237" s="74">
        <v>12959234.236704394</v>
      </c>
      <c r="BO237" s="74">
        <v>18748998.02</v>
      </c>
      <c r="BP237" s="74">
        <v>20623000</v>
      </c>
      <c r="BQ237" s="74">
        <v>342714.24</v>
      </c>
      <c r="BR237" s="74">
        <v>342000</v>
      </c>
      <c r="BS237" s="406">
        <f t="shared" si="110"/>
        <v>0.55463560470905005</v>
      </c>
      <c r="BT237" s="406">
        <f t="shared" si="111"/>
        <v>0.33333333333333337</v>
      </c>
      <c r="BU237" s="74">
        <f t="shared" si="112"/>
        <v>14289749.631447611</v>
      </c>
      <c r="BV237" s="316"/>
      <c r="BW237" s="74">
        <v>33991516</v>
      </c>
      <c r="BX237" s="74">
        <v>12959234.236704394</v>
      </c>
      <c r="BY237" s="74">
        <v>17517391.982218437</v>
      </c>
      <c r="BZ237" s="74">
        <v>9345875.5743111558</v>
      </c>
      <c r="CA237" s="74">
        <f t="shared" si="113"/>
        <v>595501.04167854192</v>
      </c>
      <c r="CB237" s="74">
        <f t="shared" si="114"/>
        <v>-411.54495629258622</v>
      </c>
      <c r="CC237" s="74">
        <f t="shared" si="115"/>
        <v>-460.10333073323778</v>
      </c>
      <c r="CD237" s="74">
        <f t="shared" si="116"/>
        <v>-48.558374440651562</v>
      </c>
      <c r="CE237" s="74">
        <f t="shared" si="117"/>
        <v>36.428334392956565</v>
      </c>
      <c r="CF237" s="74">
        <f t="shared" si="118"/>
        <v>20.339667763961387</v>
      </c>
      <c r="CG237" s="74">
        <f t="shared" si="119"/>
        <v>4.1494287719558738</v>
      </c>
      <c r="CH237" s="74">
        <f t="shared" si="120"/>
        <v>-0.38514482548203544</v>
      </c>
      <c r="CI237" s="74">
        <f t="shared" si="121"/>
        <v>151359.72940273452</v>
      </c>
      <c r="CJ237" s="74">
        <f t="shared" si="122"/>
        <v>84511.319559259558</v>
      </c>
      <c r="CK237" s="74">
        <f t="shared" si="123"/>
        <v>17240.876547476655</v>
      </c>
      <c r="CL237" s="74">
        <f t="shared" si="124"/>
        <v>-1600.2767498778571</v>
      </c>
      <c r="CM237" s="316"/>
      <c r="CN237" s="74">
        <v>13531.800182898382</v>
      </c>
      <c r="CO237" s="74">
        <v>2168.746146</v>
      </c>
    </row>
    <row r="238" spans="1:93" x14ac:dyDescent="0.2">
      <c r="A238" s="74">
        <v>704</v>
      </c>
      <c r="B238" s="74" t="s">
        <v>357</v>
      </c>
      <c r="C238" s="74">
        <v>2</v>
      </c>
      <c r="D238" s="74">
        <v>6379</v>
      </c>
      <c r="E238" s="89">
        <v>16700251.528287567</v>
      </c>
      <c r="F238" s="74">
        <v>9426164.0142252091</v>
      </c>
      <c r="G238" s="74">
        <v>1251821.1555000001</v>
      </c>
      <c r="H238" s="74">
        <v>922149.37060000002</v>
      </c>
      <c r="I238" s="74">
        <v>4301829.9845657032</v>
      </c>
      <c r="J238" s="74">
        <v>866189.658273404</v>
      </c>
      <c r="K238" s="74">
        <v>454971.36601067602</v>
      </c>
      <c r="L238" s="74">
        <v>-971431</v>
      </c>
      <c r="M238" s="75">
        <v>-17000</v>
      </c>
      <c r="N238" s="75">
        <v>71822.760735679985</v>
      </c>
      <c r="O238" s="178">
        <f t="shared" si="95"/>
        <v>-393734.21837689355</v>
      </c>
      <c r="P238" s="179">
        <f t="shared" si="96"/>
        <v>-61.723501861873892</v>
      </c>
      <c r="Q238" s="74"/>
      <c r="R238" s="89">
        <v>36016056</v>
      </c>
      <c r="S238" s="74">
        <v>25167907.715482239</v>
      </c>
      <c r="T238" s="74">
        <v>1383224.0559</v>
      </c>
      <c r="U238" s="74">
        <v>5886857.7518143924</v>
      </c>
      <c r="V238" s="74">
        <v>2888859.5629983218</v>
      </c>
      <c r="W238" s="74">
        <v>263390.15550000011</v>
      </c>
      <c r="X238" s="178">
        <f t="shared" si="97"/>
        <v>-425816.75830504298</v>
      </c>
      <c r="Y238" s="179">
        <f t="shared" si="98"/>
        <v>-66.752901443022878</v>
      </c>
      <c r="Z238" s="74"/>
      <c r="AA238" s="84">
        <f t="shared" si="99"/>
        <v>32082.539928149432</v>
      </c>
      <c r="AB238" s="132">
        <f t="shared" si="100"/>
        <v>5.0293995811489935</v>
      </c>
      <c r="AD238" s="180">
        <v>-5509.4448884601379</v>
      </c>
      <c r="AE238" s="187">
        <v>18307.474535753627</v>
      </c>
      <c r="AF238" s="187">
        <v>11362.870109393381</v>
      </c>
      <c r="AG238" s="187">
        <v>3770.3355793902051</v>
      </c>
      <c r="AH238" s="188">
        <v>-2456.8388417499041</v>
      </c>
      <c r="AJ238" s="74">
        <f t="shared" si="101"/>
        <v>15741743.70125703</v>
      </c>
      <c r="AK238" s="74">
        <f t="shared" si="102"/>
        <v>461074.68530000001</v>
      </c>
      <c r="AL238" s="74">
        <f t="shared" si="103"/>
        <v>1585027.7672486892</v>
      </c>
      <c r="AM238" s="74">
        <f t="shared" si="104"/>
        <v>19315804.471712433</v>
      </c>
      <c r="AN238" s="74">
        <f t="shared" si="105"/>
        <v>-5509.4448884601379</v>
      </c>
      <c r="AO238" s="74">
        <f t="shared" si="106"/>
        <v>18307.474535753627</v>
      </c>
      <c r="AP238" s="74">
        <f t="shared" si="107"/>
        <v>11362.870109393381</v>
      </c>
      <c r="AQ238" s="74">
        <f t="shared" si="108"/>
        <v>3770.3355793902051</v>
      </c>
      <c r="AR238" s="74">
        <f t="shared" si="109"/>
        <v>-2456.8388417499041</v>
      </c>
      <c r="AS238" s="75">
        <v>1677</v>
      </c>
      <c r="AT238" s="75"/>
      <c r="AU238" s="75"/>
      <c r="AV238" s="75">
        <v>0</v>
      </c>
      <c r="AW238" s="75">
        <v>2580.7997515337511</v>
      </c>
      <c r="AX238" s="75">
        <v>657.60766705602703</v>
      </c>
      <c r="AY238" s="75">
        <v>2022.6699047249178</v>
      </c>
      <c r="AZ238" s="316"/>
      <c r="BA238" s="74"/>
      <c r="BB238" s="74"/>
      <c r="BC238" s="74"/>
      <c r="BD238" s="74"/>
      <c r="BE238" s="74"/>
      <c r="BF238" s="74"/>
      <c r="BG238" s="74"/>
      <c r="BM238" s="316"/>
      <c r="BN238" s="74">
        <v>16700251.528287567</v>
      </c>
      <c r="BO238" s="74">
        <v>17503581.800000001</v>
      </c>
      <c r="BP238" s="74">
        <v>19383000</v>
      </c>
      <c r="BQ238" s="74">
        <v>473436.38</v>
      </c>
      <c r="BR238" s="74">
        <v>550000</v>
      </c>
      <c r="BS238" s="406">
        <f t="shared" si="110"/>
        <v>0.62546890584684434</v>
      </c>
      <c r="BT238" s="406">
        <f t="shared" si="111"/>
        <v>0.33333333333333337</v>
      </c>
      <c r="BU238" s="74">
        <f t="shared" si="112"/>
        <v>4062669.0379842827</v>
      </c>
      <c r="BV238" s="316"/>
      <c r="BW238" s="74">
        <v>36016056</v>
      </c>
      <c r="BX238" s="74">
        <v>16700251.528287567</v>
      </c>
      <c r="BY238" s="74">
        <v>27802952.926882237</v>
      </c>
      <c r="BZ238" s="74">
        <v>11600134.540325209</v>
      </c>
      <c r="CA238" s="74">
        <f t="shared" si="113"/>
        <v>454971.36601067084</v>
      </c>
      <c r="CB238" s="74">
        <f t="shared" si="114"/>
        <v>-66.752901443023504</v>
      </c>
      <c r="CC238" s="74">
        <f t="shared" si="115"/>
        <v>-61.723501861874851</v>
      </c>
      <c r="CD238" s="74">
        <f t="shared" si="116"/>
        <v>5.0293995811486525</v>
      </c>
      <c r="CE238" s="74">
        <f t="shared" si="117"/>
        <v>2.8699599523050048</v>
      </c>
      <c r="CF238" s="74">
        <f t="shared" si="118"/>
        <v>1.7812933233098263</v>
      </c>
      <c r="CG238" s="74">
        <f t="shared" si="119"/>
        <v>0.59105433130431184</v>
      </c>
      <c r="CH238" s="74">
        <f t="shared" si="120"/>
        <v>-0.38514482548203544</v>
      </c>
      <c r="CI238" s="74">
        <f t="shared" si="121"/>
        <v>18307.474535753627</v>
      </c>
      <c r="CJ238" s="74">
        <f t="shared" si="122"/>
        <v>11362.870109393381</v>
      </c>
      <c r="CK238" s="74">
        <f t="shared" si="123"/>
        <v>3770.3355793902051</v>
      </c>
      <c r="CL238" s="74">
        <f t="shared" si="124"/>
        <v>-2456.8388417499041</v>
      </c>
      <c r="CM238" s="316"/>
      <c r="CN238" s="74">
        <v>25521.662589418771</v>
      </c>
      <c r="CO238" s="74">
        <v>1501.1733940000001</v>
      </c>
    </row>
    <row r="239" spans="1:93" x14ac:dyDescent="0.2">
      <c r="A239" s="74">
        <v>707</v>
      </c>
      <c r="B239" s="74" t="s">
        <v>358</v>
      </c>
      <c r="C239" s="74">
        <v>12</v>
      </c>
      <c r="D239" s="74">
        <v>2032</v>
      </c>
      <c r="E239" s="89">
        <v>3942144.062890118</v>
      </c>
      <c r="F239" s="74">
        <v>2242309.6180020287</v>
      </c>
      <c r="G239" s="74">
        <v>664968.02600000007</v>
      </c>
      <c r="H239" s="74">
        <v>428616.01060000004</v>
      </c>
      <c r="I239" s="74">
        <v>1170586.2761853004</v>
      </c>
      <c r="J239" s="74">
        <v>517465.07100011059</v>
      </c>
      <c r="K239" s="74">
        <v>120641.47269543461</v>
      </c>
      <c r="L239" s="74">
        <v>-531857</v>
      </c>
      <c r="M239" s="75">
        <v>99500</v>
      </c>
      <c r="N239" s="75">
        <v>13497.065993290817</v>
      </c>
      <c r="O239" s="178">
        <f t="shared" si="95"/>
        <v>783582.47758604772</v>
      </c>
      <c r="P239" s="179">
        <f t="shared" si="96"/>
        <v>385.62129802462977</v>
      </c>
      <c r="Q239" s="74"/>
      <c r="R239" s="89">
        <v>15397251</v>
      </c>
      <c r="S239" s="74">
        <v>5072865.2019127589</v>
      </c>
      <c r="T239" s="74">
        <v>642924.0159</v>
      </c>
      <c r="U239" s="74">
        <v>8748153.6473616119</v>
      </c>
      <c r="V239" s="74">
        <v>1725815.9394976639</v>
      </c>
      <c r="W239" s="74">
        <v>232611.02600000007</v>
      </c>
      <c r="X239" s="178">
        <f t="shared" si="97"/>
        <v>1025118.830672035</v>
      </c>
      <c r="Y239" s="179">
        <f t="shared" si="98"/>
        <v>504.48761351970228</v>
      </c>
      <c r="Z239" s="74"/>
      <c r="AA239" s="84">
        <f t="shared" si="99"/>
        <v>-241536.35308598727</v>
      </c>
      <c r="AB239" s="132">
        <f t="shared" si="100"/>
        <v>-118.86631549507247</v>
      </c>
      <c r="AD239" s="180">
        <v>250001.08566486588</v>
      </c>
      <c r="AE239" s="187">
        <v>216888.11170907388</v>
      </c>
      <c r="AF239" s="187">
        <v>184195.94111895567</v>
      </c>
      <c r="AG239" s="187">
        <v>151297.37548720048</v>
      </c>
      <c r="AH239" s="188">
        <v>118833.73880061062</v>
      </c>
      <c r="AJ239" s="74">
        <f t="shared" si="101"/>
        <v>2830555.5839107302</v>
      </c>
      <c r="AK239" s="74">
        <f t="shared" si="102"/>
        <v>214308.00529999996</v>
      </c>
      <c r="AL239" s="74">
        <f t="shared" si="103"/>
        <v>7577567.3711763117</v>
      </c>
      <c r="AM239" s="74">
        <f t="shared" si="104"/>
        <v>11455106.937109882</v>
      </c>
      <c r="AN239" s="74">
        <f t="shared" si="105"/>
        <v>250001.08566486588</v>
      </c>
      <c r="AO239" s="74">
        <f t="shared" si="106"/>
        <v>216888.11170907388</v>
      </c>
      <c r="AP239" s="74">
        <f t="shared" si="107"/>
        <v>184195.94111895567</v>
      </c>
      <c r="AQ239" s="74">
        <f t="shared" si="108"/>
        <v>151297.37548720048</v>
      </c>
      <c r="AR239" s="74">
        <f t="shared" si="109"/>
        <v>118833.73880061062</v>
      </c>
      <c r="AS239" s="75">
        <v>308</v>
      </c>
      <c r="AT239" s="75"/>
      <c r="AU239" s="75"/>
      <c r="AV239" s="75">
        <v>101</v>
      </c>
      <c r="AW239" s="75">
        <v>5931.802694559703</v>
      </c>
      <c r="AX239" s="75">
        <v>-1485.5375565142206</v>
      </c>
      <c r="AY239" s="75">
        <v>1208.3508684975534</v>
      </c>
      <c r="AZ239" s="316"/>
      <c r="BA239" s="74"/>
      <c r="BB239" s="74"/>
      <c r="BC239" s="74"/>
      <c r="BD239" s="74"/>
      <c r="BE239" s="74"/>
      <c r="BF239" s="74"/>
      <c r="BG239" s="74"/>
      <c r="BM239" s="316"/>
      <c r="BN239" s="74">
        <v>3942144.062890118</v>
      </c>
      <c r="BO239" s="74">
        <v>11448989.66</v>
      </c>
      <c r="BP239" s="74">
        <v>11481000</v>
      </c>
      <c r="BQ239" s="74">
        <v>254891.85000000006</v>
      </c>
      <c r="BR239" s="74">
        <v>209000</v>
      </c>
      <c r="BS239" s="406">
        <f t="shared" si="110"/>
        <v>0.55797965671223626</v>
      </c>
      <c r="BT239" s="406">
        <f t="shared" si="111"/>
        <v>0.33333333333333326</v>
      </c>
      <c r="BU239" s="74">
        <f t="shared" si="112"/>
        <v>8906559.7123693004</v>
      </c>
      <c r="BV239" s="316"/>
      <c r="BW239" s="74">
        <v>15397251</v>
      </c>
      <c r="BX239" s="74">
        <v>3942144.062890118</v>
      </c>
      <c r="BY239" s="74">
        <v>6380757.2438127585</v>
      </c>
      <c r="BZ239" s="74">
        <v>3335893.6546020289</v>
      </c>
      <c r="CA239" s="74">
        <f t="shared" si="113"/>
        <v>120641.47269543308</v>
      </c>
      <c r="CB239" s="74">
        <f t="shared" si="114"/>
        <v>504.48761351970171</v>
      </c>
      <c r="CC239" s="74">
        <f t="shared" si="115"/>
        <v>385.62129802462886</v>
      </c>
      <c r="CD239" s="74">
        <f t="shared" si="116"/>
        <v>-118.86631549507285</v>
      </c>
      <c r="CE239" s="74">
        <f t="shared" si="117"/>
        <v>106.73627544737786</v>
      </c>
      <c r="CF239" s="74">
        <f t="shared" si="118"/>
        <v>90.647608818382679</v>
      </c>
      <c r="CG239" s="74">
        <f t="shared" si="119"/>
        <v>74.45736982637716</v>
      </c>
      <c r="CH239" s="74">
        <f t="shared" si="120"/>
        <v>58.481170669590817</v>
      </c>
      <c r="CI239" s="74">
        <f t="shared" si="121"/>
        <v>216888.11170907182</v>
      </c>
      <c r="CJ239" s="74">
        <f t="shared" si="122"/>
        <v>184195.9411189536</v>
      </c>
      <c r="CK239" s="74">
        <f t="shared" si="123"/>
        <v>151297.37548719838</v>
      </c>
      <c r="CL239" s="74">
        <f t="shared" si="124"/>
        <v>118833.73880060854</v>
      </c>
      <c r="CM239" s="316"/>
      <c r="CN239" s="74">
        <v>5097.0360395849011</v>
      </c>
      <c r="CO239" s="74">
        <v>697.74699400000009</v>
      </c>
    </row>
    <row r="240" spans="1:93" x14ac:dyDescent="0.2">
      <c r="A240" s="74">
        <v>710</v>
      </c>
      <c r="B240" s="74" t="s">
        <v>133</v>
      </c>
      <c r="C240" s="74">
        <v>33</v>
      </c>
      <c r="D240" s="74">
        <v>27484</v>
      </c>
      <c r="E240" s="89">
        <v>79819150.024835095</v>
      </c>
      <c r="F240" s="74">
        <v>47554334.231103174</v>
      </c>
      <c r="G240" s="74">
        <v>12034920.074200001</v>
      </c>
      <c r="H240" s="74">
        <v>3337022.2841999996</v>
      </c>
      <c r="I240" s="74">
        <v>17532674.640667196</v>
      </c>
      <c r="J240" s="74">
        <v>4809103.7311509103</v>
      </c>
      <c r="K240" s="74">
        <v>-1876434.7318152732</v>
      </c>
      <c r="L240" s="74">
        <v>-695997</v>
      </c>
      <c r="M240" s="75">
        <v>1648500</v>
      </c>
      <c r="N240" s="75">
        <v>274742.5491856669</v>
      </c>
      <c r="O240" s="178">
        <f t="shared" si="95"/>
        <v>4799715.7538565844</v>
      </c>
      <c r="P240" s="179">
        <f t="shared" si="96"/>
        <v>174.63672514395955</v>
      </c>
      <c r="Q240" s="74"/>
      <c r="R240" s="89">
        <v>193108800</v>
      </c>
      <c r="S240" s="74">
        <v>107866225.70674345</v>
      </c>
      <c r="T240" s="74">
        <v>5005533.4262999995</v>
      </c>
      <c r="U240" s="74">
        <v>56308755.336923987</v>
      </c>
      <c r="V240" s="74">
        <v>16039010.822270855</v>
      </c>
      <c r="W240" s="74">
        <v>12987423.074200001</v>
      </c>
      <c r="X240" s="178">
        <f t="shared" si="97"/>
        <v>5098148.3664382994</v>
      </c>
      <c r="Y240" s="179">
        <f t="shared" si="98"/>
        <v>185.49513776882185</v>
      </c>
      <c r="Z240" s="74"/>
      <c r="AA240" s="84">
        <f t="shared" si="99"/>
        <v>-298432.61258171499</v>
      </c>
      <c r="AB240" s="132">
        <f t="shared" si="100"/>
        <v>-10.858412624862282</v>
      </c>
      <c r="AD240" s="180">
        <v>412923.11956884718</v>
      </c>
      <c r="AE240" s="187">
        <v>78877.979329150752</v>
      </c>
      <c r="AF240" s="187">
        <v>48957.065697847262</v>
      </c>
      <c r="AG240" s="187">
        <v>16244.537241567707</v>
      </c>
      <c r="AH240" s="188">
        <v>-10585.320383548262</v>
      </c>
      <c r="AJ240" s="74">
        <f t="shared" si="101"/>
        <v>60311891.475640275</v>
      </c>
      <c r="AK240" s="74">
        <f t="shared" si="102"/>
        <v>1668511.1420999998</v>
      </c>
      <c r="AL240" s="74">
        <f t="shared" si="103"/>
        <v>38776080.696256787</v>
      </c>
      <c r="AM240" s="74">
        <f t="shared" si="104"/>
        <v>113289649.97516491</v>
      </c>
      <c r="AN240" s="74">
        <f t="shared" si="105"/>
        <v>412923.11956884718</v>
      </c>
      <c r="AO240" s="74">
        <f t="shared" si="106"/>
        <v>78877.979329150752</v>
      </c>
      <c r="AP240" s="74">
        <f t="shared" si="107"/>
        <v>48957.065697847262</v>
      </c>
      <c r="AQ240" s="74">
        <f t="shared" si="108"/>
        <v>16244.537241567707</v>
      </c>
      <c r="AR240" s="74">
        <f t="shared" si="109"/>
        <v>-10585.320383548262</v>
      </c>
      <c r="AS240" s="405">
        <v>7509</v>
      </c>
      <c r="AT240" s="75"/>
      <c r="AU240" s="75"/>
      <c r="AV240" s="75">
        <v>0</v>
      </c>
      <c r="AW240" s="75">
        <v>33733.681043149358</v>
      </c>
      <c r="AX240" s="75">
        <v>-3504.9345039023497</v>
      </c>
      <c r="AY240" s="75">
        <v>11229.907091119945</v>
      </c>
      <c r="AZ240" s="316"/>
      <c r="BA240" s="74"/>
      <c r="BB240" s="74"/>
      <c r="BC240" s="74"/>
      <c r="BD240" s="74"/>
      <c r="BE240" s="74"/>
      <c r="BF240" s="74"/>
      <c r="BG240" s="74"/>
      <c r="BM240" s="316"/>
      <c r="BN240" s="74">
        <v>79819150.024835095</v>
      </c>
      <c r="BO240" s="74">
        <v>102090228.40000001</v>
      </c>
      <c r="BP240" s="74">
        <v>116944000</v>
      </c>
      <c r="BQ240" s="74">
        <v>1926987.31</v>
      </c>
      <c r="BR240" s="74">
        <v>1987000</v>
      </c>
      <c r="BS240" s="406">
        <f t="shared" si="110"/>
        <v>0.55913601389568013</v>
      </c>
      <c r="BT240" s="406">
        <f t="shared" si="111"/>
        <v>0.33333333333333337</v>
      </c>
      <c r="BU240" s="74">
        <f t="shared" si="112"/>
        <v>48129553.055561461</v>
      </c>
      <c r="BV240" s="316"/>
      <c r="BW240" s="74">
        <v>193108800</v>
      </c>
      <c r="BX240" s="74">
        <v>79819150.024835095</v>
      </c>
      <c r="BY240" s="74">
        <v>124906679.20724346</v>
      </c>
      <c r="BZ240" s="74">
        <v>62926276.589503169</v>
      </c>
      <c r="CA240" s="74">
        <f t="shared" si="113"/>
        <v>-1876434.7318152727</v>
      </c>
      <c r="CB240" s="74">
        <f t="shared" si="114"/>
        <v>185.49513776882171</v>
      </c>
      <c r="CC240" s="74">
        <f t="shared" si="115"/>
        <v>174.6367251439595</v>
      </c>
      <c r="CD240" s="74">
        <f t="shared" si="116"/>
        <v>-10.858412624862211</v>
      </c>
      <c r="CE240" s="74">
        <f t="shared" si="117"/>
        <v>2.8699599523050048</v>
      </c>
      <c r="CF240" s="74">
        <f t="shared" si="118"/>
        <v>1.7812933233098263</v>
      </c>
      <c r="CG240" s="74">
        <f t="shared" si="119"/>
        <v>0.59105433130431184</v>
      </c>
      <c r="CH240" s="74">
        <f t="shared" si="120"/>
        <v>-0.38514482548203544</v>
      </c>
      <c r="CI240" s="74">
        <f t="shared" si="121"/>
        <v>78877.979329150752</v>
      </c>
      <c r="CJ240" s="74">
        <f t="shared" si="122"/>
        <v>48957.065697847262</v>
      </c>
      <c r="CK240" s="74">
        <f t="shared" si="123"/>
        <v>16244.537241567707</v>
      </c>
      <c r="CL240" s="74">
        <f t="shared" si="124"/>
        <v>-10585.320383548262</v>
      </c>
      <c r="CM240" s="316"/>
      <c r="CN240" s="74">
        <v>110402.24016247557</v>
      </c>
      <c r="CO240" s="74">
        <v>5432.3618579999993</v>
      </c>
    </row>
    <row r="241" spans="1:93" x14ac:dyDescent="0.2">
      <c r="A241" s="74">
        <v>729</v>
      </c>
      <c r="B241" s="74" t="s">
        <v>359</v>
      </c>
      <c r="C241" s="74">
        <v>13</v>
      </c>
      <c r="D241" s="74">
        <v>9117</v>
      </c>
      <c r="E241" s="89">
        <v>24034882.544692934</v>
      </c>
      <c r="F241" s="74">
        <v>12326824.17171138</v>
      </c>
      <c r="G241" s="74">
        <v>2768514.3931999998</v>
      </c>
      <c r="H241" s="74">
        <v>1791156.3226000001</v>
      </c>
      <c r="I241" s="74">
        <v>6368648.3242453346</v>
      </c>
      <c r="J241" s="74">
        <v>1892779.6442416403</v>
      </c>
      <c r="K241" s="74">
        <v>-2235.4910099561166</v>
      </c>
      <c r="L241" s="74">
        <v>297261</v>
      </c>
      <c r="M241" s="75">
        <v>-47000</v>
      </c>
      <c r="N241" s="75">
        <v>70730.210375807583</v>
      </c>
      <c r="O241" s="178">
        <f t="shared" si="95"/>
        <v>1431796.0306712687</v>
      </c>
      <c r="P241" s="179">
        <f t="shared" si="96"/>
        <v>157.04683894606436</v>
      </c>
      <c r="Q241" s="74"/>
      <c r="R241" s="89">
        <v>67491345</v>
      </c>
      <c r="S241" s="74">
        <v>27387591.066260226</v>
      </c>
      <c r="T241" s="74">
        <v>2686734.4838999999</v>
      </c>
      <c r="U241" s="74">
        <v>29678423.434602968</v>
      </c>
      <c r="V241" s="74">
        <v>6312675.8945788667</v>
      </c>
      <c r="W241" s="74">
        <v>3018775.3931999998</v>
      </c>
      <c r="X241" s="178">
        <f t="shared" si="97"/>
        <v>1592855.2725420594</v>
      </c>
      <c r="Y241" s="179">
        <f t="shared" si="98"/>
        <v>174.71265466075019</v>
      </c>
      <c r="Z241" s="74"/>
      <c r="AA241" s="84">
        <f t="shared" si="99"/>
        <v>-161059.24187079072</v>
      </c>
      <c r="AB241" s="132">
        <f t="shared" si="100"/>
        <v>-17.665815714685831</v>
      </c>
      <c r="AD241" s="180">
        <v>199038.06417472925</v>
      </c>
      <c r="AE241" s="187">
        <v>50469.666755951846</v>
      </c>
      <c r="AF241" s="187">
        <v>16240.051228615686</v>
      </c>
      <c r="AG241" s="187">
        <v>5388.6423385014114</v>
      </c>
      <c r="AH241" s="188">
        <v>-3511.3653739197171</v>
      </c>
      <c r="AJ241" s="74">
        <f t="shared" si="101"/>
        <v>15060766.894548846</v>
      </c>
      <c r="AK241" s="74">
        <f t="shared" si="102"/>
        <v>895578.1612999998</v>
      </c>
      <c r="AL241" s="74">
        <f t="shared" si="103"/>
        <v>23309775.110357635</v>
      </c>
      <c r="AM241" s="74">
        <f t="shared" si="104"/>
        <v>43456462.455307066</v>
      </c>
      <c r="AN241" s="74">
        <f t="shared" si="105"/>
        <v>199038.06417472925</v>
      </c>
      <c r="AO241" s="74">
        <f t="shared" si="106"/>
        <v>50469.666755951846</v>
      </c>
      <c r="AP241" s="74">
        <f t="shared" si="107"/>
        <v>16240.051228615686</v>
      </c>
      <c r="AQ241" s="74">
        <f t="shared" si="108"/>
        <v>5388.6423385014114</v>
      </c>
      <c r="AR241" s="74">
        <f t="shared" si="109"/>
        <v>-3511.3653739197171</v>
      </c>
      <c r="AS241" s="75">
        <v>3284</v>
      </c>
      <c r="AT241" s="75"/>
      <c r="AU241" s="75"/>
      <c r="AV241" s="75">
        <v>0</v>
      </c>
      <c r="AW241" s="75">
        <v>18514.237459521988</v>
      </c>
      <c r="AX241" s="75">
        <v>-4636.9434979972493</v>
      </c>
      <c r="AY241" s="75">
        <v>4419.8962503372268</v>
      </c>
      <c r="AZ241" s="316"/>
      <c r="BA241" s="74"/>
      <c r="BB241" s="74"/>
      <c r="BC241" s="74"/>
      <c r="BD241" s="74"/>
      <c r="BE241" s="74"/>
      <c r="BF241" s="74"/>
      <c r="BG241" s="74"/>
      <c r="BM241" s="316"/>
      <c r="BN241" s="74">
        <v>24034882.544692934</v>
      </c>
      <c r="BO241" s="74">
        <v>40986165.030000001</v>
      </c>
      <c r="BP241" s="74">
        <v>45577000</v>
      </c>
      <c r="BQ241" s="74">
        <v>864529.04</v>
      </c>
      <c r="BR241" s="74">
        <v>880000</v>
      </c>
      <c r="BS241" s="406">
        <f t="shared" si="110"/>
        <v>0.54991206996305553</v>
      </c>
      <c r="BT241" s="406">
        <f t="shared" si="111"/>
        <v>0.33333333333333326</v>
      </c>
      <c r="BU241" s="74">
        <f t="shared" si="112"/>
        <v>27727435.869684905</v>
      </c>
      <c r="BV241" s="316"/>
      <c r="BW241" s="74">
        <v>67491345</v>
      </c>
      <c r="BX241" s="74">
        <v>24034882.544692934</v>
      </c>
      <c r="BY241" s="74">
        <v>32842839.943360224</v>
      </c>
      <c r="BZ241" s="74">
        <v>16886494.88751138</v>
      </c>
      <c r="CA241" s="74">
        <f t="shared" si="113"/>
        <v>-2235.4910099605077</v>
      </c>
      <c r="CB241" s="74">
        <f t="shared" si="114"/>
        <v>174.7126546607507</v>
      </c>
      <c r="CC241" s="74">
        <f t="shared" si="115"/>
        <v>157.04683894606433</v>
      </c>
      <c r="CD241" s="74">
        <f t="shared" si="116"/>
        <v>-17.665815714686374</v>
      </c>
      <c r="CE241" s="74">
        <f t="shared" si="117"/>
        <v>5.5357756669913787</v>
      </c>
      <c r="CF241" s="74">
        <f t="shared" si="118"/>
        <v>1.7812933233098263</v>
      </c>
      <c r="CG241" s="74">
        <f t="shared" si="119"/>
        <v>0.59105433130431184</v>
      </c>
      <c r="CH241" s="74">
        <f t="shared" si="120"/>
        <v>-0.38514482548203544</v>
      </c>
      <c r="CI241" s="74">
        <f t="shared" si="121"/>
        <v>50469.666755960403</v>
      </c>
      <c r="CJ241" s="74">
        <f t="shared" si="122"/>
        <v>16240.051228615686</v>
      </c>
      <c r="CK241" s="74">
        <f t="shared" si="123"/>
        <v>5388.6423385014114</v>
      </c>
      <c r="CL241" s="74">
        <f t="shared" si="124"/>
        <v>-3511.3653739197171</v>
      </c>
      <c r="CM241" s="316"/>
      <c r="CN241" s="74">
        <v>27724.561094045199</v>
      </c>
      <c r="CO241" s="74">
        <v>2915.8358740000003</v>
      </c>
    </row>
    <row r="242" spans="1:93" x14ac:dyDescent="0.2">
      <c r="A242" s="74">
        <v>732</v>
      </c>
      <c r="B242" s="74" t="s">
        <v>360</v>
      </c>
      <c r="C242" s="74">
        <v>19</v>
      </c>
      <c r="D242" s="74">
        <v>3416</v>
      </c>
      <c r="E242" s="89">
        <v>10526165.785661131</v>
      </c>
      <c r="F242" s="74">
        <v>3730658.9755290635</v>
      </c>
      <c r="G242" s="74">
        <v>1417391.0119999999</v>
      </c>
      <c r="H242" s="74">
        <v>935194.73639999994</v>
      </c>
      <c r="I242" s="74">
        <v>3826259.8793207332</v>
      </c>
      <c r="J242" s="74">
        <v>747211.95866936003</v>
      </c>
      <c r="K242" s="74">
        <v>-604844.44520688534</v>
      </c>
      <c r="L242" s="74">
        <v>103748</v>
      </c>
      <c r="M242" s="75">
        <v>-70000</v>
      </c>
      <c r="N242" s="75">
        <v>27063.229868929142</v>
      </c>
      <c r="O242" s="178">
        <f t="shared" si="95"/>
        <v>-413482.43907992914</v>
      </c>
      <c r="P242" s="179">
        <f t="shared" si="96"/>
        <v>-121.04286858311742</v>
      </c>
      <c r="Q242" s="74"/>
      <c r="R242" s="89">
        <v>33644860</v>
      </c>
      <c r="S242" s="74">
        <v>9368376.886613043</v>
      </c>
      <c r="T242" s="74">
        <v>1402792.1046</v>
      </c>
      <c r="U242" s="74">
        <v>19082220.837446362</v>
      </c>
      <c r="V242" s="74">
        <v>2492052.8567513218</v>
      </c>
      <c r="W242" s="74">
        <v>1451139.0119999999</v>
      </c>
      <c r="X242" s="178">
        <f t="shared" si="97"/>
        <v>151721.69741072506</v>
      </c>
      <c r="Y242" s="179">
        <f t="shared" si="98"/>
        <v>44.415016806418343</v>
      </c>
      <c r="Z242" s="74"/>
      <c r="AA242" s="84">
        <f t="shared" si="99"/>
        <v>-565204.1364906542</v>
      </c>
      <c r="AB242" s="132">
        <f t="shared" si="100"/>
        <v>-165.45788538953576</v>
      </c>
      <c r="AD242" s="180">
        <v>579434.21842443547</v>
      </c>
      <c r="AE242" s="187">
        <v>523767.91968773003</v>
      </c>
      <c r="AF242" s="187">
        <v>468809.03448308248</v>
      </c>
      <c r="AG242" s="187">
        <v>413503.17808639159</v>
      </c>
      <c r="AH242" s="188">
        <v>358928.48176680948</v>
      </c>
      <c r="AJ242" s="74">
        <f t="shared" si="101"/>
        <v>5637717.9110839795</v>
      </c>
      <c r="AK242" s="74">
        <f t="shared" si="102"/>
        <v>467597.36820000003</v>
      </c>
      <c r="AL242" s="74">
        <f t="shared" si="103"/>
        <v>15255960.958125629</v>
      </c>
      <c r="AM242" s="74">
        <f t="shared" si="104"/>
        <v>23118694.214338869</v>
      </c>
      <c r="AN242" s="74">
        <f t="shared" si="105"/>
        <v>579434.21842443547</v>
      </c>
      <c r="AO242" s="74">
        <f t="shared" si="106"/>
        <v>523767.91968773003</v>
      </c>
      <c r="AP242" s="74">
        <f t="shared" si="107"/>
        <v>468809.03448308248</v>
      </c>
      <c r="AQ242" s="74">
        <f t="shared" si="108"/>
        <v>413503.17808639159</v>
      </c>
      <c r="AR242" s="74">
        <f t="shared" si="109"/>
        <v>358928.48176680948</v>
      </c>
      <c r="AS242" s="75">
        <v>1301</v>
      </c>
      <c r="AT242" s="75"/>
      <c r="AU242" s="75"/>
      <c r="AV242" s="75">
        <v>37</v>
      </c>
      <c r="AW242" s="75">
        <v>12757.733942270841</v>
      </c>
      <c r="AX242" s="75">
        <v>-1531.2752830452253</v>
      </c>
      <c r="AY242" s="75">
        <v>1744.8408980819618</v>
      </c>
      <c r="AZ242" s="316"/>
      <c r="BA242" s="74"/>
      <c r="BB242" s="74"/>
      <c r="BC242" s="74"/>
      <c r="BD242" s="74"/>
      <c r="BE242" s="74"/>
      <c r="BF242" s="74"/>
      <c r="BG242" s="74"/>
      <c r="BM242" s="316"/>
      <c r="BN242" s="74">
        <v>10526165.785661131</v>
      </c>
      <c r="BO242" s="74">
        <v>22034571.77</v>
      </c>
      <c r="BP242" s="74">
        <v>23255000</v>
      </c>
      <c r="BQ242" s="74">
        <v>375854</v>
      </c>
      <c r="BR242" s="74">
        <v>407000</v>
      </c>
      <c r="BS242" s="406">
        <f t="shared" si="110"/>
        <v>0.60178171515921886</v>
      </c>
      <c r="BT242" s="406">
        <f t="shared" si="111"/>
        <v>0.33333333333333337</v>
      </c>
      <c r="BU242" s="74">
        <f t="shared" si="112"/>
        <v>16395957.411000704</v>
      </c>
      <c r="BV242" s="316"/>
      <c r="BW242" s="74">
        <v>33644860</v>
      </c>
      <c r="BX242" s="74">
        <v>10526165.785661131</v>
      </c>
      <c r="BY242" s="74">
        <v>12188560.003213042</v>
      </c>
      <c r="BZ242" s="74">
        <v>6083244.7239290634</v>
      </c>
      <c r="CA242" s="74">
        <f t="shared" si="113"/>
        <v>-604844.44520688697</v>
      </c>
      <c r="CB242" s="74">
        <f t="shared" si="114"/>
        <v>44.415016806418549</v>
      </c>
      <c r="CC242" s="74">
        <f t="shared" si="115"/>
        <v>-121.04286858311835</v>
      </c>
      <c r="CD242" s="74">
        <f t="shared" si="116"/>
        <v>-165.4578853895369</v>
      </c>
      <c r="CE242" s="74">
        <f t="shared" si="117"/>
        <v>153.32784534184191</v>
      </c>
      <c r="CF242" s="74">
        <f t="shared" si="118"/>
        <v>137.23917871284672</v>
      </c>
      <c r="CG242" s="74">
        <f t="shared" si="119"/>
        <v>121.0489397208412</v>
      </c>
      <c r="CH242" s="74">
        <f t="shared" si="120"/>
        <v>105.07274056405487</v>
      </c>
      <c r="CI242" s="74">
        <f t="shared" si="121"/>
        <v>523767.91968773195</v>
      </c>
      <c r="CJ242" s="74">
        <f t="shared" si="122"/>
        <v>468809.0344830844</v>
      </c>
      <c r="CK242" s="74">
        <f t="shared" si="123"/>
        <v>413503.17808639357</v>
      </c>
      <c r="CL242" s="74">
        <f t="shared" si="124"/>
        <v>358928.48176681146</v>
      </c>
      <c r="CM242" s="316"/>
      <c r="CN242" s="74">
        <v>9770.6236413545121</v>
      </c>
      <c r="CO242" s="74">
        <v>1522.410036</v>
      </c>
    </row>
    <row r="243" spans="1:93" x14ac:dyDescent="0.2">
      <c r="A243" s="74">
        <v>734</v>
      </c>
      <c r="B243" s="74" t="s">
        <v>361</v>
      </c>
      <c r="C243" s="74">
        <v>2</v>
      </c>
      <c r="D243" s="74">
        <v>51400</v>
      </c>
      <c r="E243" s="89">
        <v>129447780.70858607</v>
      </c>
      <c r="F243" s="74">
        <v>73220802.975443065</v>
      </c>
      <c r="G243" s="74">
        <v>15216306.176800001</v>
      </c>
      <c r="H243" s="74">
        <v>10476627.4398</v>
      </c>
      <c r="I243" s="74">
        <v>24247413.534036305</v>
      </c>
      <c r="J243" s="74">
        <v>9049587.2840480916</v>
      </c>
      <c r="K243" s="74">
        <v>-3196452.2279215986</v>
      </c>
      <c r="L243" s="74">
        <v>-2100775</v>
      </c>
      <c r="M243" s="75">
        <v>-292305</v>
      </c>
      <c r="N243" s="75">
        <v>490054.5580428745</v>
      </c>
      <c r="O243" s="178">
        <f t="shared" si="95"/>
        <v>-2336520.9683373272</v>
      </c>
      <c r="P243" s="179">
        <f t="shared" si="96"/>
        <v>-45.457606387885747</v>
      </c>
      <c r="Q243" s="74"/>
      <c r="R243" s="89">
        <v>343730666.56</v>
      </c>
      <c r="S243" s="74">
        <v>178536092.62780407</v>
      </c>
      <c r="T243" s="74">
        <v>15714941.159700001</v>
      </c>
      <c r="U243" s="74">
        <v>103759315.8800616</v>
      </c>
      <c r="V243" s="74">
        <v>30181596.509500898</v>
      </c>
      <c r="W243" s="74">
        <v>12823226.176800001</v>
      </c>
      <c r="X243" s="178">
        <f t="shared" si="97"/>
        <v>-2715494.2061334252</v>
      </c>
      <c r="Y243" s="179">
        <f t="shared" si="98"/>
        <v>-52.83062657847131</v>
      </c>
      <c r="Z243" s="74"/>
      <c r="AA243" s="84">
        <f t="shared" si="99"/>
        <v>378973.23779609799</v>
      </c>
      <c r="AB243" s="132">
        <f t="shared" si="100"/>
        <v>7.3730201905855637</v>
      </c>
      <c r="AD243" s="180">
        <v>-164855.49441304381</v>
      </c>
      <c r="AE243" s="187">
        <v>147515.94154847725</v>
      </c>
      <c r="AF243" s="187">
        <v>91558.476818125069</v>
      </c>
      <c r="AG243" s="187">
        <v>30380.19262904163</v>
      </c>
      <c r="AH243" s="188">
        <v>-19796.44402977662</v>
      </c>
      <c r="AJ243" s="74">
        <f t="shared" si="101"/>
        <v>105315289.65236101</v>
      </c>
      <c r="AK243" s="74">
        <f t="shared" si="102"/>
        <v>5238313.7199000008</v>
      </c>
      <c r="AL243" s="74">
        <f t="shared" si="103"/>
        <v>79511902.346025288</v>
      </c>
      <c r="AM243" s="74">
        <f t="shared" si="104"/>
        <v>214282885.85141394</v>
      </c>
      <c r="AN243" s="74">
        <f t="shared" si="105"/>
        <v>-164855.49441304381</v>
      </c>
      <c r="AO243" s="74">
        <f t="shared" si="106"/>
        <v>147515.94154847725</v>
      </c>
      <c r="AP243" s="74">
        <f t="shared" si="107"/>
        <v>91558.476818125069</v>
      </c>
      <c r="AQ243" s="74">
        <f t="shared" si="108"/>
        <v>30380.19262904163</v>
      </c>
      <c r="AR243" s="74">
        <f t="shared" si="109"/>
        <v>-19796.44402977662</v>
      </c>
      <c r="AS243" s="75">
        <v>16158</v>
      </c>
      <c r="AT243" s="75"/>
      <c r="AU243" s="75"/>
      <c r="AV243" s="75">
        <v>392</v>
      </c>
      <c r="AW243" s="75">
        <v>67031.003210332798</v>
      </c>
      <c r="AX243" s="75">
        <v>-10751.204144930049</v>
      </c>
      <c r="AY243" s="75">
        <v>21132.009225452806</v>
      </c>
      <c r="AZ243" s="316"/>
      <c r="BA243" s="74"/>
      <c r="BB243" s="74"/>
      <c r="BC243" s="74"/>
      <c r="BD243" s="74"/>
      <c r="BE243" s="74"/>
      <c r="BF243" s="74"/>
      <c r="BG243" s="74"/>
      <c r="BM243" s="316"/>
      <c r="BN243" s="74">
        <v>129447780.70858607</v>
      </c>
      <c r="BO243" s="74">
        <v>199211925.49000001</v>
      </c>
      <c r="BP243" s="74">
        <v>213353000</v>
      </c>
      <c r="BQ243" s="74">
        <v>3910534.27</v>
      </c>
      <c r="BR243" s="74">
        <v>4337000</v>
      </c>
      <c r="BS243" s="406">
        <f t="shared" si="110"/>
        <v>0.58988234872997258</v>
      </c>
      <c r="BT243" s="406">
        <f t="shared" si="111"/>
        <v>0.33333333333333337</v>
      </c>
      <c r="BU243" s="74">
        <f t="shared" si="112"/>
        <v>97447459.343556494</v>
      </c>
      <c r="BV243" s="316"/>
      <c r="BW243" s="74">
        <v>343730666.56</v>
      </c>
      <c r="BX243" s="74">
        <v>129447780.70858607</v>
      </c>
      <c r="BY243" s="74">
        <v>209467339.96430409</v>
      </c>
      <c r="BZ243" s="74">
        <v>98913736.592043057</v>
      </c>
      <c r="CA243" s="74">
        <f t="shared" si="113"/>
        <v>-3196452.2279216209</v>
      </c>
      <c r="CB243" s="74">
        <f t="shared" si="114"/>
        <v>-52.830626578471382</v>
      </c>
      <c r="CC243" s="74">
        <f t="shared" si="115"/>
        <v>-45.45760638788623</v>
      </c>
      <c r="CD243" s="74">
        <f t="shared" si="116"/>
        <v>7.3730201905851516</v>
      </c>
      <c r="CE243" s="74">
        <f t="shared" si="117"/>
        <v>2.8699599523050048</v>
      </c>
      <c r="CF243" s="74">
        <f t="shared" si="118"/>
        <v>1.7812933233098263</v>
      </c>
      <c r="CG243" s="74">
        <f t="shared" si="119"/>
        <v>0.59105433130431184</v>
      </c>
      <c r="CH243" s="74">
        <f t="shared" si="120"/>
        <v>-0.38514482548203544</v>
      </c>
      <c r="CI243" s="74">
        <f t="shared" si="121"/>
        <v>147515.94154847725</v>
      </c>
      <c r="CJ243" s="74">
        <f t="shared" si="122"/>
        <v>91558.476818125069</v>
      </c>
      <c r="CK243" s="74">
        <f t="shared" si="123"/>
        <v>30380.19262904163</v>
      </c>
      <c r="CL243" s="74">
        <f t="shared" si="124"/>
        <v>-19796.44402977662</v>
      </c>
      <c r="CM243" s="316"/>
      <c r="CN243" s="74">
        <v>183469.96801085735</v>
      </c>
      <c r="CO243" s="74">
        <v>17054.974902000002</v>
      </c>
    </row>
    <row r="244" spans="1:93" x14ac:dyDescent="0.2">
      <c r="A244" s="74">
        <v>738</v>
      </c>
      <c r="B244" s="74" t="s">
        <v>362</v>
      </c>
      <c r="C244" s="74">
        <v>2</v>
      </c>
      <c r="D244" s="74">
        <v>2959</v>
      </c>
      <c r="E244" s="89">
        <v>7508311.1436393615</v>
      </c>
      <c r="F244" s="74">
        <v>4725568.0830602376</v>
      </c>
      <c r="G244" s="74">
        <v>1239949.152</v>
      </c>
      <c r="H244" s="74">
        <v>446052.75140000001</v>
      </c>
      <c r="I244" s="74">
        <v>1362241.6040060315</v>
      </c>
      <c r="J244" s="74">
        <v>575282.95194137655</v>
      </c>
      <c r="K244" s="74">
        <v>48497.464560992346</v>
      </c>
      <c r="L244" s="74">
        <v>-571952</v>
      </c>
      <c r="M244" s="75">
        <v>36500</v>
      </c>
      <c r="N244" s="75">
        <v>28670.72236053702</v>
      </c>
      <c r="O244" s="178">
        <f t="shared" si="95"/>
        <v>382499.58568981383</v>
      </c>
      <c r="P244" s="179">
        <f t="shared" si="96"/>
        <v>129.26650411957209</v>
      </c>
      <c r="Q244" s="74"/>
      <c r="R244" s="89">
        <v>18022700</v>
      </c>
      <c r="S244" s="74">
        <v>10970498.419979395</v>
      </c>
      <c r="T244" s="74">
        <v>669079.12709999993</v>
      </c>
      <c r="U244" s="74">
        <v>4124366.2573555699</v>
      </c>
      <c r="V244" s="74">
        <v>1918646.3856639399</v>
      </c>
      <c r="W244" s="74">
        <v>704497.152</v>
      </c>
      <c r="X244" s="178">
        <f t="shared" si="97"/>
        <v>364387.34209890664</v>
      </c>
      <c r="Y244" s="179">
        <f t="shared" si="98"/>
        <v>123.14543497766361</v>
      </c>
      <c r="Z244" s="74"/>
      <c r="AA244" s="84">
        <f t="shared" si="99"/>
        <v>18112.243590907194</v>
      </c>
      <c r="AB244" s="132">
        <f t="shared" si="100"/>
        <v>6.1210691419084808</v>
      </c>
      <c r="AD244" s="180">
        <v>-5785.8933444045251</v>
      </c>
      <c r="AE244" s="187">
        <v>8492.2114988705089</v>
      </c>
      <c r="AF244" s="187">
        <v>5270.846943673776</v>
      </c>
      <c r="AG244" s="187">
        <v>1748.9297663294587</v>
      </c>
      <c r="AH244" s="188">
        <v>-1139.6435386013429</v>
      </c>
      <c r="AJ244" s="74">
        <f t="shared" si="101"/>
        <v>6244930.3369191578</v>
      </c>
      <c r="AK244" s="74">
        <f t="shared" si="102"/>
        <v>223026.37569999992</v>
      </c>
      <c r="AL244" s="74">
        <f t="shared" si="103"/>
        <v>2762124.6533495383</v>
      </c>
      <c r="AM244" s="74">
        <f t="shared" si="104"/>
        <v>10514388.856360639</v>
      </c>
      <c r="AN244" s="74">
        <f t="shared" si="105"/>
        <v>-5785.8933444045251</v>
      </c>
      <c r="AO244" s="74">
        <f t="shared" si="106"/>
        <v>8492.2114988705089</v>
      </c>
      <c r="AP244" s="74">
        <f t="shared" si="107"/>
        <v>5270.846943673776</v>
      </c>
      <c r="AQ244" s="74">
        <f t="shared" si="108"/>
        <v>1748.9297663294587</v>
      </c>
      <c r="AR244" s="74">
        <f t="shared" si="109"/>
        <v>-1139.6435386013429</v>
      </c>
      <c r="AS244" s="75">
        <v>538</v>
      </c>
      <c r="AT244" s="75"/>
      <c r="AU244" s="75"/>
      <c r="AV244" s="75">
        <v>46</v>
      </c>
      <c r="AW244" s="75">
        <v>2347.6498619261602</v>
      </c>
      <c r="AX244" s="75">
        <v>-466.20244212709923</v>
      </c>
      <c r="AY244" s="75">
        <v>1343.3634337225633</v>
      </c>
      <c r="AZ244" s="316"/>
      <c r="BA244" s="74"/>
      <c r="BB244" s="74"/>
      <c r="BC244" s="74"/>
      <c r="BD244" s="74"/>
      <c r="BE244" s="74"/>
      <c r="BF244" s="74"/>
      <c r="BG244" s="74"/>
      <c r="BM244" s="316"/>
      <c r="BN244" s="74">
        <v>7508311.1436393615</v>
      </c>
      <c r="BO244" s="74">
        <v>10136938.25</v>
      </c>
      <c r="BP244" s="74">
        <v>9556000</v>
      </c>
      <c r="BQ244" s="74">
        <v>217311.49000000002</v>
      </c>
      <c r="BR244" s="74">
        <v>264000</v>
      </c>
      <c r="BS244" s="406">
        <f t="shared" si="110"/>
        <v>0.56924764015698082</v>
      </c>
      <c r="BT244" s="406">
        <f t="shared" si="111"/>
        <v>0.33333333333333326</v>
      </c>
      <c r="BU244" s="74">
        <f t="shared" si="112"/>
        <v>4153985.551633094</v>
      </c>
      <c r="BV244" s="316"/>
      <c r="BW244" s="74">
        <v>18022700</v>
      </c>
      <c r="BX244" s="74">
        <v>7508311.1436393615</v>
      </c>
      <c r="BY244" s="74">
        <v>12879526.699079396</v>
      </c>
      <c r="BZ244" s="74">
        <v>6411569.9864602378</v>
      </c>
      <c r="CA244" s="74">
        <f t="shared" si="113"/>
        <v>48497.464560991153</v>
      </c>
      <c r="CB244" s="74">
        <f t="shared" si="114"/>
        <v>123.14543497766314</v>
      </c>
      <c r="CC244" s="74">
        <f t="shared" si="115"/>
        <v>129.26650411957158</v>
      </c>
      <c r="CD244" s="74">
        <f t="shared" si="116"/>
        <v>6.1210691419084355</v>
      </c>
      <c r="CE244" s="74">
        <f t="shared" si="117"/>
        <v>2.8699599523050048</v>
      </c>
      <c r="CF244" s="74">
        <f t="shared" si="118"/>
        <v>1.7812933233098263</v>
      </c>
      <c r="CG244" s="74">
        <f t="shared" si="119"/>
        <v>0.59105433130431184</v>
      </c>
      <c r="CH244" s="74">
        <f t="shared" si="120"/>
        <v>-0.38514482548203544</v>
      </c>
      <c r="CI244" s="74">
        <f t="shared" si="121"/>
        <v>8492.2114988705089</v>
      </c>
      <c r="CJ244" s="74">
        <f t="shared" si="122"/>
        <v>5270.846943673776</v>
      </c>
      <c r="CK244" s="74">
        <f t="shared" si="123"/>
        <v>1748.9297663294587</v>
      </c>
      <c r="CL244" s="74">
        <f t="shared" si="124"/>
        <v>-1139.6435386013429</v>
      </c>
      <c r="CM244" s="316"/>
      <c r="CN244" s="74">
        <v>10906.281635504865</v>
      </c>
      <c r="CO244" s="74">
        <v>726.132386</v>
      </c>
    </row>
    <row r="245" spans="1:93" x14ac:dyDescent="0.2">
      <c r="A245" s="74">
        <v>739</v>
      </c>
      <c r="B245" s="74" t="s">
        <v>363</v>
      </c>
      <c r="C245" s="74">
        <v>9</v>
      </c>
      <c r="D245" s="74">
        <v>3261</v>
      </c>
      <c r="E245" s="89">
        <v>10349215.031169567</v>
      </c>
      <c r="F245" s="74">
        <v>4643465.7765577342</v>
      </c>
      <c r="G245" s="74">
        <v>1409651.6077000001</v>
      </c>
      <c r="H245" s="74">
        <v>768436.04940000002</v>
      </c>
      <c r="I245" s="74">
        <v>612496.41951567214</v>
      </c>
      <c r="J245" s="74">
        <v>728604.02523682197</v>
      </c>
      <c r="K245" s="74">
        <v>1487130.9457899807</v>
      </c>
      <c r="L245" s="74">
        <v>348221</v>
      </c>
      <c r="M245" s="75">
        <v>-31600</v>
      </c>
      <c r="N245" s="75">
        <v>29032.78291583508</v>
      </c>
      <c r="O245" s="178">
        <f t="shared" si="95"/>
        <v>-353776.42405352369</v>
      </c>
      <c r="P245" s="179">
        <f t="shared" si="96"/>
        <v>-108.48709722585824</v>
      </c>
      <c r="Q245" s="74"/>
      <c r="R245" s="89">
        <v>26367620</v>
      </c>
      <c r="S245" s="74">
        <v>10808883.32731008</v>
      </c>
      <c r="T245" s="74">
        <v>1152654.0741000001</v>
      </c>
      <c r="U245" s="74">
        <v>11119169.306277808</v>
      </c>
      <c r="V245" s="74">
        <v>2429992.8841682086</v>
      </c>
      <c r="W245" s="74">
        <v>1726272.6077000001</v>
      </c>
      <c r="X245" s="178">
        <f t="shared" si="97"/>
        <v>869352.19955609739</v>
      </c>
      <c r="Y245" s="179">
        <f t="shared" si="98"/>
        <v>266.59067757010041</v>
      </c>
      <c r="Z245" s="74"/>
      <c r="AA245" s="84">
        <f t="shared" si="99"/>
        <v>-1223128.6236096211</v>
      </c>
      <c r="AB245" s="132">
        <f t="shared" si="100"/>
        <v>-375.07777479595865</v>
      </c>
      <c r="AD245" s="180">
        <v>1236713.0197413701</v>
      </c>
      <c r="AE245" s="187">
        <v>1183572.5630140877</v>
      </c>
      <c r="AF245" s="187">
        <v>1131107.4211369345</v>
      </c>
      <c r="AG245" s="187">
        <v>1078311.0517840046</v>
      </c>
      <c r="AH245" s="188">
        <v>1026212.6663337243</v>
      </c>
      <c r="AJ245" s="74">
        <f t="shared" si="101"/>
        <v>6165417.5507523455</v>
      </c>
      <c r="AK245" s="74">
        <f t="shared" si="102"/>
        <v>384218.02470000007</v>
      </c>
      <c r="AL245" s="74">
        <f t="shared" si="103"/>
        <v>10506672.886762135</v>
      </c>
      <c r="AM245" s="74">
        <f t="shared" si="104"/>
        <v>16018404.968830433</v>
      </c>
      <c r="AN245" s="74">
        <f t="shared" si="105"/>
        <v>1236713.0197413701</v>
      </c>
      <c r="AO245" s="74">
        <f t="shared" si="106"/>
        <v>1183572.5630140877</v>
      </c>
      <c r="AP245" s="74">
        <f t="shared" si="107"/>
        <v>1131107.4211369345</v>
      </c>
      <c r="AQ245" s="74">
        <f t="shared" si="108"/>
        <v>1078311.0517840046</v>
      </c>
      <c r="AR245" s="74">
        <f t="shared" si="109"/>
        <v>1026212.6663337243</v>
      </c>
      <c r="AS245" s="75">
        <v>1985</v>
      </c>
      <c r="AT245" s="75"/>
      <c r="AU245" s="75"/>
      <c r="AV245" s="75">
        <v>0</v>
      </c>
      <c r="AW245" s="75">
        <v>9174.5991561857081</v>
      </c>
      <c r="AX245" s="75">
        <v>-1101.7805244617905</v>
      </c>
      <c r="AY245" s="75">
        <v>1701.3888589313867</v>
      </c>
      <c r="AZ245" s="316"/>
      <c r="BA245" s="74"/>
      <c r="BB245" s="74"/>
      <c r="BC245" s="74"/>
      <c r="BD245" s="74"/>
      <c r="BE245" s="74"/>
      <c r="BF245" s="74"/>
      <c r="BG245" s="74"/>
      <c r="BM245" s="316"/>
      <c r="BN245" s="74">
        <v>10349215.031169567</v>
      </c>
      <c r="BO245" s="74">
        <v>14909923.749999998</v>
      </c>
      <c r="BP245" s="74">
        <v>16311000</v>
      </c>
      <c r="BQ245" s="74">
        <v>292917.15999999997</v>
      </c>
      <c r="BR245" s="74">
        <v>301000</v>
      </c>
      <c r="BS245" s="406">
        <f t="shared" si="110"/>
        <v>0.57040282183216828</v>
      </c>
      <c r="BT245" s="406">
        <f t="shared" si="111"/>
        <v>0.33333333333333337</v>
      </c>
      <c r="BU245" s="74">
        <f t="shared" si="112"/>
        <v>13695192.691483501</v>
      </c>
      <c r="BV245" s="316"/>
      <c r="BW245" s="74">
        <v>26367620</v>
      </c>
      <c r="BX245" s="74">
        <v>10349215.031169567</v>
      </c>
      <c r="BY245" s="74">
        <v>13371189.00911008</v>
      </c>
      <c r="BZ245" s="74">
        <v>6821553.4336577337</v>
      </c>
      <c r="CA245" s="74">
        <f t="shared" si="113"/>
        <v>1487130.9457899795</v>
      </c>
      <c r="CB245" s="74">
        <f t="shared" si="114"/>
        <v>266.59067757010024</v>
      </c>
      <c r="CC245" s="74">
        <f t="shared" si="115"/>
        <v>-108.48709722585865</v>
      </c>
      <c r="CD245" s="74">
        <f t="shared" si="116"/>
        <v>-375.07777479595887</v>
      </c>
      <c r="CE245" s="74">
        <f t="shared" si="117"/>
        <v>362.94773474826388</v>
      </c>
      <c r="CF245" s="74">
        <f t="shared" si="118"/>
        <v>346.85906811926873</v>
      </c>
      <c r="CG245" s="74">
        <f t="shared" si="119"/>
        <v>330.66882912726317</v>
      </c>
      <c r="CH245" s="74">
        <f t="shared" si="120"/>
        <v>314.69262997047684</v>
      </c>
      <c r="CI245" s="74">
        <f t="shared" si="121"/>
        <v>1183572.5630140884</v>
      </c>
      <c r="CJ245" s="74">
        <f t="shared" si="122"/>
        <v>1131107.4211369352</v>
      </c>
      <c r="CK245" s="74">
        <f t="shared" si="123"/>
        <v>1078311.0517840052</v>
      </c>
      <c r="CL245" s="74">
        <f t="shared" si="124"/>
        <v>1026212.666333725</v>
      </c>
      <c r="CM245" s="316"/>
      <c r="CN245" s="74">
        <v>10411.971474697324</v>
      </c>
      <c r="CO245" s="74">
        <v>1250.9424060000001</v>
      </c>
    </row>
    <row r="246" spans="1:93" x14ac:dyDescent="0.2">
      <c r="A246" s="74">
        <v>740</v>
      </c>
      <c r="B246" s="74" t="s">
        <v>364</v>
      </c>
      <c r="C246" s="74">
        <v>10</v>
      </c>
      <c r="D246" s="74">
        <v>32547</v>
      </c>
      <c r="E246" s="89">
        <v>76293729.789295346</v>
      </c>
      <c r="F246" s="74">
        <v>51287315.518519916</v>
      </c>
      <c r="G246" s="74">
        <v>14193588.6175</v>
      </c>
      <c r="H246" s="74">
        <v>7760701.1374000004</v>
      </c>
      <c r="I246" s="74">
        <v>7566183.6018247958</v>
      </c>
      <c r="J246" s="74">
        <v>6119090.8945316281</v>
      </c>
      <c r="K246" s="74">
        <v>-2020804.7409270357</v>
      </c>
      <c r="L246" s="74">
        <v>-1632289</v>
      </c>
      <c r="M246" s="75">
        <v>100000</v>
      </c>
      <c r="N246" s="75">
        <v>303528.73777947575</v>
      </c>
      <c r="O246" s="178">
        <f t="shared" si="95"/>
        <v>7383584.9773334265</v>
      </c>
      <c r="P246" s="179">
        <f t="shared" si="96"/>
        <v>226.85915682961337</v>
      </c>
      <c r="Q246" s="74"/>
      <c r="R246" s="89">
        <v>232580863</v>
      </c>
      <c r="S246" s="74">
        <v>115881372.82507403</v>
      </c>
      <c r="T246" s="74">
        <v>11641051.7061</v>
      </c>
      <c r="U246" s="74">
        <v>79465243.266171083</v>
      </c>
      <c r="V246" s="74">
        <v>20407995.03743789</v>
      </c>
      <c r="W246" s="74">
        <v>12661299.6175</v>
      </c>
      <c r="X246" s="178">
        <f t="shared" si="97"/>
        <v>7476099.4522830248</v>
      </c>
      <c r="Y246" s="179">
        <f t="shared" si="98"/>
        <v>229.70164538307753</v>
      </c>
      <c r="Z246" s="74"/>
      <c r="AA246" s="84">
        <f t="shared" si="99"/>
        <v>-92514.474949598312</v>
      </c>
      <c r="AB246" s="132">
        <f t="shared" si="100"/>
        <v>-2.8424885534641691</v>
      </c>
      <c r="AD246" s="180">
        <v>228095.99623139424</v>
      </c>
      <c r="AE246" s="187">
        <v>93408.586567670995</v>
      </c>
      <c r="AF246" s="187">
        <v>57975.753793764918</v>
      </c>
      <c r="AG246" s="187">
        <v>19237.045320961439</v>
      </c>
      <c r="AH246" s="188">
        <v>-12535.308634963807</v>
      </c>
      <c r="AJ246" s="74">
        <f t="shared" si="101"/>
        <v>64594057.306554116</v>
      </c>
      <c r="AK246" s="74">
        <f t="shared" si="102"/>
        <v>3880350.5686999997</v>
      </c>
      <c r="AL246" s="74">
        <f t="shared" si="103"/>
        <v>71899059.664346293</v>
      </c>
      <c r="AM246" s="74">
        <f t="shared" si="104"/>
        <v>156287133.21070465</v>
      </c>
      <c r="AN246" s="74">
        <f t="shared" si="105"/>
        <v>228095.99623139424</v>
      </c>
      <c r="AO246" s="74">
        <f t="shared" si="106"/>
        <v>93408.586567670995</v>
      </c>
      <c r="AP246" s="74">
        <f t="shared" si="107"/>
        <v>57975.753793764918</v>
      </c>
      <c r="AQ246" s="74">
        <f t="shared" si="108"/>
        <v>19237.045320961439</v>
      </c>
      <c r="AR246" s="74">
        <f t="shared" si="109"/>
        <v>-12535.308634963807</v>
      </c>
      <c r="AS246" s="405">
        <v>10907</v>
      </c>
      <c r="AT246" s="75"/>
      <c r="AU246" s="75"/>
      <c r="AV246" s="75">
        <v>0</v>
      </c>
      <c r="AW246" s="75">
        <v>62894.380888532411</v>
      </c>
      <c r="AX246" s="75">
        <v>-7579.0816773386459</v>
      </c>
      <c r="AY246" s="75">
        <v>14288.904142906262</v>
      </c>
      <c r="AZ246" s="316"/>
      <c r="BA246" s="74"/>
      <c r="BB246" s="74"/>
      <c r="BC246" s="74"/>
      <c r="BD246" s="74"/>
      <c r="BE246" s="74"/>
      <c r="BF246" s="74"/>
      <c r="BG246" s="74"/>
      <c r="BM246" s="316"/>
      <c r="BN246" s="74">
        <v>76293729.789295346</v>
      </c>
      <c r="BO246" s="74">
        <v>151709095.09000003</v>
      </c>
      <c r="BP246" s="74">
        <v>156097000</v>
      </c>
      <c r="BQ246" s="74">
        <v>3129611.34</v>
      </c>
      <c r="BR246" s="74">
        <v>3376000</v>
      </c>
      <c r="BS246" s="406">
        <f t="shared" si="110"/>
        <v>0.55741536134595626</v>
      </c>
      <c r="BT246" s="406">
        <f t="shared" si="111"/>
        <v>0.33333333333333326</v>
      </c>
      <c r="BU246" s="74">
        <f t="shared" si="112"/>
        <v>84167159.066325501</v>
      </c>
      <c r="BV246" s="316"/>
      <c r="BW246" s="74">
        <v>232580863</v>
      </c>
      <c r="BX246" s="74">
        <v>76293729.789295346</v>
      </c>
      <c r="BY246" s="74">
        <v>141716013.14867404</v>
      </c>
      <c r="BZ246" s="74">
        <v>73241605.273419917</v>
      </c>
      <c r="CA246" s="74">
        <f t="shared" si="113"/>
        <v>-2020804.7409270494</v>
      </c>
      <c r="CB246" s="74">
        <f t="shared" si="114"/>
        <v>229.70164538307696</v>
      </c>
      <c r="CC246" s="74">
        <f t="shared" si="115"/>
        <v>226.8591568296132</v>
      </c>
      <c r="CD246" s="74">
        <f t="shared" si="116"/>
        <v>-2.8424885534637667</v>
      </c>
      <c r="CE246" s="74">
        <f t="shared" si="117"/>
        <v>2.8699599523050048</v>
      </c>
      <c r="CF246" s="74">
        <f t="shared" si="118"/>
        <v>1.7812933233098263</v>
      </c>
      <c r="CG246" s="74">
        <f t="shared" si="119"/>
        <v>0.59105433130431184</v>
      </c>
      <c r="CH246" s="74">
        <f t="shared" si="120"/>
        <v>-0.38514482548203544</v>
      </c>
      <c r="CI246" s="74">
        <f t="shared" si="121"/>
        <v>93408.586567670995</v>
      </c>
      <c r="CJ246" s="74">
        <f t="shared" si="122"/>
        <v>57975.753793764918</v>
      </c>
      <c r="CK246" s="74">
        <f t="shared" si="123"/>
        <v>19237.045320961439</v>
      </c>
      <c r="CL246" s="74">
        <f t="shared" si="124"/>
        <v>-12535.308634963807</v>
      </c>
      <c r="CM246" s="316"/>
      <c r="CN246" s="74">
        <v>118040.34982840212</v>
      </c>
      <c r="CO246" s="74">
        <v>12633.699526</v>
      </c>
    </row>
    <row r="247" spans="1:93" x14ac:dyDescent="0.2">
      <c r="A247" s="74">
        <v>742</v>
      </c>
      <c r="B247" s="74" t="s">
        <v>365</v>
      </c>
      <c r="C247" s="74">
        <v>19</v>
      </c>
      <c r="D247" s="74">
        <v>1009</v>
      </c>
      <c r="E247" s="89">
        <v>3909238.4087708984</v>
      </c>
      <c r="F247" s="74">
        <v>1349772.4350160367</v>
      </c>
      <c r="G247" s="74">
        <v>436809.45599999995</v>
      </c>
      <c r="H247" s="74">
        <v>813285.26439999999</v>
      </c>
      <c r="I247" s="74">
        <v>845835.69999999844</v>
      </c>
      <c r="J247" s="74">
        <v>228265.07690427033</v>
      </c>
      <c r="K247" s="74">
        <v>-161407.18414677025</v>
      </c>
      <c r="L247" s="74">
        <v>236190</v>
      </c>
      <c r="M247" s="75">
        <v>-3500</v>
      </c>
      <c r="N247" s="75">
        <v>9488.1358596648388</v>
      </c>
      <c r="O247" s="178">
        <f t="shared" si="95"/>
        <v>-154499.52473769803</v>
      </c>
      <c r="P247" s="179">
        <f t="shared" si="96"/>
        <v>-153.12143185103866</v>
      </c>
      <c r="Q247" s="74"/>
      <c r="R247" s="89">
        <v>9629200</v>
      </c>
      <c r="S247" s="74">
        <v>3083600.8817111785</v>
      </c>
      <c r="T247" s="74">
        <v>1219927.8965999999</v>
      </c>
      <c r="U247" s="74">
        <v>3859699.5680232779</v>
      </c>
      <c r="V247" s="74">
        <v>761294.87810775451</v>
      </c>
      <c r="W247" s="74">
        <v>669499.45600000001</v>
      </c>
      <c r="X247" s="178">
        <f t="shared" si="97"/>
        <v>-35177.319557789713</v>
      </c>
      <c r="Y247" s="179">
        <f t="shared" si="98"/>
        <v>-34.863547629127567</v>
      </c>
      <c r="Z247" s="74"/>
      <c r="AA247" s="84">
        <f t="shared" si="99"/>
        <v>-119322.20517990831</v>
      </c>
      <c r="AB247" s="132">
        <f t="shared" si="100"/>
        <v>-118.25788422191111</v>
      </c>
      <c r="AD247" s="180">
        <v>123525.41146538353</v>
      </c>
      <c r="AE247" s="187">
        <v>107082.99477178406</v>
      </c>
      <c r="AF247" s="187">
        <v>90849.530143127908</v>
      </c>
      <c r="AG247" s="187">
        <v>74513.579000194339</v>
      </c>
      <c r="AH247" s="188">
        <v>58393.594050996922</v>
      </c>
      <c r="AJ247" s="74">
        <f t="shared" si="101"/>
        <v>1733828.4466951417</v>
      </c>
      <c r="AK247" s="74">
        <f t="shared" si="102"/>
        <v>406642.63219999988</v>
      </c>
      <c r="AL247" s="74">
        <f t="shared" si="103"/>
        <v>3013863.8680232796</v>
      </c>
      <c r="AM247" s="74">
        <f t="shared" si="104"/>
        <v>5719961.5912291016</v>
      </c>
      <c r="AN247" s="74">
        <f t="shared" si="105"/>
        <v>123525.41146538353</v>
      </c>
      <c r="AO247" s="74">
        <f t="shared" si="106"/>
        <v>107082.99477178406</v>
      </c>
      <c r="AP247" s="74">
        <f t="shared" si="107"/>
        <v>90849.530143127908</v>
      </c>
      <c r="AQ247" s="74">
        <f t="shared" si="108"/>
        <v>74513.579000194339</v>
      </c>
      <c r="AR247" s="74">
        <f t="shared" si="109"/>
        <v>58393.594050996922</v>
      </c>
      <c r="AS247" s="75">
        <v>250</v>
      </c>
      <c r="AT247" s="75"/>
      <c r="AU247" s="75"/>
      <c r="AV247" s="75">
        <v>47</v>
      </c>
      <c r="AW247" s="75">
        <v>2713.8956989034032</v>
      </c>
      <c r="AX247" s="75">
        <v>-73.47892981422828</v>
      </c>
      <c r="AY247" s="75">
        <v>533.02980120348423</v>
      </c>
      <c r="AZ247" s="316"/>
      <c r="BA247" s="74"/>
      <c r="BB247" s="74"/>
      <c r="BC247" s="74"/>
      <c r="BD247" s="74"/>
      <c r="BE247" s="74"/>
      <c r="BF247" s="74"/>
      <c r="BG247" s="74"/>
      <c r="BM247" s="316"/>
      <c r="BN247" s="74">
        <v>3909238.4087708984</v>
      </c>
      <c r="BO247" s="74">
        <v>5317514.1899999995</v>
      </c>
      <c r="BP247" s="74">
        <v>5583000</v>
      </c>
      <c r="BQ247" s="74">
        <v>201742.86</v>
      </c>
      <c r="BR247" s="74">
        <v>224000</v>
      </c>
      <c r="BS247" s="406">
        <f t="shared" si="110"/>
        <v>0.56227394958227883</v>
      </c>
      <c r="BT247" s="406">
        <f t="shared" si="111"/>
        <v>0.33333333333333326</v>
      </c>
      <c r="BU247" s="74">
        <f t="shared" si="112"/>
        <v>3385486.485079993</v>
      </c>
      <c r="BV247" s="316"/>
      <c r="BW247" s="74">
        <v>9629200</v>
      </c>
      <c r="BX247" s="74">
        <v>3909238.4087708984</v>
      </c>
      <c r="BY247" s="74">
        <v>4740338.2343111783</v>
      </c>
      <c r="BZ247" s="74">
        <v>2599867.155416037</v>
      </c>
      <c r="CA247" s="74">
        <f t="shared" si="113"/>
        <v>-161407.18414677086</v>
      </c>
      <c r="CB247" s="74">
        <f t="shared" si="114"/>
        <v>-34.863547629127332</v>
      </c>
      <c r="CC247" s="74">
        <f t="shared" si="115"/>
        <v>-153.12143185103952</v>
      </c>
      <c r="CD247" s="74">
        <f t="shared" si="116"/>
        <v>-118.25788422191218</v>
      </c>
      <c r="CE247" s="74">
        <f t="shared" si="117"/>
        <v>106.12784417421719</v>
      </c>
      <c r="CF247" s="74">
        <f t="shared" si="118"/>
        <v>90.039177545222003</v>
      </c>
      <c r="CG247" s="74">
        <f t="shared" si="119"/>
        <v>73.848938553216485</v>
      </c>
      <c r="CH247" s="74">
        <f t="shared" si="120"/>
        <v>57.872739396430141</v>
      </c>
      <c r="CI247" s="74">
        <f t="shared" si="121"/>
        <v>107082.99477178515</v>
      </c>
      <c r="CJ247" s="74">
        <f t="shared" si="122"/>
        <v>90849.530143128999</v>
      </c>
      <c r="CK247" s="74">
        <f t="shared" si="123"/>
        <v>74513.57900019543</v>
      </c>
      <c r="CL247" s="74">
        <f t="shared" si="124"/>
        <v>58393.594050998014</v>
      </c>
      <c r="CM247" s="316"/>
      <c r="CN247" s="74">
        <v>3299.2080426034013</v>
      </c>
      <c r="CO247" s="74">
        <v>1323.9527559999999</v>
      </c>
    </row>
    <row r="248" spans="1:93" x14ac:dyDescent="0.2">
      <c r="A248" s="74">
        <v>743</v>
      </c>
      <c r="B248" s="74" t="s">
        <v>366</v>
      </c>
      <c r="C248" s="74">
        <v>14</v>
      </c>
      <c r="D248" s="74">
        <v>64736</v>
      </c>
      <c r="E248" s="89">
        <v>168983914.70935771</v>
      </c>
      <c r="F248" s="74">
        <v>99362263.719249472</v>
      </c>
      <c r="G248" s="74">
        <v>28785642.971999999</v>
      </c>
      <c r="H248" s="74">
        <v>14287831.295200001</v>
      </c>
      <c r="I248" s="74">
        <v>31305599.605784781</v>
      </c>
      <c r="J248" s="74">
        <v>9742678.3705138937</v>
      </c>
      <c r="K248" s="74">
        <v>-5497885.2655691179</v>
      </c>
      <c r="L248" s="74">
        <v>-2752954</v>
      </c>
      <c r="M248" s="75">
        <v>7918300</v>
      </c>
      <c r="N248" s="75">
        <v>652301.94596886262</v>
      </c>
      <c r="O248" s="178">
        <f t="shared" si="95"/>
        <v>14819863.933790177</v>
      </c>
      <c r="P248" s="179">
        <f t="shared" si="96"/>
        <v>228.92770535390164</v>
      </c>
      <c r="Q248" s="74"/>
      <c r="R248" s="89">
        <v>409622500</v>
      </c>
      <c r="S248" s="74">
        <v>239374066.61367849</v>
      </c>
      <c r="T248" s="74">
        <v>21431746.9428</v>
      </c>
      <c r="U248" s="74">
        <v>94233433.827771187</v>
      </c>
      <c r="V248" s="74">
        <v>32493148.943821967</v>
      </c>
      <c r="W248" s="74">
        <v>33950988.972000003</v>
      </c>
      <c r="X248" s="178">
        <f t="shared" si="97"/>
        <v>11860885.300071597</v>
      </c>
      <c r="Y248" s="179">
        <f t="shared" si="98"/>
        <v>183.21931074010746</v>
      </c>
      <c r="Z248" s="74"/>
      <c r="AA248" s="84">
        <f t="shared" si="99"/>
        <v>2958978.63371858</v>
      </c>
      <c r="AB248" s="132">
        <f t="shared" si="100"/>
        <v>45.708394613794177</v>
      </c>
      <c r="AD248" s="180">
        <v>-2689306.917071816</v>
      </c>
      <c r="AE248" s="187">
        <v>-1802148.9062461026</v>
      </c>
      <c r="AF248" s="187">
        <v>-901584.82914073463</v>
      </c>
      <c r="AG248" s="187">
        <v>-7596.1405272036254</v>
      </c>
      <c r="AH248" s="188">
        <v>-24932.735422405047</v>
      </c>
      <c r="AJ248" s="74">
        <f t="shared" si="101"/>
        <v>140011802.89442903</v>
      </c>
      <c r="AK248" s="74">
        <f t="shared" si="102"/>
        <v>7143915.6475999989</v>
      </c>
      <c r="AL248" s="74">
        <f t="shared" si="103"/>
        <v>62927834.221986406</v>
      </c>
      <c r="AM248" s="74">
        <f t="shared" si="104"/>
        <v>240638585.29064229</v>
      </c>
      <c r="AN248" s="74">
        <f t="shared" si="105"/>
        <v>-2689306.917071816</v>
      </c>
      <c r="AO248" s="74">
        <f t="shared" si="106"/>
        <v>-1802148.9062461026</v>
      </c>
      <c r="AP248" s="74">
        <f t="shared" si="107"/>
        <v>-901584.82914073463</v>
      </c>
      <c r="AQ248" s="74">
        <f t="shared" si="108"/>
        <v>-7596.1405272036254</v>
      </c>
      <c r="AR248" s="74">
        <f t="shared" si="109"/>
        <v>-24932.735422405047</v>
      </c>
      <c r="AS248" s="75">
        <v>23100</v>
      </c>
      <c r="AT248" s="75"/>
      <c r="AU248" s="75"/>
      <c r="AV248" s="75">
        <v>1060</v>
      </c>
      <c r="AW248" s="75">
        <v>56315.315091321769</v>
      </c>
      <c r="AX248" s="75">
        <v>-5934.3266763225947</v>
      </c>
      <c r="AY248" s="75">
        <v>22750.470573308074</v>
      </c>
      <c r="AZ248" s="316"/>
      <c r="BA248" s="74"/>
      <c r="BB248" s="74"/>
      <c r="BC248" s="74"/>
      <c r="BD248" s="74"/>
      <c r="BE248" s="74"/>
      <c r="BF248" s="74"/>
      <c r="BG248" s="74"/>
      <c r="BM248" s="316"/>
      <c r="BN248" s="74">
        <v>168983914.70935771</v>
      </c>
      <c r="BO248" s="74">
        <v>231968747.38999996</v>
      </c>
      <c r="BP248" s="74">
        <v>232234000</v>
      </c>
      <c r="BQ248" s="74">
        <v>6204494.4199999971</v>
      </c>
      <c r="BR248" s="74">
        <v>7048000</v>
      </c>
      <c r="BS248" s="406">
        <f t="shared" si="110"/>
        <v>0.58490798470826644</v>
      </c>
      <c r="BT248" s="406">
        <f t="shared" si="111"/>
        <v>0.33333333333333326</v>
      </c>
      <c r="BU248" s="74">
        <f t="shared" si="112"/>
        <v>80180419.529725358</v>
      </c>
      <c r="BV248" s="316"/>
      <c r="BW248" s="74">
        <v>409622500</v>
      </c>
      <c r="BX248" s="74">
        <v>168983914.70935771</v>
      </c>
      <c r="BY248" s="74">
        <v>289591456.5284785</v>
      </c>
      <c r="BZ248" s="74">
        <v>142435737.98644948</v>
      </c>
      <c r="CA248" s="74">
        <f t="shared" si="113"/>
        <v>-5497885.2655691663</v>
      </c>
      <c r="CB248" s="74">
        <f t="shared" si="114"/>
        <v>183.2193107401084</v>
      </c>
      <c r="CC248" s="74">
        <f t="shared" si="115"/>
        <v>228.92770535390108</v>
      </c>
      <c r="CD248" s="74">
        <f t="shared" si="116"/>
        <v>45.708394613792677</v>
      </c>
      <c r="CE248" s="74">
        <f t="shared" si="117"/>
        <v>-27.838434661487671</v>
      </c>
      <c r="CF248" s="74">
        <f t="shared" si="118"/>
        <v>-13.927101290482851</v>
      </c>
      <c r="CG248" s="74">
        <f t="shared" si="119"/>
        <v>-0.11734028248836548</v>
      </c>
      <c r="CH248" s="74">
        <f t="shared" si="120"/>
        <v>-0.38514482548203544</v>
      </c>
      <c r="CI248" s="74">
        <f t="shared" si="121"/>
        <v>-1802148.9062460659</v>
      </c>
      <c r="CJ248" s="74">
        <f t="shared" si="122"/>
        <v>-901584.82914069784</v>
      </c>
      <c r="CK248" s="74">
        <f t="shared" si="123"/>
        <v>-7596.1405271668273</v>
      </c>
      <c r="CL248" s="74">
        <f t="shared" si="124"/>
        <v>-24932.735422405047</v>
      </c>
      <c r="CM248" s="316"/>
      <c r="CN248" s="74">
        <v>251841.84409178133</v>
      </c>
      <c r="CO248" s="74">
        <v>23259.260247999999</v>
      </c>
    </row>
    <row r="249" spans="1:93" x14ac:dyDescent="0.2">
      <c r="A249" s="74">
        <v>746</v>
      </c>
      <c r="B249" s="74" t="s">
        <v>367</v>
      </c>
      <c r="C249" s="74">
        <v>17</v>
      </c>
      <c r="D249" s="74">
        <v>4781</v>
      </c>
      <c r="E249" s="89">
        <v>16044701.013836544</v>
      </c>
      <c r="F249" s="74">
        <v>5924816.0649918225</v>
      </c>
      <c r="G249" s="74">
        <v>1204336.2109000001</v>
      </c>
      <c r="H249" s="74">
        <v>2438901.7006000001</v>
      </c>
      <c r="I249" s="74">
        <v>7927809.8880436812</v>
      </c>
      <c r="J249" s="74">
        <v>893427.6451361035</v>
      </c>
      <c r="K249" s="74">
        <v>-103915.72865544069</v>
      </c>
      <c r="L249" s="74">
        <v>253578</v>
      </c>
      <c r="M249" s="75">
        <v>45350</v>
      </c>
      <c r="N249" s="75">
        <v>38001.948460151638</v>
      </c>
      <c r="O249" s="178">
        <f t="shared" si="95"/>
        <v>2577604.7156397738</v>
      </c>
      <c r="P249" s="179">
        <f t="shared" si="96"/>
        <v>539.1350586989696</v>
      </c>
      <c r="Q249" s="74"/>
      <c r="R249" s="89">
        <v>37353634.890000001</v>
      </c>
      <c r="S249" s="74">
        <v>13278395.030423371</v>
      </c>
      <c r="T249" s="74">
        <v>3658352.5509000001</v>
      </c>
      <c r="U249" s="74">
        <v>17884951.322538439</v>
      </c>
      <c r="V249" s="74">
        <v>2979701.9299944602</v>
      </c>
      <c r="W249" s="74">
        <v>1503264.2109000001</v>
      </c>
      <c r="X249" s="178">
        <f t="shared" si="97"/>
        <v>1951030.1547562703</v>
      </c>
      <c r="Y249" s="179">
        <f t="shared" si="98"/>
        <v>408.07993197161062</v>
      </c>
      <c r="Z249" s="74"/>
      <c r="AA249" s="84">
        <f t="shared" si="99"/>
        <v>626574.56088350341</v>
      </c>
      <c r="AB249" s="132">
        <f t="shared" si="100"/>
        <v>131.05512672735901</v>
      </c>
      <c r="AD249" s="180">
        <v>-606658.27817700477</v>
      </c>
      <c r="AE249" s="187">
        <v>-541138.28235153307</v>
      </c>
      <c r="AF249" s="187">
        <v>-474628.19750475901</v>
      </c>
      <c r="AG249" s="187">
        <v>-408603.73012553737</v>
      </c>
      <c r="AH249" s="188">
        <v>-341555.93829413288</v>
      </c>
      <c r="AJ249" s="74">
        <f t="shared" si="101"/>
        <v>7353578.9654315487</v>
      </c>
      <c r="AK249" s="74">
        <f t="shared" si="102"/>
        <v>1219450.8503</v>
      </c>
      <c r="AL249" s="74">
        <f t="shared" si="103"/>
        <v>9957141.434494758</v>
      </c>
      <c r="AM249" s="74">
        <f t="shared" si="104"/>
        <v>21308933.876163457</v>
      </c>
      <c r="AN249" s="74">
        <f t="shared" si="105"/>
        <v>-606658.27817700477</v>
      </c>
      <c r="AO249" s="74">
        <f t="shared" si="106"/>
        <v>-541138.28235153307</v>
      </c>
      <c r="AP249" s="74">
        <f t="shared" si="107"/>
        <v>-474628.19750475901</v>
      </c>
      <c r="AQ249" s="74">
        <f t="shared" si="108"/>
        <v>-408603.73012553737</v>
      </c>
      <c r="AR249" s="74">
        <f t="shared" si="109"/>
        <v>-341555.93829413288</v>
      </c>
      <c r="AS249" s="75">
        <v>1157</v>
      </c>
      <c r="AT249" s="75"/>
      <c r="AU249" s="75"/>
      <c r="AV249" s="75">
        <v>0</v>
      </c>
      <c r="AW249" s="75">
        <v>7833.1267028735128</v>
      </c>
      <c r="AX249" s="75">
        <v>-2683.3863800235035</v>
      </c>
      <c r="AY249" s="75">
        <v>2086.2742848583566</v>
      </c>
      <c r="AZ249" s="316"/>
      <c r="BA249" s="74"/>
      <c r="BB249" s="74"/>
      <c r="BC249" s="74"/>
      <c r="BD249" s="74"/>
      <c r="BE249" s="74"/>
      <c r="BF249" s="74"/>
      <c r="BG249" s="74"/>
      <c r="BM249" s="316"/>
      <c r="BN249" s="74">
        <v>16044701.013836544</v>
      </c>
      <c r="BO249" s="74">
        <v>19999788.759999998</v>
      </c>
      <c r="BP249" s="74">
        <v>20266000</v>
      </c>
      <c r="BQ249" s="74">
        <v>574252.98</v>
      </c>
      <c r="BR249" s="74">
        <v>630000</v>
      </c>
      <c r="BS249" s="406">
        <f t="shared" si="110"/>
        <v>0.55380028599714626</v>
      </c>
      <c r="BT249" s="406">
        <f t="shared" si="111"/>
        <v>0.33333333333333337</v>
      </c>
      <c r="BU249" s="74">
        <f t="shared" si="112"/>
        <v>11939499.990697674</v>
      </c>
      <c r="BV249" s="316"/>
      <c r="BW249" s="74">
        <v>37353634.890000001</v>
      </c>
      <c r="BX249" s="74">
        <v>16044701.013836544</v>
      </c>
      <c r="BY249" s="74">
        <v>18141083.792223372</v>
      </c>
      <c r="BZ249" s="74">
        <v>9568053.9764918238</v>
      </c>
      <c r="CA249" s="74">
        <f t="shared" si="113"/>
        <v>-103915.72865544244</v>
      </c>
      <c r="CB249" s="74">
        <f t="shared" si="114"/>
        <v>408.07993197161113</v>
      </c>
      <c r="CC249" s="74">
        <f t="shared" si="115"/>
        <v>539.13505869896915</v>
      </c>
      <c r="CD249" s="74">
        <f t="shared" si="116"/>
        <v>131.05512672735802</v>
      </c>
      <c r="CE249" s="74">
        <f t="shared" si="117"/>
        <v>-113.18516677505301</v>
      </c>
      <c r="CF249" s="74">
        <f t="shared" si="118"/>
        <v>-99.27383340404819</v>
      </c>
      <c r="CG249" s="74">
        <f t="shared" si="119"/>
        <v>-85.464072396053709</v>
      </c>
      <c r="CH249" s="74">
        <f t="shared" si="120"/>
        <v>-71.440271552840045</v>
      </c>
      <c r="CI249" s="74">
        <f t="shared" si="121"/>
        <v>-541138.28235152841</v>
      </c>
      <c r="CJ249" s="74">
        <f t="shared" si="122"/>
        <v>-474628.19750475441</v>
      </c>
      <c r="CK249" s="74">
        <f t="shared" si="123"/>
        <v>-408603.73012553278</v>
      </c>
      <c r="CL249" s="74">
        <f t="shared" si="124"/>
        <v>-341555.93829412828</v>
      </c>
      <c r="CM249" s="316"/>
      <c r="CN249" s="74">
        <v>13612.696277275081</v>
      </c>
      <c r="CO249" s="74">
        <v>3970.3050940000003</v>
      </c>
    </row>
    <row r="250" spans="1:93" x14ac:dyDescent="0.2">
      <c r="A250" s="74">
        <v>747</v>
      </c>
      <c r="B250" s="74" t="s">
        <v>368</v>
      </c>
      <c r="C250" s="74">
        <v>4</v>
      </c>
      <c r="D250" s="74">
        <v>1352</v>
      </c>
      <c r="E250" s="89">
        <v>4860149.7911268678</v>
      </c>
      <c r="F250" s="74">
        <v>1629384.3494442319</v>
      </c>
      <c r="G250" s="74">
        <v>741698.80900000001</v>
      </c>
      <c r="H250" s="74">
        <v>507499.48479999998</v>
      </c>
      <c r="I250" s="74">
        <v>888406.72400397202</v>
      </c>
      <c r="J250" s="74">
        <v>335760.73207856645</v>
      </c>
      <c r="K250" s="74">
        <v>447558.96251326235</v>
      </c>
      <c r="L250" s="74">
        <v>-217484</v>
      </c>
      <c r="M250" s="75">
        <v>7484</v>
      </c>
      <c r="N250" s="75">
        <v>9880.0361911466607</v>
      </c>
      <c r="O250" s="178">
        <f t="shared" si="95"/>
        <v>-509960.69309568778</v>
      </c>
      <c r="P250" s="179">
        <f t="shared" si="96"/>
        <v>-377.18986175716549</v>
      </c>
      <c r="Q250" s="74"/>
      <c r="R250" s="89">
        <v>11076005</v>
      </c>
      <c r="S250" s="74">
        <v>3604516.2375749499</v>
      </c>
      <c r="T250" s="74">
        <v>761249.22719999996</v>
      </c>
      <c r="U250" s="74">
        <v>4908316.8668439873</v>
      </c>
      <c r="V250" s="74">
        <v>1119807.41455392</v>
      </c>
      <c r="W250" s="74">
        <v>531698.80900000001</v>
      </c>
      <c r="X250" s="178">
        <f t="shared" si="97"/>
        <v>-150416.4448271431</v>
      </c>
      <c r="Y250" s="179">
        <f t="shared" si="98"/>
        <v>-111.25476688398159</v>
      </c>
      <c r="Z250" s="74"/>
      <c r="AA250" s="84">
        <f t="shared" si="99"/>
        <v>-359544.24826854467</v>
      </c>
      <c r="AB250" s="132">
        <f t="shared" si="100"/>
        <v>-265.93509487318391</v>
      </c>
      <c r="AD250" s="180">
        <v>365176.29474819038</v>
      </c>
      <c r="AE250" s="187">
        <v>343144.43412406102</v>
      </c>
      <c r="AF250" s="187">
        <v>321392.55684165953</v>
      </c>
      <c r="AG250" s="187">
        <v>299503.35372446809</v>
      </c>
      <c r="AH250" s="188">
        <v>277903.53246449295</v>
      </c>
      <c r="AJ250" s="74">
        <f t="shared" si="101"/>
        <v>1975131.8881307179</v>
      </c>
      <c r="AK250" s="74">
        <f t="shared" si="102"/>
        <v>253749.74239999999</v>
      </c>
      <c r="AL250" s="74">
        <f t="shared" si="103"/>
        <v>4019910.1428400152</v>
      </c>
      <c r="AM250" s="74">
        <f t="shared" si="104"/>
        <v>6215855.2088731322</v>
      </c>
      <c r="AN250" s="74">
        <f t="shared" si="105"/>
        <v>365176.29474819038</v>
      </c>
      <c r="AO250" s="74">
        <f t="shared" si="106"/>
        <v>343144.43412406102</v>
      </c>
      <c r="AP250" s="74">
        <f t="shared" si="107"/>
        <v>321392.55684165953</v>
      </c>
      <c r="AQ250" s="74">
        <f t="shared" si="108"/>
        <v>299503.35372446809</v>
      </c>
      <c r="AR250" s="74">
        <f t="shared" si="109"/>
        <v>277903.53246449295</v>
      </c>
      <c r="AS250" s="75">
        <v>511</v>
      </c>
      <c r="AT250" s="75"/>
      <c r="AU250" s="75"/>
      <c r="AV250" s="75">
        <v>33</v>
      </c>
      <c r="AW250" s="75">
        <v>3075.0864425186774</v>
      </c>
      <c r="AX250" s="75">
        <v>-884.23865980655376</v>
      </c>
      <c r="AY250" s="75">
        <v>784.04668247535358</v>
      </c>
      <c r="AZ250" s="316"/>
      <c r="BA250" s="74"/>
      <c r="BB250" s="74"/>
      <c r="BC250" s="74"/>
      <c r="BD250" s="74"/>
      <c r="BE250" s="74"/>
      <c r="BF250" s="74"/>
      <c r="BG250" s="74"/>
      <c r="BM250" s="316"/>
      <c r="BN250" s="74">
        <v>4860149.7911268678</v>
      </c>
      <c r="BO250" s="74">
        <v>5742077.8800000008</v>
      </c>
      <c r="BP250" s="74">
        <v>6514000</v>
      </c>
      <c r="BQ250" s="74">
        <v>145015.81999999998</v>
      </c>
      <c r="BR250" s="74">
        <v>143000</v>
      </c>
      <c r="BS250" s="406">
        <f t="shared" si="110"/>
        <v>0.54796032475624223</v>
      </c>
      <c r="BT250" s="406">
        <f t="shared" si="111"/>
        <v>0.33333333333333337</v>
      </c>
      <c r="BU250" s="74">
        <f t="shared" si="112"/>
        <v>5251515.7878286308</v>
      </c>
      <c r="BV250" s="316"/>
      <c r="BW250" s="74">
        <v>11076005</v>
      </c>
      <c r="BX250" s="74">
        <v>4860149.7911268678</v>
      </c>
      <c r="BY250" s="74">
        <v>5107464.2737749498</v>
      </c>
      <c r="BZ250" s="74">
        <v>2878582.6432442321</v>
      </c>
      <c r="CA250" s="74">
        <f t="shared" si="113"/>
        <v>447558.96251326194</v>
      </c>
      <c r="CB250" s="74">
        <f t="shared" si="114"/>
        <v>-111.25476688398167</v>
      </c>
      <c r="CC250" s="74">
        <f t="shared" si="115"/>
        <v>-377.18986175716634</v>
      </c>
      <c r="CD250" s="74">
        <f t="shared" si="116"/>
        <v>-265.93509487318465</v>
      </c>
      <c r="CE250" s="74">
        <f t="shared" si="117"/>
        <v>253.80505482548966</v>
      </c>
      <c r="CF250" s="74">
        <f t="shared" si="118"/>
        <v>237.71638819649448</v>
      </c>
      <c r="CG250" s="74">
        <f t="shared" si="119"/>
        <v>221.52614920448897</v>
      </c>
      <c r="CH250" s="74">
        <f t="shared" si="120"/>
        <v>205.54995004770262</v>
      </c>
      <c r="CI250" s="74">
        <f t="shared" si="121"/>
        <v>343144.43412406201</v>
      </c>
      <c r="CJ250" s="74">
        <f t="shared" si="122"/>
        <v>321392.55684166052</v>
      </c>
      <c r="CK250" s="74">
        <f t="shared" si="123"/>
        <v>299503.35372446908</v>
      </c>
      <c r="CL250" s="74">
        <f t="shared" si="124"/>
        <v>277903.53246449394</v>
      </c>
      <c r="CM250" s="316"/>
      <c r="CN250" s="74">
        <v>3613.8189073086492</v>
      </c>
      <c r="CO250" s="74">
        <v>826.16195199999993</v>
      </c>
    </row>
    <row r="251" spans="1:93" x14ac:dyDescent="0.2">
      <c r="A251" s="74">
        <v>748</v>
      </c>
      <c r="B251" s="74" t="s">
        <v>369</v>
      </c>
      <c r="C251" s="74">
        <v>17</v>
      </c>
      <c r="D251" s="74">
        <v>5028</v>
      </c>
      <c r="E251" s="89">
        <v>15075162.552440267</v>
      </c>
      <c r="F251" s="74">
        <v>6938840.1709876675</v>
      </c>
      <c r="G251" s="74">
        <v>1345952.5604000001</v>
      </c>
      <c r="H251" s="74">
        <v>996578.72420000006</v>
      </c>
      <c r="I251" s="74">
        <v>6873675.7563453894</v>
      </c>
      <c r="J251" s="74">
        <v>971872.59839457087</v>
      </c>
      <c r="K251" s="74">
        <v>-665206.94257305388</v>
      </c>
      <c r="L251" s="74">
        <v>87044</v>
      </c>
      <c r="M251" s="75">
        <v>-41300</v>
      </c>
      <c r="N251" s="75">
        <v>40309.659848097814</v>
      </c>
      <c r="O251" s="178">
        <f t="shared" si="95"/>
        <v>1472603.9751624055</v>
      </c>
      <c r="P251" s="179">
        <f t="shared" si="96"/>
        <v>292.88066331790088</v>
      </c>
      <c r="Q251" s="74"/>
      <c r="R251" s="89">
        <v>37756908</v>
      </c>
      <c r="S251" s="74">
        <v>15534187.576015698</v>
      </c>
      <c r="T251" s="74">
        <v>1494868.0863000001</v>
      </c>
      <c r="U251" s="74">
        <v>16711343.195511002</v>
      </c>
      <c r="V251" s="74">
        <v>3241326.4497808078</v>
      </c>
      <c r="W251" s="74">
        <v>1391696.5604000001</v>
      </c>
      <c r="X251" s="178">
        <f t="shared" si="97"/>
        <v>616513.8680075109</v>
      </c>
      <c r="Y251" s="179">
        <f t="shared" si="98"/>
        <v>122.6161233109608</v>
      </c>
      <c r="Z251" s="74"/>
      <c r="AA251" s="84">
        <f t="shared" si="99"/>
        <v>856090.10715489462</v>
      </c>
      <c r="AB251" s="132">
        <f t="shared" si="100"/>
        <v>170.26454000694005</v>
      </c>
      <c r="AD251" s="180">
        <v>-835144.89288000471</v>
      </c>
      <c r="AE251" s="187">
        <v>-766239.94851471053</v>
      </c>
      <c r="AF251" s="187">
        <v>-696293.76432529837</v>
      </c>
      <c r="AG251" s="187">
        <v>-626858.28597710212</v>
      </c>
      <c r="AH251" s="188">
        <v>-556346.61533742375</v>
      </c>
      <c r="AJ251" s="74">
        <f t="shared" si="101"/>
        <v>8595347.4050280303</v>
      </c>
      <c r="AK251" s="74">
        <f t="shared" si="102"/>
        <v>498289.36210000003</v>
      </c>
      <c r="AL251" s="74">
        <f t="shared" si="103"/>
        <v>9837667.4391656127</v>
      </c>
      <c r="AM251" s="74">
        <f t="shared" si="104"/>
        <v>22681745.447559733</v>
      </c>
      <c r="AN251" s="74">
        <f t="shared" si="105"/>
        <v>-835144.89288000471</v>
      </c>
      <c r="AO251" s="74">
        <f t="shared" si="106"/>
        <v>-766239.94851471053</v>
      </c>
      <c r="AP251" s="74">
        <f t="shared" si="107"/>
        <v>-696293.76432529837</v>
      </c>
      <c r="AQ251" s="74">
        <f t="shared" si="108"/>
        <v>-626858.28597710212</v>
      </c>
      <c r="AR251" s="74">
        <f t="shared" si="109"/>
        <v>-556346.61533742375</v>
      </c>
      <c r="AS251" s="75">
        <v>942</v>
      </c>
      <c r="AT251" s="75"/>
      <c r="AU251" s="75"/>
      <c r="AV251" s="75">
        <v>98</v>
      </c>
      <c r="AW251" s="75">
        <v>7810.2514461516685</v>
      </c>
      <c r="AX251" s="75">
        <v>-2442.2162061863028</v>
      </c>
      <c r="AY251" s="75">
        <v>2269.4538513862371</v>
      </c>
      <c r="AZ251" s="316"/>
      <c r="BA251" s="74"/>
      <c r="BB251" s="74"/>
      <c r="BC251" s="74"/>
      <c r="BD251" s="74"/>
      <c r="BE251" s="74"/>
      <c r="BF251" s="74"/>
      <c r="BG251" s="74"/>
      <c r="BM251" s="316"/>
      <c r="BN251" s="74">
        <v>15075162.552440267</v>
      </c>
      <c r="BO251" s="74">
        <v>22995724.569999997</v>
      </c>
      <c r="BP251" s="74">
        <v>19723000</v>
      </c>
      <c r="BQ251" s="74">
        <v>549826.03</v>
      </c>
      <c r="BR251" s="74">
        <v>621000</v>
      </c>
      <c r="BS251" s="406">
        <f t="shared" si="110"/>
        <v>0.55331811612079274</v>
      </c>
      <c r="BT251" s="406">
        <f t="shared" si="111"/>
        <v>0.33333333333333337</v>
      </c>
      <c r="BU251" s="74">
        <f t="shared" si="112"/>
        <v>11441914.347978795</v>
      </c>
      <c r="BV251" s="316"/>
      <c r="BW251" s="74">
        <v>37756908</v>
      </c>
      <c r="BX251" s="74">
        <v>15075162.552440267</v>
      </c>
      <c r="BY251" s="74">
        <v>18375008.222715698</v>
      </c>
      <c r="BZ251" s="74">
        <v>9281371.4555876665</v>
      </c>
      <c r="CA251" s="74">
        <f t="shared" si="113"/>
        <v>-665206.94257305551</v>
      </c>
      <c r="CB251" s="74">
        <f t="shared" si="114"/>
        <v>122.61612331095992</v>
      </c>
      <c r="CC251" s="74">
        <f t="shared" si="115"/>
        <v>292.88066331790031</v>
      </c>
      <c r="CD251" s="74">
        <f t="shared" si="116"/>
        <v>170.26454000694039</v>
      </c>
      <c r="CE251" s="74">
        <f t="shared" si="117"/>
        <v>-152.39458005463538</v>
      </c>
      <c r="CF251" s="74">
        <f t="shared" si="118"/>
        <v>-138.48324668363057</v>
      </c>
      <c r="CG251" s="74">
        <f t="shared" si="119"/>
        <v>-124.67348567563609</v>
      </c>
      <c r="CH251" s="74">
        <f t="shared" si="120"/>
        <v>-110.64968483242242</v>
      </c>
      <c r="CI251" s="74">
        <f t="shared" si="121"/>
        <v>-766239.94851470669</v>
      </c>
      <c r="CJ251" s="74">
        <f t="shared" si="122"/>
        <v>-696293.76432529453</v>
      </c>
      <c r="CK251" s="74">
        <f t="shared" si="123"/>
        <v>-626858.28597709828</v>
      </c>
      <c r="CL251" s="74">
        <f t="shared" si="124"/>
        <v>-556346.61533741991</v>
      </c>
      <c r="CM251" s="316"/>
      <c r="CN251" s="74">
        <v>15760.375482282441</v>
      </c>
      <c r="CO251" s="74">
        <v>1622.337458</v>
      </c>
    </row>
    <row r="252" spans="1:93" x14ac:dyDescent="0.2">
      <c r="A252" s="74">
        <v>749</v>
      </c>
      <c r="B252" s="74" t="s">
        <v>370</v>
      </c>
      <c r="C252" s="74">
        <v>11</v>
      </c>
      <c r="D252" s="74">
        <v>21293</v>
      </c>
      <c r="E252" s="89">
        <v>63409499.738473907</v>
      </c>
      <c r="F252" s="74">
        <v>38243006.344199724</v>
      </c>
      <c r="G252" s="74">
        <v>6072002.1394999996</v>
      </c>
      <c r="H252" s="74">
        <v>3933547.3177999998</v>
      </c>
      <c r="I252" s="74">
        <v>14951326.079860309</v>
      </c>
      <c r="J252" s="74">
        <v>3054612.4103253121</v>
      </c>
      <c r="K252" s="74">
        <v>-2397156.3534561843</v>
      </c>
      <c r="L252" s="74">
        <v>-1847211</v>
      </c>
      <c r="M252" s="75">
        <v>1008900</v>
      </c>
      <c r="N252" s="75">
        <v>224429.59753453435</v>
      </c>
      <c r="O252" s="178">
        <f t="shared" si="95"/>
        <v>-166043.20271021128</v>
      </c>
      <c r="P252" s="179">
        <f t="shared" si="96"/>
        <v>-7.7980182553050899</v>
      </c>
      <c r="Q252" s="74"/>
      <c r="R252" s="89">
        <v>146910814.74000001</v>
      </c>
      <c r="S252" s="74">
        <v>86906311.119665265</v>
      </c>
      <c r="T252" s="74">
        <v>5900320.9766999995</v>
      </c>
      <c r="U252" s="74">
        <v>35776623.390493378</v>
      </c>
      <c r="V252" s="74">
        <v>10187545.173895756</v>
      </c>
      <c r="W252" s="74">
        <v>5233691.1394999996</v>
      </c>
      <c r="X252" s="178">
        <f t="shared" si="97"/>
        <v>-2906322.939745605</v>
      </c>
      <c r="Y252" s="179">
        <f t="shared" si="98"/>
        <v>-136.49194288008289</v>
      </c>
      <c r="Z252" s="74"/>
      <c r="AA252" s="84">
        <f t="shared" si="99"/>
        <v>2740279.7370353937</v>
      </c>
      <c r="AB252" s="132">
        <f t="shared" si="100"/>
        <v>128.69392462477779</v>
      </c>
      <c r="AD252" s="180">
        <v>-2651579.1706958553</v>
      </c>
      <c r="AE252" s="187">
        <v>-2359774.6797709926</v>
      </c>
      <c r="AF252" s="187">
        <v>-2063560.658302187</v>
      </c>
      <c r="AG252" s="187">
        <v>-1769509.4171589606</v>
      </c>
      <c r="AH252" s="188">
        <v>-1470900.6258044119</v>
      </c>
      <c r="AJ252" s="74">
        <f t="shared" si="101"/>
        <v>48663304.775465541</v>
      </c>
      <c r="AK252" s="74">
        <f t="shared" si="102"/>
        <v>1966773.6588999997</v>
      </c>
      <c r="AL252" s="74">
        <f t="shared" si="103"/>
        <v>20825297.310633071</v>
      </c>
      <c r="AM252" s="74">
        <f t="shared" si="104"/>
        <v>83501315.001526102</v>
      </c>
      <c r="AN252" s="74">
        <f t="shared" si="105"/>
        <v>-2651579.1706958553</v>
      </c>
      <c r="AO252" s="74">
        <f t="shared" si="106"/>
        <v>-2359774.6797709926</v>
      </c>
      <c r="AP252" s="74">
        <f t="shared" si="107"/>
        <v>-2063560.658302187</v>
      </c>
      <c r="AQ252" s="74">
        <f t="shared" si="108"/>
        <v>-1769509.4171589606</v>
      </c>
      <c r="AR252" s="74">
        <f t="shared" si="109"/>
        <v>-1470900.6258044119</v>
      </c>
      <c r="AS252" s="75">
        <v>6832</v>
      </c>
      <c r="AT252" s="75"/>
      <c r="AU252" s="75"/>
      <c r="AV252" s="75">
        <v>307</v>
      </c>
      <c r="AW252" s="75">
        <v>21051.886529533502</v>
      </c>
      <c r="AX252" s="75">
        <v>-924.8242643793368</v>
      </c>
      <c r="AY252" s="75">
        <v>7132.932763570444</v>
      </c>
      <c r="AZ252" s="316"/>
      <c r="BA252" s="74"/>
      <c r="BB252" s="74"/>
      <c r="BC252" s="74"/>
      <c r="BD252" s="74"/>
      <c r="BE252" s="74"/>
      <c r="BF252" s="74"/>
      <c r="BG252" s="74"/>
      <c r="BM252" s="316"/>
      <c r="BN252" s="74">
        <v>63409499.738473907</v>
      </c>
      <c r="BO252" s="74">
        <v>75990931.269999951</v>
      </c>
      <c r="BP252" s="74">
        <v>82911000</v>
      </c>
      <c r="BQ252" s="74">
        <v>1688178.1800000002</v>
      </c>
      <c r="BR252" s="74">
        <v>2020000</v>
      </c>
      <c r="BS252" s="406">
        <f t="shared" si="110"/>
        <v>0.55995133320592583</v>
      </c>
      <c r="BT252" s="406">
        <f t="shared" si="111"/>
        <v>0.33333333333333326</v>
      </c>
      <c r="BU252" s="74">
        <f t="shared" si="112"/>
        <v>25561073.720747326</v>
      </c>
      <c r="BV252" s="316"/>
      <c r="BW252" s="74">
        <v>146910814.74000001</v>
      </c>
      <c r="BX252" s="74">
        <v>63409499.738473907</v>
      </c>
      <c r="BY252" s="74">
        <v>98878634.235865265</v>
      </c>
      <c r="BZ252" s="74">
        <v>48248555.801499724</v>
      </c>
      <c r="CA252" s="74">
        <f t="shared" si="113"/>
        <v>-2397156.3534561978</v>
      </c>
      <c r="CB252" s="74">
        <f t="shared" si="114"/>
        <v>-136.49194288008314</v>
      </c>
      <c r="CC252" s="74">
        <f t="shared" si="115"/>
        <v>-7.798018255305732</v>
      </c>
      <c r="CD252" s="74">
        <f t="shared" si="116"/>
        <v>128.69392462477742</v>
      </c>
      <c r="CE252" s="74">
        <f t="shared" si="117"/>
        <v>-110.82396467247241</v>
      </c>
      <c r="CF252" s="74">
        <f t="shared" si="118"/>
        <v>-96.912631301467599</v>
      </c>
      <c r="CG252" s="74">
        <f t="shared" si="119"/>
        <v>-83.102870293473117</v>
      </c>
      <c r="CH252" s="74">
        <f t="shared" si="120"/>
        <v>-69.079069450259453</v>
      </c>
      <c r="CI252" s="74">
        <f t="shared" si="121"/>
        <v>-2359774.6797709549</v>
      </c>
      <c r="CJ252" s="74">
        <f t="shared" si="122"/>
        <v>-2063560.6583021495</v>
      </c>
      <c r="CK252" s="74">
        <f t="shared" si="123"/>
        <v>-1769509.4171589231</v>
      </c>
      <c r="CL252" s="74">
        <f t="shared" si="124"/>
        <v>-1470900.6258043745</v>
      </c>
      <c r="CM252" s="316"/>
      <c r="CN252" s="74">
        <v>87487.048323805138</v>
      </c>
      <c r="CO252" s="74">
        <v>6403.449122</v>
      </c>
    </row>
    <row r="253" spans="1:93" x14ac:dyDescent="0.2">
      <c r="A253" s="74">
        <v>751</v>
      </c>
      <c r="B253" s="74" t="s">
        <v>371</v>
      </c>
      <c r="C253" s="74">
        <v>19</v>
      </c>
      <c r="D253" s="74">
        <v>2904</v>
      </c>
      <c r="E253" s="89">
        <v>9228803.5057918541</v>
      </c>
      <c r="F253" s="74">
        <v>4882095.9612776143</v>
      </c>
      <c r="G253" s="74">
        <v>2314145.1100000003</v>
      </c>
      <c r="H253" s="74">
        <v>246192.98259999999</v>
      </c>
      <c r="I253" s="74">
        <v>2464179.1781713986</v>
      </c>
      <c r="J253" s="74">
        <v>530114.65807411843</v>
      </c>
      <c r="K253" s="74">
        <v>54004.000961878512</v>
      </c>
      <c r="L253" s="74">
        <v>335936</v>
      </c>
      <c r="M253" s="75">
        <v>-70000</v>
      </c>
      <c r="N253" s="75">
        <v>28497.109788417536</v>
      </c>
      <c r="O253" s="178">
        <f t="shared" si="95"/>
        <v>1556361.4950815737</v>
      </c>
      <c r="P253" s="179">
        <f t="shared" si="96"/>
        <v>535.93715395370998</v>
      </c>
      <c r="Q253" s="74"/>
      <c r="R253" s="89">
        <v>22631000</v>
      </c>
      <c r="S253" s="74">
        <v>11187790.144604618</v>
      </c>
      <c r="T253" s="74">
        <v>369289.47389999998</v>
      </c>
      <c r="U253" s="74">
        <v>8020276.7512752758</v>
      </c>
      <c r="V253" s="74">
        <v>1768004.0217931382</v>
      </c>
      <c r="W253" s="74">
        <v>2580081.1100000003</v>
      </c>
      <c r="X253" s="178">
        <f t="shared" si="97"/>
        <v>1294441.5015730336</v>
      </c>
      <c r="Y253" s="179">
        <f t="shared" si="98"/>
        <v>445.74431872349641</v>
      </c>
      <c r="Z253" s="74"/>
      <c r="AA253" s="84">
        <f t="shared" si="99"/>
        <v>261919.99350854009</v>
      </c>
      <c r="AB253" s="132">
        <f t="shared" si="100"/>
        <v>90.192835230213532</v>
      </c>
      <c r="AD253" s="180">
        <v>-249822.75757889068</v>
      </c>
      <c r="AE253" s="187">
        <v>-210025.62980705011</v>
      </c>
      <c r="AF253" s="187">
        <v>-169627.11769765211</v>
      </c>
      <c r="AG253" s="187">
        <v>-129523.57173043613</v>
      </c>
      <c r="AH253" s="188">
        <v>-88798.454081743694</v>
      </c>
      <c r="AJ253" s="74">
        <f t="shared" si="101"/>
        <v>6305694.1833270034</v>
      </c>
      <c r="AK253" s="74">
        <f t="shared" si="102"/>
        <v>123096.49129999999</v>
      </c>
      <c r="AL253" s="74">
        <f t="shared" si="103"/>
        <v>5556097.5731038768</v>
      </c>
      <c r="AM253" s="74">
        <f t="shared" si="104"/>
        <v>13402196.494208146</v>
      </c>
      <c r="AN253" s="74">
        <f t="shared" si="105"/>
        <v>-249822.75757889068</v>
      </c>
      <c r="AO253" s="74">
        <f t="shared" si="106"/>
        <v>-210025.62980705011</v>
      </c>
      <c r="AP253" s="74">
        <f t="shared" si="107"/>
        <v>-169627.11769765211</v>
      </c>
      <c r="AQ253" s="74">
        <f t="shared" si="108"/>
        <v>-129523.57173043613</v>
      </c>
      <c r="AR253" s="74">
        <f t="shared" si="109"/>
        <v>-88798.454081743694</v>
      </c>
      <c r="AS253" s="75">
        <v>1363</v>
      </c>
      <c r="AT253" s="75"/>
      <c r="AU253" s="75"/>
      <c r="AV253" s="75">
        <v>0</v>
      </c>
      <c r="AW253" s="75">
        <v>5251.7471895506651</v>
      </c>
      <c r="AX253" s="75">
        <v>-603.53294665609633</v>
      </c>
      <c r="AY253" s="75">
        <v>1237.8893637190199</v>
      </c>
      <c r="AZ253" s="316"/>
      <c r="BA253" s="74"/>
      <c r="BB253" s="74"/>
      <c r="BC253" s="74"/>
      <c r="BD253" s="74"/>
      <c r="BE253" s="74"/>
      <c r="BF253" s="74"/>
      <c r="BG253" s="74"/>
      <c r="BM253" s="316"/>
      <c r="BN253" s="74">
        <v>9228803.5057918541</v>
      </c>
      <c r="BO253" s="74">
        <v>12528495.720000003</v>
      </c>
      <c r="BP253" s="74">
        <v>12210000</v>
      </c>
      <c r="BQ253" s="74">
        <v>232562.91999999998</v>
      </c>
      <c r="BR253" s="74">
        <v>359000</v>
      </c>
      <c r="BS253" s="406">
        <f t="shared" si="110"/>
        <v>0.56362285150369607</v>
      </c>
      <c r="BT253" s="406">
        <f t="shared" si="111"/>
        <v>0.33333333333333337</v>
      </c>
      <c r="BU253" s="74">
        <f t="shared" si="112"/>
        <v>6847990.9377847742</v>
      </c>
      <c r="BV253" s="316"/>
      <c r="BW253" s="74">
        <v>22631000</v>
      </c>
      <c r="BX253" s="74">
        <v>9228803.5057918541</v>
      </c>
      <c r="BY253" s="74">
        <v>13871224.728504617</v>
      </c>
      <c r="BZ253" s="74">
        <v>7442434.0538776144</v>
      </c>
      <c r="CA253" s="74">
        <f t="shared" si="113"/>
        <v>54004.00096187603</v>
      </c>
      <c r="CB253" s="74">
        <f t="shared" si="114"/>
        <v>445.74431872349578</v>
      </c>
      <c r="CC253" s="74">
        <f t="shared" si="115"/>
        <v>535.93715395370907</v>
      </c>
      <c r="CD253" s="74">
        <f t="shared" si="116"/>
        <v>90.192835230213291</v>
      </c>
      <c r="CE253" s="74">
        <f t="shared" si="117"/>
        <v>-72.322875277908281</v>
      </c>
      <c r="CF253" s="74">
        <f t="shared" si="118"/>
        <v>-58.411541906903466</v>
      </c>
      <c r="CG253" s="74">
        <f t="shared" si="119"/>
        <v>-44.601780898908977</v>
      </c>
      <c r="CH253" s="74">
        <f t="shared" si="120"/>
        <v>-30.577980055695328</v>
      </c>
      <c r="CI253" s="74">
        <f t="shared" si="121"/>
        <v>-210025.62980704565</v>
      </c>
      <c r="CJ253" s="74">
        <f t="shared" si="122"/>
        <v>-169627.11769764766</v>
      </c>
      <c r="CK253" s="74">
        <f t="shared" si="123"/>
        <v>-129523.57173043166</v>
      </c>
      <c r="CL253" s="74">
        <f t="shared" si="124"/>
        <v>-88798.454081739226</v>
      </c>
      <c r="CM253" s="316"/>
      <c r="CN253" s="74">
        <v>11292.785938494984</v>
      </c>
      <c r="CO253" s="74">
        <v>400.77927400000004</v>
      </c>
    </row>
    <row r="254" spans="1:93" x14ac:dyDescent="0.2">
      <c r="A254" s="74">
        <v>753</v>
      </c>
      <c r="B254" s="74" t="s">
        <v>372</v>
      </c>
      <c r="C254" s="74">
        <v>34</v>
      </c>
      <c r="D254" s="74">
        <v>22190</v>
      </c>
      <c r="E254" s="89">
        <v>71145915.213497177</v>
      </c>
      <c r="F254" s="74">
        <v>34644800.971527241</v>
      </c>
      <c r="G254" s="74">
        <v>10443591.409</v>
      </c>
      <c r="H254" s="74">
        <v>3987910.9880000004</v>
      </c>
      <c r="I254" s="74">
        <v>11772217.529704031</v>
      </c>
      <c r="J254" s="74">
        <v>2431196.974779631</v>
      </c>
      <c r="K254" s="74">
        <v>5432032.9815578219</v>
      </c>
      <c r="L254" s="74">
        <v>-2152662</v>
      </c>
      <c r="M254" s="75">
        <v>-560700</v>
      </c>
      <c r="N254" s="75">
        <v>293878.3183497198</v>
      </c>
      <c r="O254" s="178">
        <f t="shared" si="95"/>
        <v>-4853648.0405787304</v>
      </c>
      <c r="P254" s="179">
        <f t="shared" si="96"/>
        <v>-218.73132224329564</v>
      </c>
      <c r="Q254" s="74"/>
      <c r="R254" s="89">
        <v>135742156</v>
      </c>
      <c r="S254" s="74">
        <v>98948171.99621971</v>
      </c>
      <c r="T254" s="74">
        <v>5981866.4820000008</v>
      </c>
      <c r="U254" s="74">
        <v>13270018.376303587</v>
      </c>
      <c r="V254" s="74">
        <v>8108370.4510217858</v>
      </c>
      <c r="W254" s="74">
        <v>7730229.409</v>
      </c>
      <c r="X254" s="178">
        <f t="shared" si="97"/>
        <v>-1703499.285454914</v>
      </c>
      <c r="Y254" s="179">
        <f t="shared" si="98"/>
        <v>-76.768782580212431</v>
      </c>
      <c r="Z254" s="74"/>
      <c r="AA254" s="84">
        <f t="shared" si="99"/>
        <v>-3150148.7551238164</v>
      </c>
      <c r="AB254" s="132">
        <f t="shared" si="100"/>
        <v>-141.96253966308322</v>
      </c>
      <c r="AD254" s="180">
        <v>3242585.9676854643</v>
      </c>
      <c r="AE254" s="187">
        <v>2880983.166465472</v>
      </c>
      <c r="AF254" s="187">
        <v>2523975.6539680688</v>
      </c>
      <c r="AG254" s="187">
        <v>2164714.2507354664</v>
      </c>
      <c r="AH254" s="188">
        <v>1810202.3914463774</v>
      </c>
      <c r="AJ254" s="74">
        <f t="shared" si="101"/>
        <v>64303371.024692468</v>
      </c>
      <c r="AK254" s="74">
        <f t="shared" si="102"/>
        <v>1993955.4940000004</v>
      </c>
      <c r="AL254" s="74">
        <f t="shared" si="103"/>
        <v>1497800.8465995565</v>
      </c>
      <c r="AM254" s="74">
        <f t="shared" si="104"/>
        <v>64596240.786502823</v>
      </c>
      <c r="AN254" s="74">
        <f t="shared" si="105"/>
        <v>3242585.9676854643</v>
      </c>
      <c r="AO254" s="74">
        <f t="shared" si="106"/>
        <v>2880983.166465472</v>
      </c>
      <c r="AP254" s="74">
        <f t="shared" si="107"/>
        <v>2523975.6539680688</v>
      </c>
      <c r="AQ254" s="74">
        <f t="shared" si="108"/>
        <v>2164714.2507354664</v>
      </c>
      <c r="AR254" s="74">
        <f t="shared" si="109"/>
        <v>1810202.3914463774</v>
      </c>
      <c r="AS254" s="75">
        <v>14771</v>
      </c>
      <c r="AT254" s="75"/>
      <c r="AU254" s="75"/>
      <c r="AV254" s="75">
        <v>2</v>
      </c>
      <c r="AW254" s="75">
        <v>7977.8263205002531</v>
      </c>
      <c r="AX254" s="75">
        <v>5999.1917620714448</v>
      </c>
      <c r="AY254" s="75">
        <v>5677.1734762421547</v>
      </c>
      <c r="AZ254" s="316"/>
      <c r="BA254" s="74"/>
      <c r="BB254" s="74"/>
      <c r="BC254" s="74"/>
      <c r="BD254" s="74"/>
      <c r="BE254" s="74"/>
      <c r="BF254" s="74"/>
      <c r="BG254" s="74"/>
      <c r="BM254" s="316"/>
      <c r="BN254" s="74">
        <v>71145915.213497177</v>
      </c>
      <c r="BO254" s="74">
        <v>59890013.310000002</v>
      </c>
      <c r="BP254" s="74">
        <v>65930000</v>
      </c>
      <c r="BQ254" s="74">
        <v>2442219.66</v>
      </c>
      <c r="BR254" s="74">
        <v>2392000</v>
      </c>
      <c r="BS254" s="406">
        <f t="shared" si="110"/>
        <v>0.64986921665565656</v>
      </c>
      <c r="BT254" s="406">
        <f t="shared" si="111"/>
        <v>0.33333333333333337</v>
      </c>
      <c r="BU254" s="74">
        <f t="shared" si="112"/>
        <v>12607007.304399533</v>
      </c>
      <c r="BV254" s="316"/>
      <c r="BW254" s="74">
        <v>135742156</v>
      </c>
      <c r="BX254" s="74">
        <v>71145915.213497177</v>
      </c>
      <c r="BY254" s="74">
        <v>115373629.88721971</v>
      </c>
      <c r="BZ254" s="74">
        <v>49076303.368527241</v>
      </c>
      <c r="CA254" s="74">
        <f t="shared" si="113"/>
        <v>5432032.9815578144</v>
      </c>
      <c r="CB254" s="74">
        <f t="shared" si="114"/>
        <v>-76.768782580212516</v>
      </c>
      <c r="CC254" s="74">
        <f t="shared" si="115"/>
        <v>-218.73132224329586</v>
      </c>
      <c r="CD254" s="74">
        <f t="shared" si="116"/>
        <v>-141.96253966308336</v>
      </c>
      <c r="CE254" s="74">
        <f t="shared" si="117"/>
        <v>129.83249961538837</v>
      </c>
      <c r="CF254" s="74">
        <f t="shared" si="118"/>
        <v>113.74383298639319</v>
      </c>
      <c r="CG254" s="74">
        <f t="shared" si="119"/>
        <v>97.553593994387668</v>
      </c>
      <c r="CH254" s="74">
        <f t="shared" si="120"/>
        <v>81.577394837601332</v>
      </c>
      <c r="CI254" s="74">
        <f t="shared" si="121"/>
        <v>2880983.1664654678</v>
      </c>
      <c r="CJ254" s="74">
        <f t="shared" si="122"/>
        <v>2523975.653968065</v>
      </c>
      <c r="CK254" s="74">
        <f t="shared" si="123"/>
        <v>2164714.2507354622</v>
      </c>
      <c r="CL254" s="74">
        <f t="shared" si="124"/>
        <v>1810202.3914463737</v>
      </c>
      <c r="CM254" s="316"/>
      <c r="CN254" s="74">
        <v>104352.70281575003</v>
      </c>
      <c r="CO254" s="74">
        <v>6491.9481200000009</v>
      </c>
    </row>
    <row r="255" spans="1:93" x14ac:dyDescent="0.2">
      <c r="A255" s="74">
        <v>755</v>
      </c>
      <c r="B255" s="74" t="s">
        <v>373</v>
      </c>
      <c r="C255" s="74">
        <v>33</v>
      </c>
      <c r="D255" s="74">
        <v>6198</v>
      </c>
      <c r="E255" s="89">
        <v>16970861.343111482</v>
      </c>
      <c r="F255" s="74">
        <v>11924042.929704802</v>
      </c>
      <c r="G255" s="74">
        <v>2433686.1829999997</v>
      </c>
      <c r="H255" s="74">
        <v>661815.09840000002</v>
      </c>
      <c r="I255" s="74">
        <v>3358003.7291035578</v>
      </c>
      <c r="J255" s="74">
        <v>907125.96040166076</v>
      </c>
      <c r="K255" s="74">
        <v>464360.05994844204</v>
      </c>
      <c r="L255" s="74">
        <v>-1526827</v>
      </c>
      <c r="M255" s="75">
        <v>-131900</v>
      </c>
      <c r="N255" s="75">
        <v>76200.626389369601</v>
      </c>
      <c r="O255" s="178">
        <f t="shared" si="95"/>
        <v>1195646.2438363507</v>
      </c>
      <c r="P255" s="179">
        <f t="shared" si="96"/>
        <v>192.90839687582297</v>
      </c>
      <c r="Q255" s="74"/>
      <c r="R255" s="89">
        <v>36680901</v>
      </c>
      <c r="S255" s="74">
        <v>28783576.09431443</v>
      </c>
      <c r="T255" s="74">
        <v>992722.64760000003</v>
      </c>
      <c r="U255" s="74">
        <v>5111000.0321626039</v>
      </c>
      <c r="V255" s="74">
        <v>3025387.6625287775</v>
      </c>
      <c r="W255" s="74">
        <v>774959.18299999973</v>
      </c>
      <c r="X255" s="178">
        <f t="shared" si="97"/>
        <v>2006744.6196058095</v>
      </c>
      <c r="Y255" s="179">
        <f t="shared" si="98"/>
        <v>323.77292991381245</v>
      </c>
      <c r="Z255" s="74"/>
      <c r="AA255" s="84">
        <f t="shared" si="99"/>
        <v>-811098.37576945871</v>
      </c>
      <c r="AB255" s="132">
        <f t="shared" si="100"/>
        <v>-130.86453303798947</v>
      </c>
      <c r="AD255" s="180">
        <v>836917.47642097063</v>
      </c>
      <c r="AE255" s="187">
        <v>735916.38755384518</v>
      </c>
      <c r="AF255" s="187">
        <v>636198.83178733301</v>
      </c>
      <c r="AG255" s="187">
        <v>535851.73051488283</v>
      </c>
      <c r="AH255" s="188">
        <v>436831.24814112112</v>
      </c>
      <c r="AJ255" s="74">
        <f t="shared" si="101"/>
        <v>16859533.164609626</v>
      </c>
      <c r="AK255" s="74">
        <f t="shared" si="102"/>
        <v>330907.54920000001</v>
      </c>
      <c r="AL255" s="74">
        <f t="shared" si="103"/>
        <v>1752996.3030590462</v>
      </c>
      <c r="AM255" s="74">
        <f t="shared" si="104"/>
        <v>19710039.656888518</v>
      </c>
      <c r="AN255" s="74">
        <f t="shared" si="105"/>
        <v>836917.47642097063</v>
      </c>
      <c r="AO255" s="74">
        <f t="shared" si="106"/>
        <v>735916.38755384518</v>
      </c>
      <c r="AP255" s="74">
        <f t="shared" si="107"/>
        <v>636198.83178733301</v>
      </c>
      <c r="AQ255" s="74">
        <f t="shared" si="108"/>
        <v>535851.73051488283</v>
      </c>
      <c r="AR255" s="74">
        <f t="shared" si="109"/>
        <v>436831.24814112112</v>
      </c>
      <c r="AS255" s="75">
        <v>1642</v>
      </c>
      <c r="AT255" s="75"/>
      <c r="AU255" s="75"/>
      <c r="AV255" s="75">
        <v>45</v>
      </c>
      <c r="AW255" s="75">
        <v>2264.9219152201572</v>
      </c>
      <c r="AX255" s="75">
        <v>1010.7616083054199</v>
      </c>
      <c r="AY255" s="75">
        <v>2118.2617021271167</v>
      </c>
      <c r="AZ255" s="316"/>
      <c r="BA255" s="74"/>
      <c r="BB255" s="74"/>
      <c r="BC255" s="74"/>
      <c r="BD255" s="74"/>
      <c r="BE255" s="74"/>
      <c r="BF255" s="74"/>
      <c r="BG255" s="74"/>
      <c r="BM255" s="316"/>
      <c r="BN255" s="74">
        <v>16970861.343111482</v>
      </c>
      <c r="BO255" s="74">
        <v>18612330.360000003</v>
      </c>
      <c r="BP255" s="74">
        <v>17903000</v>
      </c>
      <c r="BQ255" s="74">
        <v>421439.44</v>
      </c>
      <c r="BR255" s="74">
        <v>444000</v>
      </c>
      <c r="BS255" s="406">
        <f t="shared" si="110"/>
        <v>0.58573448654769</v>
      </c>
      <c r="BT255" s="406">
        <f t="shared" si="111"/>
        <v>0.33333333333333337</v>
      </c>
      <c r="BU255" s="74">
        <f t="shared" si="112"/>
        <v>4335618.0651346054</v>
      </c>
      <c r="BV255" s="316"/>
      <c r="BW255" s="74">
        <v>36680901</v>
      </c>
      <c r="BX255" s="74">
        <v>16970861.343111482</v>
      </c>
      <c r="BY255" s="74">
        <v>32209984.924914427</v>
      </c>
      <c r="BZ255" s="74">
        <v>15019544.211104803</v>
      </c>
      <c r="CA255" s="74">
        <f t="shared" si="113"/>
        <v>464360.05994843692</v>
      </c>
      <c r="CB255" s="74">
        <f t="shared" si="114"/>
        <v>323.77292991381267</v>
      </c>
      <c r="CC255" s="74">
        <f t="shared" si="115"/>
        <v>192.90839687582209</v>
      </c>
      <c r="CD255" s="74">
        <f t="shared" si="116"/>
        <v>-130.86453303799058</v>
      </c>
      <c r="CE255" s="74">
        <f t="shared" si="117"/>
        <v>118.73449299029559</v>
      </c>
      <c r="CF255" s="74">
        <f t="shared" si="118"/>
        <v>102.64582636130041</v>
      </c>
      <c r="CG255" s="74">
        <f t="shared" si="119"/>
        <v>86.455587369294889</v>
      </c>
      <c r="CH255" s="74">
        <f t="shared" si="120"/>
        <v>70.479388212508553</v>
      </c>
      <c r="CI255" s="74">
        <f t="shared" si="121"/>
        <v>735916.38755385205</v>
      </c>
      <c r="CJ255" s="74">
        <f t="shared" si="122"/>
        <v>636198.83178733988</v>
      </c>
      <c r="CK255" s="74">
        <f t="shared" si="123"/>
        <v>535851.7305148897</v>
      </c>
      <c r="CL255" s="74">
        <f t="shared" si="124"/>
        <v>436831.24814112799</v>
      </c>
      <c r="CM255" s="316"/>
      <c r="CN255" s="74">
        <v>30195.555912915665</v>
      </c>
      <c r="CO255" s="74">
        <v>1077.3734160000001</v>
      </c>
    </row>
    <row r="256" spans="1:93" x14ac:dyDescent="0.2">
      <c r="A256" s="74">
        <v>758</v>
      </c>
      <c r="B256" s="74" t="s">
        <v>374</v>
      </c>
      <c r="C256" s="74">
        <v>19</v>
      </c>
      <c r="D256" s="74">
        <v>8187</v>
      </c>
      <c r="E256" s="89">
        <v>26298156.586546883</v>
      </c>
      <c r="F256" s="74">
        <v>12678682.344658602</v>
      </c>
      <c r="G256" s="74">
        <v>8134819.0200000005</v>
      </c>
      <c r="H256" s="74">
        <v>2396061.1617999999</v>
      </c>
      <c r="I256" s="74">
        <v>7495118.5943068881</v>
      </c>
      <c r="J256" s="74">
        <v>1512888.4701242629</v>
      </c>
      <c r="K256" s="74">
        <v>-3690454.1879474381</v>
      </c>
      <c r="L256" s="74">
        <v>-1098117</v>
      </c>
      <c r="M256" s="75">
        <v>1704300</v>
      </c>
      <c r="N256" s="75">
        <v>84717.407014825032</v>
      </c>
      <c r="O256" s="178">
        <f t="shared" si="95"/>
        <v>2919859.2234102562</v>
      </c>
      <c r="P256" s="179">
        <f t="shared" si="96"/>
        <v>356.64580718337072</v>
      </c>
      <c r="Q256" s="74"/>
      <c r="R256" s="89">
        <v>70312992</v>
      </c>
      <c r="S256" s="74">
        <v>30592431.177151922</v>
      </c>
      <c r="T256" s="74">
        <v>3594091.7427000003</v>
      </c>
      <c r="U256" s="74">
        <v>23348661.589468494</v>
      </c>
      <c r="V256" s="74">
        <v>5045687.4922522651</v>
      </c>
      <c r="W256" s="74">
        <v>8741002.0199999996</v>
      </c>
      <c r="X256" s="178">
        <f t="shared" si="97"/>
        <v>1008882.0215726793</v>
      </c>
      <c r="Y256" s="179">
        <f t="shared" si="98"/>
        <v>123.22975712381572</v>
      </c>
      <c r="Z256" s="74"/>
      <c r="AA256" s="84">
        <f t="shared" si="99"/>
        <v>1910977.2018375769</v>
      </c>
      <c r="AB256" s="132">
        <f t="shared" si="100"/>
        <v>233.416050059555</v>
      </c>
      <c r="AD256" s="180">
        <v>-1876872.4943458205</v>
      </c>
      <c r="AE256" s="187">
        <v>-1764675.8397080593</v>
      </c>
      <c r="AF256" s="187">
        <v>-1650783.7533996431</v>
      </c>
      <c r="AG256" s="187">
        <v>-1537723.240027192</v>
      </c>
      <c r="AH256" s="188">
        <v>-1422910.3825238019</v>
      </c>
      <c r="AJ256" s="74">
        <f t="shared" si="101"/>
        <v>17913748.83249332</v>
      </c>
      <c r="AK256" s="74">
        <f t="shared" si="102"/>
        <v>1198030.5809000004</v>
      </c>
      <c r="AL256" s="74">
        <f t="shared" si="103"/>
        <v>15853542.995161606</v>
      </c>
      <c r="AM256" s="74">
        <f t="shared" si="104"/>
        <v>44014835.413453117</v>
      </c>
      <c r="AN256" s="74">
        <f t="shared" si="105"/>
        <v>-1876872.4943458205</v>
      </c>
      <c r="AO256" s="74">
        <f t="shared" si="106"/>
        <v>-1764675.8397080593</v>
      </c>
      <c r="AP256" s="74">
        <f t="shared" si="107"/>
        <v>-1650783.7533996431</v>
      </c>
      <c r="AQ256" s="74">
        <f t="shared" si="108"/>
        <v>-1537723.240027192</v>
      </c>
      <c r="AR256" s="74">
        <f t="shared" si="109"/>
        <v>-1422910.3825238019</v>
      </c>
      <c r="AS256" s="75">
        <v>4203</v>
      </c>
      <c r="AT256" s="75"/>
      <c r="AU256" s="75"/>
      <c r="AV256" s="75">
        <v>184</v>
      </c>
      <c r="AW256" s="75">
        <v>15098.30438057711</v>
      </c>
      <c r="AX256" s="75">
        <v>-209.46495972533924</v>
      </c>
      <c r="AY256" s="75">
        <v>3532.7990221280024</v>
      </c>
      <c r="AZ256" s="316"/>
      <c r="BA256" s="74"/>
      <c r="BB256" s="74"/>
      <c r="BC256" s="74"/>
      <c r="BD256" s="74"/>
      <c r="BE256" s="74"/>
      <c r="BF256" s="74"/>
      <c r="BG256" s="74"/>
      <c r="BM256" s="316"/>
      <c r="BN256" s="74">
        <v>26298156.586546883</v>
      </c>
      <c r="BO256" s="74">
        <v>40900343.770000011</v>
      </c>
      <c r="BP256" s="74">
        <v>38999000</v>
      </c>
      <c r="BQ256" s="74">
        <v>818708</v>
      </c>
      <c r="BR256" s="74">
        <v>949000</v>
      </c>
      <c r="BS256" s="406">
        <f t="shared" si="110"/>
        <v>0.58556146547359966</v>
      </c>
      <c r="BT256" s="406">
        <f t="shared" si="111"/>
        <v>0.33333333333333337</v>
      </c>
      <c r="BU256" s="74">
        <f t="shared" si="112"/>
        <v>15695887.829342172</v>
      </c>
      <c r="BV256" s="316"/>
      <c r="BW256" s="74">
        <v>70312992</v>
      </c>
      <c r="BX256" s="74">
        <v>26298156.586546883</v>
      </c>
      <c r="BY256" s="74">
        <v>42321341.939851925</v>
      </c>
      <c r="BZ256" s="74">
        <v>23209562.526458602</v>
      </c>
      <c r="CA256" s="74">
        <f t="shared" si="113"/>
        <v>-3690454.187947446</v>
      </c>
      <c r="CB256" s="74">
        <f t="shared" si="114"/>
        <v>123.22975712381583</v>
      </c>
      <c r="CC256" s="74">
        <f t="shared" si="115"/>
        <v>356.64580718336993</v>
      </c>
      <c r="CD256" s="74">
        <f t="shared" si="116"/>
        <v>233.4160500595541</v>
      </c>
      <c r="CE256" s="74">
        <f t="shared" si="117"/>
        <v>-215.54609010724909</v>
      </c>
      <c r="CF256" s="74">
        <f t="shared" si="118"/>
        <v>-201.63475673624427</v>
      </c>
      <c r="CG256" s="74">
        <f t="shared" si="119"/>
        <v>-187.82499572824977</v>
      </c>
      <c r="CH256" s="74">
        <f t="shared" si="120"/>
        <v>-173.80119488503613</v>
      </c>
      <c r="CI256" s="74">
        <f t="shared" si="121"/>
        <v>-1764675.8397080482</v>
      </c>
      <c r="CJ256" s="74">
        <f t="shared" si="122"/>
        <v>-1650783.7533996319</v>
      </c>
      <c r="CK256" s="74">
        <f t="shared" si="123"/>
        <v>-1537723.2400271809</v>
      </c>
      <c r="CL256" s="74">
        <f t="shared" si="124"/>
        <v>-1422910.3825237907</v>
      </c>
      <c r="CM256" s="316"/>
      <c r="CN256" s="74">
        <v>30860.338157880327</v>
      </c>
      <c r="CO256" s="74">
        <v>3900.5646820000002</v>
      </c>
    </row>
    <row r="257" spans="1:93" x14ac:dyDescent="0.2">
      <c r="A257" s="74">
        <v>759</v>
      </c>
      <c r="B257" s="74" t="s">
        <v>375</v>
      </c>
      <c r="C257" s="74">
        <v>14</v>
      </c>
      <c r="D257" s="74">
        <v>1997</v>
      </c>
      <c r="E257" s="89">
        <v>5671737.2914448064</v>
      </c>
      <c r="F257" s="74">
        <v>2322463.5950847669</v>
      </c>
      <c r="G257" s="74">
        <v>730883.51400000008</v>
      </c>
      <c r="H257" s="74">
        <v>782907.73380000005</v>
      </c>
      <c r="I257" s="74">
        <v>1950919.8418168938</v>
      </c>
      <c r="J257" s="74">
        <v>467607.81398390746</v>
      </c>
      <c r="K257" s="74">
        <v>296684.54337241122</v>
      </c>
      <c r="L257" s="74">
        <v>-527956</v>
      </c>
      <c r="M257" s="75">
        <v>-10000</v>
      </c>
      <c r="N257" s="75">
        <v>14214.527731120581</v>
      </c>
      <c r="O257" s="178">
        <f t="shared" si="95"/>
        <v>355988.27834429406</v>
      </c>
      <c r="P257" s="179">
        <f t="shared" si="96"/>
        <v>178.26153146935104</v>
      </c>
      <c r="Q257" s="74"/>
      <c r="R257" s="89">
        <v>15248361</v>
      </c>
      <c r="S257" s="74">
        <v>5137728.7253230885</v>
      </c>
      <c r="T257" s="74">
        <v>1174361.6007000001</v>
      </c>
      <c r="U257" s="74">
        <v>7522064.8513454823</v>
      </c>
      <c r="V257" s="74">
        <v>1559535.249881462</v>
      </c>
      <c r="W257" s="74">
        <v>192927.51400000008</v>
      </c>
      <c r="X257" s="178">
        <f t="shared" si="97"/>
        <v>338256.94125003368</v>
      </c>
      <c r="Y257" s="179">
        <f t="shared" si="98"/>
        <v>169.38254444167936</v>
      </c>
      <c r="Z257" s="74"/>
      <c r="AA257" s="84">
        <f t="shared" si="99"/>
        <v>17731.33709426038</v>
      </c>
      <c r="AB257" s="132">
        <f t="shared" si="100"/>
        <v>8.8789870276716982</v>
      </c>
      <c r="AD257" s="180">
        <v>-9412.4045351997665</v>
      </c>
      <c r="AE257" s="187">
        <v>5731.3100247530947</v>
      </c>
      <c r="AF257" s="187">
        <v>3557.2427666497229</v>
      </c>
      <c r="AG257" s="187">
        <v>1180.3354996147107</v>
      </c>
      <c r="AH257" s="188">
        <v>-769.13421648762471</v>
      </c>
      <c r="AJ257" s="74">
        <f t="shared" si="101"/>
        <v>2815265.1302383216</v>
      </c>
      <c r="AK257" s="74">
        <f t="shared" si="102"/>
        <v>391453.86690000002</v>
      </c>
      <c r="AL257" s="74">
        <f t="shared" si="103"/>
        <v>5571145.0095285885</v>
      </c>
      <c r="AM257" s="74">
        <f t="shared" si="104"/>
        <v>9576623.7085551936</v>
      </c>
      <c r="AN257" s="74">
        <f t="shared" si="105"/>
        <v>-9412.4045351997665</v>
      </c>
      <c r="AO257" s="74">
        <f t="shared" si="106"/>
        <v>5731.3100247530947</v>
      </c>
      <c r="AP257" s="74">
        <f t="shared" si="107"/>
        <v>3557.2427666497229</v>
      </c>
      <c r="AQ257" s="74">
        <f t="shared" si="108"/>
        <v>1180.3354996147107</v>
      </c>
      <c r="AR257" s="74">
        <f t="shared" si="109"/>
        <v>-769.13421648762471</v>
      </c>
      <c r="AS257" s="75">
        <v>587</v>
      </c>
      <c r="AT257" s="75"/>
      <c r="AU257" s="75"/>
      <c r="AV257" s="75">
        <v>0</v>
      </c>
      <c r="AW257" s="75">
        <v>4436.1927280373056</v>
      </c>
      <c r="AX257" s="75">
        <v>-1351.3397139143931</v>
      </c>
      <c r="AY257" s="75">
        <v>1091.9274358975545</v>
      </c>
      <c r="AZ257" s="316"/>
      <c r="BA257" s="74"/>
      <c r="BB257" s="74"/>
      <c r="BC257" s="74"/>
      <c r="BD257" s="74"/>
      <c r="BE257" s="74"/>
      <c r="BF257" s="74"/>
      <c r="BG257" s="74"/>
      <c r="BM257" s="316"/>
      <c r="BN257" s="74">
        <v>5671737.2914448064</v>
      </c>
      <c r="BO257" s="74">
        <v>9225749.8400000017</v>
      </c>
      <c r="BP257" s="74">
        <v>9257000</v>
      </c>
      <c r="BQ257" s="74">
        <v>179777.65</v>
      </c>
      <c r="BR257" s="74">
        <v>200000</v>
      </c>
      <c r="BS257" s="406">
        <f t="shared" si="110"/>
        <v>0.54795908479213884</v>
      </c>
      <c r="BT257" s="406">
        <f t="shared" si="111"/>
        <v>0.33333333333333337</v>
      </c>
      <c r="BU257" s="74">
        <f t="shared" si="112"/>
        <v>6959756.988798555</v>
      </c>
      <c r="BV257" s="316"/>
      <c r="BW257" s="74">
        <v>15248361</v>
      </c>
      <c r="BX257" s="74">
        <v>5671737.2914448064</v>
      </c>
      <c r="BY257" s="74">
        <v>7042973.8400230892</v>
      </c>
      <c r="BZ257" s="74">
        <v>3836254.8428847669</v>
      </c>
      <c r="CA257" s="74">
        <f t="shared" si="113"/>
        <v>296684.54337241064</v>
      </c>
      <c r="CB257" s="74">
        <f t="shared" si="114"/>
        <v>169.38254444167907</v>
      </c>
      <c r="CC257" s="74">
        <f t="shared" si="115"/>
        <v>178.2615314693505</v>
      </c>
      <c r="CD257" s="74">
        <f t="shared" si="116"/>
        <v>8.8789870276714282</v>
      </c>
      <c r="CE257" s="74">
        <f t="shared" si="117"/>
        <v>2.8699599523050048</v>
      </c>
      <c r="CF257" s="74">
        <f t="shared" si="118"/>
        <v>1.7812933233098263</v>
      </c>
      <c r="CG257" s="74">
        <f t="shared" si="119"/>
        <v>0.59105433130431184</v>
      </c>
      <c r="CH257" s="74">
        <f t="shared" si="120"/>
        <v>-0.38514482548203544</v>
      </c>
      <c r="CI257" s="74">
        <f t="shared" si="121"/>
        <v>5731.3100247530947</v>
      </c>
      <c r="CJ257" s="74">
        <f t="shared" si="122"/>
        <v>3557.2427666497229</v>
      </c>
      <c r="CK257" s="74">
        <f t="shared" si="123"/>
        <v>1180.3354996147107</v>
      </c>
      <c r="CL257" s="74">
        <f t="shared" si="124"/>
        <v>-769.13421648762471</v>
      </c>
      <c r="CM257" s="316"/>
      <c r="CN257" s="74">
        <v>5145.5736322637167</v>
      </c>
      <c r="CO257" s="74">
        <v>1274.5009620000001</v>
      </c>
    </row>
    <row r="258" spans="1:93" x14ac:dyDescent="0.2">
      <c r="A258" s="74">
        <v>761</v>
      </c>
      <c r="B258" s="74" t="s">
        <v>376</v>
      </c>
      <c r="C258" s="74">
        <v>2</v>
      </c>
      <c r="D258" s="74">
        <v>8563</v>
      </c>
      <c r="E258" s="89">
        <v>23026385.924019091</v>
      </c>
      <c r="F258" s="74">
        <v>10878766.498689031</v>
      </c>
      <c r="G258" s="74">
        <v>1896072.3062</v>
      </c>
      <c r="H258" s="74">
        <v>1266100.9784000001</v>
      </c>
      <c r="I258" s="74">
        <v>4486785.4218861796</v>
      </c>
      <c r="J258" s="74">
        <v>1785481.0596396294</v>
      </c>
      <c r="K258" s="74">
        <v>2210648.4588482603</v>
      </c>
      <c r="L258" s="74">
        <v>196104</v>
      </c>
      <c r="M258" s="75">
        <v>26400</v>
      </c>
      <c r="N258" s="75">
        <v>73676.782545338225</v>
      </c>
      <c r="O258" s="178">
        <f t="shared" si="95"/>
        <v>-206350.41781065241</v>
      </c>
      <c r="P258" s="179">
        <f t="shared" si="96"/>
        <v>-24.097911691072333</v>
      </c>
      <c r="Q258" s="74"/>
      <c r="R258" s="89">
        <v>59637299</v>
      </c>
      <c r="S258" s="74">
        <v>26866791.482781589</v>
      </c>
      <c r="T258" s="74">
        <v>1899151.4676000001</v>
      </c>
      <c r="U258" s="74">
        <v>24089168.405292146</v>
      </c>
      <c r="V258" s="74">
        <v>5954820.6151224319</v>
      </c>
      <c r="W258" s="74">
        <v>2118576.3062</v>
      </c>
      <c r="X258" s="178">
        <f t="shared" si="97"/>
        <v>1291209.2769961655</v>
      </c>
      <c r="Y258" s="179">
        <f t="shared" si="98"/>
        <v>150.78935851876275</v>
      </c>
      <c r="Z258" s="74"/>
      <c r="AA258" s="84">
        <f t="shared" si="99"/>
        <v>-1497559.6948068179</v>
      </c>
      <c r="AB258" s="132">
        <f t="shared" si="100"/>
        <v>-174.88727020983509</v>
      </c>
      <c r="AD258" s="180">
        <v>1533230.7110828508</v>
      </c>
      <c r="AE258" s="187">
        <v>1393690.1618783984</v>
      </c>
      <c r="AF258" s="187">
        <v>1255922.9095343126</v>
      </c>
      <c r="AG258" s="187">
        <v>1117285.8930457695</v>
      </c>
      <c r="AH258" s="188">
        <v>980481.69966620801</v>
      </c>
      <c r="AJ258" s="74">
        <f t="shared" si="101"/>
        <v>15988024.984092558</v>
      </c>
      <c r="AK258" s="74">
        <f t="shared" si="102"/>
        <v>633050.48919999995</v>
      </c>
      <c r="AL258" s="74">
        <f t="shared" si="103"/>
        <v>19602382.983405966</v>
      </c>
      <c r="AM258" s="74">
        <f t="shared" si="104"/>
        <v>36610913.075980909</v>
      </c>
      <c r="AN258" s="74">
        <f t="shared" si="105"/>
        <v>1533230.7110828508</v>
      </c>
      <c r="AO258" s="74">
        <f t="shared" si="106"/>
        <v>1393690.1618783984</v>
      </c>
      <c r="AP258" s="74">
        <f t="shared" si="107"/>
        <v>1255922.9095343126</v>
      </c>
      <c r="AQ258" s="74">
        <f t="shared" si="108"/>
        <v>1117285.8930457695</v>
      </c>
      <c r="AR258" s="74">
        <f t="shared" si="109"/>
        <v>980481.69966620801</v>
      </c>
      <c r="AS258" s="75">
        <v>3036</v>
      </c>
      <c r="AT258" s="75"/>
      <c r="AU258" s="75"/>
      <c r="AV258" s="75">
        <v>34</v>
      </c>
      <c r="AW258" s="75">
        <v>16412.173924531395</v>
      </c>
      <c r="AX258" s="75">
        <v>-3170.1300664124074</v>
      </c>
      <c r="AY258" s="75">
        <v>4169.3395554828021</v>
      </c>
      <c r="AZ258" s="316"/>
      <c r="BA258" s="74"/>
      <c r="BB258" s="74"/>
      <c r="BC258" s="74"/>
      <c r="BD258" s="74"/>
      <c r="BE258" s="74"/>
      <c r="BF258" s="74"/>
      <c r="BG258" s="74"/>
      <c r="BM258" s="316"/>
      <c r="BN258" s="74">
        <v>23026385.924019091</v>
      </c>
      <c r="BO258" s="74">
        <v>35484373.149999999</v>
      </c>
      <c r="BP258" s="74">
        <v>38525000</v>
      </c>
      <c r="BQ258" s="74">
        <v>633550.12</v>
      </c>
      <c r="BR258" s="74">
        <v>654000</v>
      </c>
      <c r="BS258" s="406">
        <f t="shared" si="110"/>
        <v>0.59508501394142943</v>
      </c>
      <c r="BT258" s="406">
        <f t="shared" si="111"/>
        <v>0.33333333333333326</v>
      </c>
      <c r="BU258" s="74">
        <f t="shared" si="112"/>
        <v>25982370.997737028</v>
      </c>
      <c r="BV258" s="316"/>
      <c r="BW258" s="74">
        <v>59637299</v>
      </c>
      <c r="BX258" s="74">
        <v>23026385.924019091</v>
      </c>
      <c r="BY258" s="74">
        <v>30662015.25658159</v>
      </c>
      <c r="BZ258" s="74">
        <v>14040939.78328903</v>
      </c>
      <c r="CA258" s="74">
        <f t="shared" si="113"/>
        <v>2210648.4588482571</v>
      </c>
      <c r="CB258" s="74">
        <f t="shared" si="114"/>
        <v>150.78935851876281</v>
      </c>
      <c r="CC258" s="74">
        <f t="shared" si="115"/>
        <v>-24.097911691072792</v>
      </c>
      <c r="CD258" s="74">
        <f t="shared" si="116"/>
        <v>-174.88727020983561</v>
      </c>
      <c r="CE258" s="74">
        <f t="shared" si="117"/>
        <v>162.75723016214062</v>
      </c>
      <c r="CF258" s="74">
        <f t="shared" si="118"/>
        <v>146.66856353314543</v>
      </c>
      <c r="CG258" s="74">
        <f t="shared" si="119"/>
        <v>130.47832454113993</v>
      </c>
      <c r="CH258" s="74">
        <f t="shared" si="120"/>
        <v>114.50212538435358</v>
      </c>
      <c r="CI258" s="74">
        <f t="shared" si="121"/>
        <v>1393690.16187841</v>
      </c>
      <c r="CJ258" s="74">
        <f t="shared" si="122"/>
        <v>1255922.9095343244</v>
      </c>
      <c r="CK258" s="74">
        <f t="shared" si="123"/>
        <v>1117285.8930457812</v>
      </c>
      <c r="CL258" s="74">
        <f t="shared" si="124"/>
        <v>980481.69966621965</v>
      </c>
      <c r="CM258" s="316"/>
      <c r="CN258" s="74">
        <v>27335.059598763426</v>
      </c>
      <c r="CO258" s="74">
        <v>2061.0946160000003</v>
      </c>
    </row>
    <row r="259" spans="1:93" x14ac:dyDescent="0.2">
      <c r="A259" s="74">
        <v>762</v>
      </c>
      <c r="B259" s="74" t="s">
        <v>377</v>
      </c>
      <c r="C259" s="74">
        <v>11</v>
      </c>
      <c r="D259" s="74">
        <v>3777</v>
      </c>
      <c r="E259" s="89">
        <v>11185745.802272506</v>
      </c>
      <c r="F259" s="74">
        <v>4550357.0506488746</v>
      </c>
      <c r="G259" s="74">
        <v>1130507.6515000002</v>
      </c>
      <c r="H259" s="74">
        <v>1604103.0288000002</v>
      </c>
      <c r="I259" s="74">
        <v>1775748.8634999052</v>
      </c>
      <c r="J259" s="74">
        <v>854498.8686707071</v>
      </c>
      <c r="K259" s="74">
        <v>1321670.5136391146</v>
      </c>
      <c r="L259" s="74">
        <v>-113721</v>
      </c>
      <c r="M259" s="75">
        <v>-24790</v>
      </c>
      <c r="N259" s="75">
        <v>30115.733476714322</v>
      </c>
      <c r="O259" s="178">
        <f t="shared" si="95"/>
        <v>-57255.092037189752</v>
      </c>
      <c r="P259" s="179">
        <f t="shared" si="96"/>
        <v>-15.158880602909651</v>
      </c>
      <c r="Q259" s="74"/>
      <c r="R259" s="89">
        <v>29631880</v>
      </c>
      <c r="S259" s="74">
        <v>10542248.780743932</v>
      </c>
      <c r="T259" s="74">
        <v>2406154.5432000002</v>
      </c>
      <c r="U259" s="74">
        <v>13559654.440321909</v>
      </c>
      <c r="V259" s="74">
        <v>2849869.1998368949</v>
      </c>
      <c r="W259" s="74">
        <v>991996.65150000015</v>
      </c>
      <c r="X259" s="178">
        <f t="shared" si="97"/>
        <v>718043.61560273916</v>
      </c>
      <c r="Y259" s="179">
        <f t="shared" si="98"/>
        <v>190.10950902905458</v>
      </c>
      <c r="Z259" s="74"/>
      <c r="AA259" s="84">
        <f t="shared" si="99"/>
        <v>-775298.70763992891</v>
      </c>
      <c r="AB259" s="132">
        <f t="shared" si="100"/>
        <v>-205.26838963196423</v>
      </c>
      <c r="AD259" s="180">
        <v>791032.61263520934</v>
      </c>
      <c r="AE259" s="187">
        <v>729483.54637978307</v>
      </c>
      <c r="AF259" s="187">
        <v>668716.65252206824</v>
      </c>
      <c r="AG259" s="187">
        <v>607566.11984926346</v>
      </c>
      <c r="AH259" s="188">
        <v>547224.01563408144</v>
      </c>
      <c r="AJ259" s="74">
        <f t="shared" si="101"/>
        <v>5991891.7300950577</v>
      </c>
      <c r="AK259" s="74">
        <f t="shared" si="102"/>
        <v>802051.51439999999</v>
      </c>
      <c r="AL259" s="74">
        <f t="shared" si="103"/>
        <v>11783905.576822003</v>
      </c>
      <c r="AM259" s="74">
        <f t="shared" si="104"/>
        <v>18446134.197727494</v>
      </c>
      <c r="AN259" s="74">
        <f t="shared" si="105"/>
        <v>791032.61263520934</v>
      </c>
      <c r="AO259" s="74">
        <f t="shared" si="106"/>
        <v>729483.54637978307</v>
      </c>
      <c r="AP259" s="74">
        <f t="shared" si="107"/>
        <v>668716.65252206824</v>
      </c>
      <c r="AQ259" s="74">
        <f t="shared" si="108"/>
        <v>607566.11984926346</v>
      </c>
      <c r="AR259" s="74">
        <f t="shared" si="109"/>
        <v>547224.01563408144</v>
      </c>
      <c r="AS259" s="75">
        <v>1309</v>
      </c>
      <c r="AT259" s="75"/>
      <c r="AU259" s="75"/>
      <c r="AV259" s="75">
        <v>0</v>
      </c>
      <c r="AW259" s="75">
        <v>10282.621257974413</v>
      </c>
      <c r="AX259" s="75">
        <v>-1608.7379408705931</v>
      </c>
      <c r="AY259" s="75">
        <v>1995.3703311661877</v>
      </c>
      <c r="AZ259" s="316"/>
      <c r="BA259" s="74"/>
      <c r="BB259" s="74"/>
      <c r="BC259" s="74"/>
      <c r="BD259" s="74"/>
      <c r="BE259" s="74"/>
      <c r="BF259" s="74"/>
      <c r="BG259" s="74"/>
      <c r="BM259" s="316"/>
      <c r="BN259" s="74">
        <v>11185745.802272506</v>
      </c>
      <c r="BO259" s="74">
        <v>17075603.719999999</v>
      </c>
      <c r="BP259" s="74">
        <v>19345000</v>
      </c>
      <c r="BQ259" s="74">
        <v>408865.48</v>
      </c>
      <c r="BR259" s="74">
        <v>434000</v>
      </c>
      <c r="BS259" s="406">
        <f t="shared" si="110"/>
        <v>0.56836941099697991</v>
      </c>
      <c r="BT259" s="406">
        <f t="shared" si="111"/>
        <v>0.33333333333333326</v>
      </c>
      <c r="BU259" s="74">
        <f t="shared" si="112"/>
        <v>15100946.421627305</v>
      </c>
      <c r="BV259" s="316"/>
      <c r="BW259" s="74">
        <v>29631880</v>
      </c>
      <c r="BX259" s="74">
        <v>11185745.802272506</v>
      </c>
      <c r="BY259" s="74">
        <v>14078910.975443931</v>
      </c>
      <c r="BZ259" s="74">
        <v>7284967.7309488757</v>
      </c>
      <c r="CA259" s="74">
        <f t="shared" si="113"/>
        <v>1321670.513639112</v>
      </c>
      <c r="CB259" s="74">
        <f t="shared" si="114"/>
        <v>190.10950902905469</v>
      </c>
      <c r="CC259" s="74">
        <f t="shared" si="115"/>
        <v>-15.158880602910244</v>
      </c>
      <c r="CD259" s="74">
        <f t="shared" si="116"/>
        <v>-205.26838963196494</v>
      </c>
      <c r="CE259" s="74">
        <f t="shared" si="117"/>
        <v>193.13834958426995</v>
      </c>
      <c r="CF259" s="74">
        <f t="shared" si="118"/>
        <v>177.04968295527476</v>
      </c>
      <c r="CG259" s="74">
        <f t="shared" si="119"/>
        <v>160.85944396326926</v>
      </c>
      <c r="CH259" s="74">
        <f t="shared" si="120"/>
        <v>144.88324480648291</v>
      </c>
      <c r="CI259" s="74">
        <f t="shared" si="121"/>
        <v>729483.54637978761</v>
      </c>
      <c r="CJ259" s="74">
        <f t="shared" si="122"/>
        <v>668716.65252207278</v>
      </c>
      <c r="CK259" s="74">
        <f t="shared" si="123"/>
        <v>607566.119849268</v>
      </c>
      <c r="CL259" s="74">
        <f t="shared" si="124"/>
        <v>547224.01563408598</v>
      </c>
      <c r="CM259" s="316"/>
      <c r="CN259" s="74">
        <v>10604.285341650093</v>
      </c>
      <c r="CO259" s="74">
        <v>2611.3305120000005</v>
      </c>
    </row>
    <row r="260" spans="1:93" x14ac:dyDescent="0.2">
      <c r="A260" s="74">
        <v>765</v>
      </c>
      <c r="B260" s="74" t="s">
        <v>378</v>
      </c>
      <c r="C260" s="74">
        <v>18</v>
      </c>
      <c r="D260" s="74">
        <v>10348</v>
      </c>
      <c r="E260" s="89">
        <v>34695974.923438519</v>
      </c>
      <c r="F260" s="74">
        <v>12725644.752560614</v>
      </c>
      <c r="G260" s="74">
        <v>4925124.1690000007</v>
      </c>
      <c r="H260" s="74">
        <v>2608549.7897999999</v>
      </c>
      <c r="I260" s="74">
        <v>5735437.0143206194</v>
      </c>
      <c r="J260" s="74">
        <v>1882166.9651076235</v>
      </c>
      <c r="K260" s="74">
        <v>-2184411.0825233534</v>
      </c>
      <c r="L260" s="74">
        <v>583704</v>
      </c>
      <c r="M260" s="75">
        <v>6075935</v>
      </c>
      <c r="N260" s="75">
        <v>98139.60306586558</v>
      </c>
      <c r="O260" s="178">
        <f t="shared" si="95"/>
        <v>-2245684.7121071517</v>
      </c>
      <c r="P260" s="179">
        <f t="shared" si="96"/>
        <v>-217.01630383718125</v>
      </c>
      <c r="Q260" s="74"/>
      <c r="R260" s="89">
        <v>81546558</v>
      </c>
      <c r="S260" s="74">
        <v>33561122.614547744</v>
      </c>
      <c r="T260" s="74">
        <v>3912824.6847000001</v>
      </c>
      <c r="U260" s="74">
        <v>23156506.883818228</v>
      </c>
      <c r="V260" s="74">
        <v>6277281.1755210916</v>
      </c>
      <c r="W260" s="74">
        <v>11584763.169</v>
      </c>
      <c r="X260" s="178">
        <f t="shared" si="97"/>
        <v>-3054059.4724129438</v>
      </c>
      <c r="Y260" s="179">
        <f t="shared" si="98"/>
        <v>-295.13524085938769</v>
      </c>
      <c r="Z260" s="74"/>
      <c r="AA260" s="84">
        <f t="shared" si="99"/>
        <v>808374.76030579209</v>
      </c>
      <c r="AB260" s="132">
        <f t="shared" si="100"/>
        <v>78.118937022206424</v>
      </c>
      <c r="AD260" s="180">
        <v>-765267.94301927683</v>
      </c>
      <c r="AE260" s="187">
        <v>-623456.41471934353</v>
      </c>
      <c r="AF260" s="187">
        <v>-479501.93699618569</v>
      </c>
      <c r="AG260" s="187">
        <v>-336598.53008545871</v>
      </c>
      <c r="AH260" s="188">
        <v>-191480.23895988386</v>
      </c>
      <c r="AJ260" s="74">
        <f t="shared" si="101"/>
        <v>20835477.861987129</v>
      </c>
      <c r="AK260" s="74">
        <f t="shared" si="102"/>
        <v>1304274.8949000002</v>
      </c>
      <c r="AL260" s="74">
        <f t="shared" si="103"/>
        <v>17421069.869497608</v>
      </c>
      <c r="AM260" s="74">
        <f t="shared" si="104"/>
        <v>46850583.076561481</v>
      </c>
      <c r="AN260" s="74">
        <f t="shared" si="105"/>
        <v>-765267.94301927683</v>
      </c>
      <c r="AO260" s="74">
        <f t="shared" si="106"/>
        <v>-623456.41471934353</v>
      </c>
      <c r="AP260" s="74">
        <f t="shared" si="107"/>
        <v>-479501.93699618569</v>
      </c>
      <c r="AQ260" s="74">
        <f t="shared" si="108"/>
        <v>-336598.53008545871</v>
      </c>
      <c r="AR260" s="74">
        <f t="shared" si="109"/>
        <v>-191480.23895988386</v>
      </c>
      <c r="AS260" s="75">
        <v>3067</v>
      </c>
      <c r="AT260" s="75"/>
      <c r="AU260" s="75"/>
      <c r="AV260" s="75">
        <v>0</v>
      </c>
      <c r="AW260" s="75">
        <v>14790.66926932083</v>
      </c>
      <c r="AX260" s="75">
        <v>-1986.9907919890027</v>
      </c>
      <c r="AY260" s="75">
        <v>4395.1142104134678</v>
      </c>
      <c r="AZ260" s="316"/>
      <c r="BA260" s="74"/>
      <c r="BB260" s="74"/>
      <c r="BC260" s="74"/>
      <c r="BD260" s="74"/>
      <c r="BE260" s="74"/>
      <c r="BF260" s="74"/>
      <c r="BG260" s="74"/>
      <c r="BM260" s="316"/>
      <c r="BN260" s="74">
        <v>34695974.923438519</v>
      </c>
      <c r="BO260" s="74">
        <v>43681755.089999996</v>
      </c>
      <c r="BP260" s="74">
        <v>43730000</v>
      </c>
      <c r="BQ260" s="74">
        <v>1409257.45</v>
      </c>
      <c r="BR260" s="74">
        <v>1395000</v>
      </c>
      <c r="BS260" s="406">
        <f t="shared" si="110"/>
        <v>0.620821839045264</v>
      </c>
      <c r="BT260" s="406">
        <f t="shared" si="111"/>
        <v>0.33333333333333337</v>
      </c>
      <c r="BU260" s="74">
        <f t="shared" si="112"/>
        <v>19631772.997387722</v>
      </c>
      <c r="BV260" s="316"/>
      <c r="BW260" s="74">
        <v>81546558</v>
      </c>
      <c r="BX260" s="74">
        <v>34695974.923438519</v>
      </c>
      <c r="BY260" s="74">
        <v>42399071.468247741</v>
      </c>
      <c r="BZ260" s="74">
        <v>20259318.711360615</v>
      </c>
      <c r="CA260" s="74">
        <f t="shared" si="113"/>
        <v>-2184411.0825233618</v>
      </c>
      <c r="CB260" s="74">
        <f t="shared" si="114"/>
        <v>-295.13524085938735</v>
      </c>
      <c r="CC260" s="74">
        <f t="shared" si="115"/>
        <v>-217.01630383718177</v>
      </c>
      <c r="CD260" s="74">
        <f t="shared" si="116"/>
        <v>78.118937022205586</v>
      </c>
      <c r="CE260" s="74">
        <f t="shared" si="117"/>
        <v>-60.248977069900583</v>
      </c>
      <c r="CF260" s="74">
        <f t="shared" si="118"/>
        <v>-46.337643698895761</v>
      </c>
      <c r="CG260" s="74">
        <f t="shared" si="119"/>
        <v>-32.527882690901272</v>
      </c>
      <c r="CH260" s="74">
        <f t="shared" si="120"/>
        <v>-18.504081847687623</v>
      </c>
      <c r="CI260" s="74">
        <f t="shared" si="121"/>
        <v>-623456.41471933119</v>
      </c>
      <c r="CJ260" s="74">
        <f t="shared" si="122"/>
        <v>-479501.93699617335</v>
      </c>
      <c r="CK260" s="74">
        <f t="shared" si="123"/>
        <v>-336598.53008544637</v>
      </c>
      <c r="CL260" s="74">
        <f t="shared" si="124"/>
        <v>-191480.23895987152</v>
      </c>
      <c r="CM260" s="316"/>
      <c r="CN260" s="74">
        <v>35203.98080298242</v>
      </c>
      <c r="CO260" s="74">
        <v>4246.4764020000002</v>
      </c>
    </row>
    <row r="261" spans="1:93" x14ac:dyDescent="0.2">
      <c r="A261" s="74">
        <v>768</v>
      </c>
      <c r="B261" s="74" t="s">
        <v>379</v>
      </c>
      <c r="C261" s="74">
        <v>10</v>
      </c>
      <c r="D261" s="74">
        <v>2430</v>
      </c>
      <c r="E261" s="89">
        <v>7611279.6154179312</v>
      </c>
      <c r="F261" s="74">
        <v>2794287.639126162</v>
      </c>
      <c r="G261" s="74">
        <v>1015894.3386</v>
      </c>
      <c r="H261" s="74">
        <v>905525.05459999992</v>
      </c>
      <c r="I261" s="74">
        <v>1068857.5927845624</v>
      </c>
      <c r="J261" s="74">
        <v>567543.38203014969</v>
      </c>
      <c r="K261" s="74">
        <v>145425.74719057904</v>
      </c>
      <c r="L261" s="74">
        <v>332110</v>
      </c>
      <c r="M261" s="75">
        <v>225600</v>
      </c>
      <c r="N261" s="75">
        <v>19038.276821003667</v>
      </c>
      <c r="O261" s="178">
        <f t="shared" si="95"/>
        <v>-536997.58426547423</v>
      </c>
      <c r="P261" s="179">
        <f t="shared" si="96"/>
        <v>-220.98666019155317</v>
      </c>
      <c r="Q261" s="74"/>
      <c r="R261" s="89">
        <v>20670411.489999998</v>
      </c>
      <c r="S261" s="74">
        <v>6636455.2783085778</v>
      </c>
      <c r="T261" s="74">
        <v>1358287.5818999999</v>
      </c>
      <c r="U261" s="74">
        <v>9148354.6797984522</v>
      </c>
      <c r="V261" s="74">
        <v>1892833.8741221721</v>
      </c>
      <c r="W261" s="74">
        <v>1573604.3385999999</v>
      </c>
      <c r="X261" s="178">
        <f t="shared" si="97"/>
        <v>-60875.737270794809</v>
      </c>
      <c r="Y261" s="179">
        <f t="shared" si="98"/>
        <v>-25.05174373283737</v>
      </c>
      <c r="Z261" s="74"/>
      <c r="AA261" s="84">
        <f t="shared" si="99"/>
        <v>-476121.84699467942</v>
      </c>
      <c r="AB261" s="132">
        <f t="shared" si="100"/>
        <v>-195.9349164587158</v>
      </c>
      <c r="AD261" s="180">
        <v>486244.5340845724</v>
      </c>
      <c r="AE261" s="187">
        <v>446645.8496787778</v>
      </c>
      <c r="AF261" s="187">
        <v>407550.38977031951</v>
      </c>
      <c r="AG261" s="187">
        <v>368208.10901974613</v>
      </c>
      <c r="AH261" s="188">
        <v>329385.9450687553</v>
      </c>
      <c r="AJ261" s="74">
        <f t="shared" si="101"/>
        <v>3842167.6391824158</v>
      </c>
      <c r="AK261" s="74">
        <f t="shared" si="102"/>
        <v>452762.52729999996</v>
      </c>
      <c r="AL261" s="74">
        <f t="shared" si="103"/>
        <v>8079497.08701389</v>
      </c>
      <c r="AM261" s="74">
        <f t="shared" si="104"/>
        <v>13059131.874582067</v>
      </c>
      <c r="AN261" s="74">
        <f t="shared" si="105"/>
        <v>486244.5340845724</v>
      </c>
      <c r="AO261" s="74">
        <f t="shared" si="106"/>
        <v>446645.8496787778</v>
      </c>
      <c r="AP261" s="74">
        <f t="shared" si="107"/>
        <v>407550.38977031951</v>
      </c>
      <c r="AQ261" s="74">
        <f t="shared" si="108"/>
        <v>368208.10901974613</v>
      </c>
      <c r="AR261" s="74">
        <f t="shared" si="109"/>
        <v>329385.9450687553</v>
      </c>
      <c r="AS261" s="75">
        <v>981</v>
      </c>
      <c r="AT261" s="75"/>
      <c r="AU261" s="75"/>
      <c r="AV261" s="75">
        <v>153</v>
      </c>
      <c r="AW261" s="75">
        <v>6568.4654258947558</v>
      </c>
      <c r="AX261" s="75">
        <v>-1132.9145693300229</v>
      </c>
      <c r="AY261" s="75">
        <v>1325.2904920920225</v>
      </c>
      <c r="AZ261" s="316"/>
      <c r="BA261" s="74"/>
      <c r="BB261" s="74"/>
      <c r="BC261" s="74"/>
      <c r="BD261" s="74"/>
      <c r="BE261" s="74"/>
      <c r="BF261" s="74"/>
      <c r="BG261" s="74"/>
      <c r="BM261" s="316"/>
      <c r="BN261" s="74">
        <v>7611279.6154179312</v>
      </c>
      <c r="BO261" s="74">
        <v>12414723.74</v>
      </c>
      <c r="BP261" s="74">
        <v>11350000</v>
      </c>
      <c r="BQ261" s="74">
        <v>354531.39</v>
      </c>
      <c r="BR261" s="74">
        <v>335000</v>
      </c>
      <c r="BS261" s="406">
        <f t="shared" si="110"/>
        <v>0.57894877280958079</v>
      </c>
      <c r="BT261" s="406">
        <f t="shared" si="111"/>
        <v>0.33333333333333337</v>
      </c>
      <c r="BU261" s="74">
        <f t="shared" si="112"/>
        <v>9550213.3262964934</v>
      </c>
      <c r="BV261" s="316"/>
      <c r="BW261" s="74">
        <v>20670411.489999998</v>
      </c>
      <c r="BX261" s="74">
        <v>7611279.6154179312</v>
      </c>
      <c r="BY261" s="74">
        <v>9010637.1988085769</v>
      </c>
      <c r="BZ261" s="74">
        <v>4715707.0323261619</v>
      </c>
      <c r="CA261" s="74">
        <f t="shared" si="113"/>
        <v>145425.74719057605</v>
      </c>
      <c r="CB261" s="74">
        <f t="shared" si="114"/>
        <v>-25.051743732837753</v>
      </c>
      <c r="CC261" s="74">
        <f t="shared" si="115"/>
        <v>-220.98666019155456</v>
      </c>
      <c r="CD261" s="74">
        <f t="shared" si="116"/>
        <v>-195.9349164587168</v>
      </c>
      <c r="CE261" s="74">
        <f t="shared" si="117"/>
        <v>183.80487641102181</v>
      </c>
      <c r="CF261" s="74">
        <f t="shared" si="118"/>
        <v>167.71620978202662</v>
      </c>
      <c r="CG261" s="74">
        <f t="shared" si="119"/>
        <v>151.52597079002112</v>
      </c>
      <c r="CH261" s="74">
        <f t="shared" si="120"/>
        <v>135.54977163323477</v>
      </c>
      <c r="CI261" s="74">
        <f t="shared" si="121"/>
        <v>446645.84967878298</v>
      </c>
      <c r="CJ261" s="74">
        <f t="shared" si="122"/>
        <v>407550.38977032469</v>
      </c>
      <c r="CK261" s="74">
        <f t="shared" si="123"/>
        <v>368208.10901975131</v>
      </c>
      <c r="CL261" s="74">
        <f t="shared" si="124"/>
        <v>329385.94506876048</v>
      </c>
      <c r="CM261" s="316"/>
      <c r="CN261" s="74">
        <v>6742.0891825233666</v>
      </c>
      <c r="CO261" s="74">
        <v>1474.1105539999999</v>
      </c>
    </row>
    <row r="262" spans="1:93" x14ac:dyDescent="0.2">
      <c r="A262" s="74">
        <v>777</v>
      </c>
      <c r="B262" s="74" t="s">
        <v>380</v>
      </c>
      <c r="C262" s="74">
        <v>18</v>
      </c>
      <c r="D262" s="74">
        <v>7508</v>
      </c>
      <c r="E262" s="89">
        <v>22672591.310015336</v>
      </c>
      <c r="F262" s="74">
        <v>9966238.2318080999</v>
      </c>
      <c r="G262" s="74">
        <v>3380273.6924999999</v>
      </c>
      <c r="H262" s="74">
        <v>2331062.2757999999</v>
      </c>
      <c r="I262" s="74">
        <v>6022969.9002113463</v>
      </c>
      <c r="J262" s="74">
        <v>1548099.7835124498</v>
      </c>
      <c r="K262" s="74">
        <v>-72003.561203717982</v>
      </c>
      <c r="L262" s="74">
        <v>-273690</v>
      </c>
      <c r="M262" s="75">
        <v>-115450</v>
      </c>
      <c r="N262" s="75">
        <v>62558.548567268946</v>
      </c>
      <c r="O262" s="178">
        <f t="shared" si="95"/>
        <v>177467.56118011102</v>
      </c>
      <c r="P262" s="179">
        <f t="shared" si="96"/>
        <v>23.637128553557673</v>
      </c>
      <c r="Q262" s="74"/>
      <c r="R262" s="89">
        <v>64572311</v>
      </c>
      <c r="S262" s="74">
        <v>22913570.350339837</v>
      </c>
      <c r="T262" s="74">
        <v>3496593.4137000004</v>
      </c>
      <c r="U262" s="74">
        <v>30609935.55313864</v>
      </c>
      <c r="V262" s="74">
        <v>5163121.9806874609</v>
      </c>
      <c r="W262" s="74">
        <v>2991133.6924999999</v>
      </c>
      <c r="X262" s="178">
        <f t="shared" si="97"/>
        <v>602043.99036593735</v>
      </c>
      <c r="Y262" s="179">
        <f t="shared" si="98"/>
        <v>80.186999249592077</v>
      </c>
      <c r="Z262" s="74"/>
      <c r="AA262" s="84">
        <f t="shared" si="99"/>
        <v>-424576.42918582633</v>
      </c>
      <c r="AB262" s="132">
        <f t="shared" si="100"/>
        <v>-56.549870696034411</v>
      </c>
      <c r="AD262" s="180">
        <v>455852.61629320786</v>
      </c>
      <c r="AE262" s="187">
        <v>333504.08850773226</v>
      </c>
      <c r="AF262" s="187">
        <v>212710.37945723647</v>
      </c>
      <c r="AG262" s="187">
        <v>91154.065105259069</v>
      </c>
      <c r="AH262" s="188">
        <v>-2891.6673497191218</v>
      </c>
      <c r="AJ262" s="74">
        <f t="shared" si="101"/>
        <v>12947332.118531737</v>
      </c>
      <c r="AK262" s="74">
        <f t="shared" si="102"/>
        <v>1165531.1379000004</v>
      </c>
      <c r="AL262" s="74">
        <f t="shared" si="103"/>
        <v>24586965.652927294</v>
      </c>
      <c r="AM262" s="74">
        <f t="shared" si="104"/>
        <v>41899719.689984664</v>
      </c>
      <c r="AN262" s="74">
        <f t="shared" si="105"/>
        <v>455852.61629320786</v>
      </c>
      <c r="AO262" s="74">
        <f t="shared" si="106"/>
        <v>333504.08850773226</v>
      </c>
      <c r="AP262" s="74">
        <f t="shared" si="107"/>
        <v>212710.37945723647</v>
      </c>
      <c r="AQ262" s="74">
        <f t="shared" si="108"/>
        <v>91154.065105259069</v>
      </c>
      <c r="AR262" s="74">
        <f t="shared" si="109"/>
        <v>-2891.6673497191218</v>
      </c>
      <c r="AS262" s="75">
        <v>3534</v>
      </c>
      <c r="AT262" s="75"/>
      <c r="AU262" s="75"/>
      <c r="AV262" s="75">
        <v>0</v>
      </c>
      <c r="AW262" s="75">
        <v>20861.855460014754</v>
      </c>
      <c r="AX262" s="75">
        <v>-3255.7887402680599</v>
      </c>
      <c r="AY262" s="75">
        <v>3615.0221971750111</v>
      </c>
      <c r="AZ262" s="316"/>
      <c r="BA262" s="74"/>
      <c r="BB262" s="74"/>
      <c r="BC262" s="74"/>
      <c r="BD262" s="74"/>
      <c r="BE262" s="74"/>
      <c r="BF262" s="74"/>
      <c r="BG262" s="74"/>
      <c r="BM262" s="316"/>
      <c r="BN262" s="74">
        <v>22672591.310015336</v>
      </c>
      <c r="BO262" s="74">
        <v>38636727.240000002</v>
      </c>
      <c r="BP262" s="74">
        <v>40087000</v>
      </c>
      <c r="BQ262" s="74">
        <v>1049563.73</v>
      </c>
      <c r="BR262" s="74">
        <v>1012000</v>
      </c>
      <c r="BS262" s="406">
        <f t="shared" si="110"/>
        <v>0.56505083758540975</v>
      </c>
      <c r="BT262" s="406">
        <f t="shared" si="111"/>
        <v>0.33333333333333337</v>
      </c>
      <c r="BU262" s="74">
        <f t="shared" si="112"/>
        <v>28129984.288898584</v>
      </c>
      <c r="BV262" s="316"/>
      <c r="BW262" s="74">
        <v>64572311</v>
      </c>
      <c r="BX262" s="74">
        <v>22672591.310015336</v>
      </c>
      <c r="BY262" s="74">
        <v>29790437.456539836</v>
      </c>
      <c r="BZ262" s="74">
        <v>15677574.2001081</v>
      </c>
      <c r="CA262" s="74">
        <f t="shared" si="113"/>
        <v>-72003.561203721489</v>
      </c>
      <c r="CB262" s="74">
        <f t="shared" si="114"/>
        <v>80.186999249592077</v>
      </c>
      <c r="CC262" s="74">
        <f t="shared" si="115"/>
        <v>23.637128553557101</v>
      </c>
      <c r="CD262" s="74">
        <f t="shared" si="116"/>
        <v>-56.549870696034972</v>
      </c>
      <c r="CE262" s="74">
        <f t="shared" si="117"/>
        <v>44.419830648339975</v>
      </c>
      <c r="CF262" s="74">
        <f t="shared" si="118"/>
        <v>28.331164019344797</v>
      </c>
      <c r="CG262" s="74">
        <f t="shared" si="119"/>
        <v>12.140925027339284</v>
      </c>
      <c r="CH262" s="74">
        <f t="shared" si="120"/>
        <v>-0.38514482548203544</v>
      </c>
      <c r="CI262" s="74">
        <f t="shared" si="121"/>
        <v>333504.08850773651</v>
      </c>
      <c r="CJ262" s="74">
        <f t="shared" si="122"/>
        <v>212710.37945724075</v>
      </c>
      <c r="CK262" s="74">
        <f t="shared" si="123"/>
        <v>91154.065105263348</v>
      </c>
      <c r="CL262" s="74">
        <f t="shared" si="124"/>
        <v>-2891.6673497191218</v>
      </c>
      <c r="CM262" s="316"/>
      <c r="CN262" s="74">
        <v>22915.692281648058</v>
      </c>
      <c r="CO262" s="74">
        <v>3794.7525420000002</v>
      </c>
    </row>
    <row r="263" spans="1:93" x14ac:dyDescent="0.2">
      <c r="A263" s="74">
        <v>778</v>
      </c>
      <c r="B263" s="74" t="s">
        <v>381</v>
      </c>
      <c r="C263" s="74">
        <v>11</v>
      </c>
      <c r="D263" s="74">
        <v>6891</v>
      </c>
      <c r="E263" s="89">
        <v>18089365.98682566</v>
      </c>
      <c r="F263" s="74">
        <v>9791021.7926539369</v>
      </c>
      <c r="G263" s="74">
        <v>2013791.0894999998</v>
      </c>
      <c r="H263" s="74">
        <v>1411763.9084000001</v>
      </c>
      <c r="I263" s="74">
        <v>3126830.5281051728</v>
      </c>
      <c r="J263" s="74">
        <v>1349358.8237958779</v>
      </c>
      <c r="K263" s="74">
        <v>204565.76965551908</v>
      </c>
      <c r="L263" s="74">
        <v>-131418</v>
      </c>
      <c r="M263" s="75">
        <v>250000</v>
      </c>
      <c r="N263" s="75">
        <v>58435.233239906956</v>
      </c>
      <c r="O263" s="178">
        <f t="shared" si="95"/>
        <v>-15016.841475248337</v>
      </c>
      <c r="P263" s="179">
        <f t="shared" si="96"/>
        <v>-2.1791962669058682</v>
      </c>
      <c r="Q263" s="74"/>
      <c r="R263" s="89">
        <v>54184700</v>
      </c>
      <c r="S263" s="74">
        <v>22267805.916227743</v>
      </c>
      <c r="T263" s="74">
        <v>2117645.8626000001</v>
      </c>
      <c r="U263" s="74">
        <v>23123005.971962586</v>
      </c>
      <c r="V263" s="74">
        <v>4500294.0231462466</v>
      </c>
      <c r="W263" s="74">
        <v>2132373.0894999998</v>
      </c>
      <c r="X263" s="178">
        <f t="shared" si="97"/>
        <v>-43575.136563427746</v>
      </c>
      <c r="Y263" s="179">
        <f t="shared" si="98"/>
        <v>-6.3234852072888907</v>
      </c>
      <c r="Z263" s="74"/>
      <c r="AA263" s="84">
        <f t="shared" si="99"/>
        <v>28558.29508817941</v>
      </c>
      <c r="AB263" s="132">
        <f t="shared" si="100"/>
        <v>4.1442889403830225</v>
      </c>
      <c r="AD263" s="180">
        <v>147.6459556434655</v>
      </c>
      <c r="AE263" s="187">
        <v>19776.894031333788</v>
      </c>
      <c r="AF263" s="187">
        <v>12274.892290928014</v>
      </c>
      <c r="AG263" s="187">
        <v>4072.9553970180127</v>
      </c>
      <c r="AH263" s="188">
        <v>-2654.032992396706</v>
      </c>
      <c r="AJ263" s="74">
        <f t="shared" si="101"/>
        <v>12476784.123573806</v>
      </c>
      <c r="AK263" s="74">
        <f t="shared" si="102"/>
        <v>705881.95420000004</v>
      </c>
      <c r="AL263" s="74">
        <f t="shared" si="103"/>
        <v>19996175.443857413</v>
      </c>
      <c r="AM263" s="74">
        <f t="shared" si="104"/>
        <v>36095334.01317434</v>
      </c>
      <c r="AN263" s="74">
        <f t="shared" si="105"/>
        <v>147.6459556434655</v>
      </c>
      <c r="AO263" s="74">
        <f t="shared" si="106"/>
        <v>19776.894031333788</v>
      </c>
      <c r="AP263" s="74">
        <f t="shared" si="107"/>
        <v>12274.892290928014</v>
      </c>
      <c r="AQ263" s="74">
        <f t="shared" si="108"/>
        <v>4072.9553970180127</v>
      </c>
      <c r="AR263" s="74">
        <f t="shared" si="109"/>
        <v>-2654.032992396706</v>
      </c>
      <c r="AS263" s="75">
        <v>3514</v>
      </c>
      <c r="AT263" s="75"/>
      <c r="AU263" s="75"/>
      <c r="AV263" s="75">
        <v>102</v>
      </c>
      <c r="AW263" s="75">
        <v>17339.04317736853</v>
      </c>
      <c r="AX263" s="75">
        <v>-2825.057406173767</v>
      </c>
      <c r="AY263" s="75">
        <v>3150.9351993503687</v>
      </c>
      <c r="AZ263" s="316"/>
      <c r="BA263" s="74"/>
      <c r="BB263" s="74"/>
      <c r="BC263" s="74"/>
      <c r="BD263" s="74"/>
      <c r="BE263" s="74"/>
      <c r="BF263" s="74"/>
      <c r="BG263" s="74"/>
      <c r="BM263" s="316"/>
      <c r="BN263" s="74">
        <v>18089365.98682566</v>
      </c>
      <c r="BO263" s="74">
        <v>33404704.340000004</v>
      </c>
      <c r="BP263" s="74">
        <v>34480000</v>
      </c>
      <c r="BQ263" s="74">
        <v>630950.09</v>
      </c>
      <c r="BR263" s="74">
        <v>658000</v>
      </c>
      <c r="BS263" s="406">
        <f t="shared" si="110"/>
        <v>0.56030594888925744</v>
      </c>
      <c r="BT263" s="406">
        <f t="shared" si="111"/>
        <v>0.33333333333333337</v>
      </c>
      <c r="BU263" s="74">
        <f t="shared" si="112"/>
        <v>23351676.412863299</v>
      </c>
      <c r="BV263" s="316"/>
      <c r="BW263" s="74">
        <v>54184700</v>
      </c>
      <c r="BX263" s="74">
        <v>18089365.98682566</v>
      </c>
      <c r="BY263" s="74">
        <v>26399242.868327741</v>
      </c>
      <c r="BZ263" s="74">
        <v>13216576.790553935</v>
      </c>
      <c r="CA263" s="74">
        <f t="shared" si="113"/>
        <v>204565.76965551646</v>
      </c>
      <c r="CB263" s="74">
        <f t="shared" si="114"/>
        <v>-6.3234852072886207</v>
      </c>
      <c r="CC263" s="74">
        <f t="shared" si="115"/>
        <v>-2.1791962669059695</v>
      </c>
      <c r="CD263" s="74">
        <f t="shared" si="116"/>
        <v>4.1442889403826513</v>
      </c>
      <c r="CE263" s="74">
        <f t="shared" si="117"/>
        <v>2.8699599523050048</v>
      </c>
      <c r="CF263" s="74">
        <f t="shared" si="118"/>
        <v>1.7812933233098263</v>
      </c>
      <c r="CG263" s="74">
        <f t="shared" si="119"/>
        <v>0.59105433130431184</v>
      </c>
      <c r="CH263" s="74">
        <f t="shared" si="120"/>
        <v>-0.38514482548203544</v>
      </c>
      <c r="CI263" s="74">
        <f t="shared" si="121"/>
        <v>19776.894031333788</v>
      </c>
      <c r="CJ263" s="74">
        <f t="shared" si="122"/>
        <v>12274.892290928014</v>
      </c>
      <c r="CK263" s="74">
        <f t="shared" si="123"/>
        <v>4072.9553970180127</v>
      </c>
      <c r="CL263" s="74">
        <f t="shared" si="124"/>
        <v>-2654.032992396706</v>
      </c>
      <c r="CM263" s="316"/>
      <c r="CN263" s="74">
        <v>22490.490863887178</v>
      </c>
      <c r="CO263" s="74">
        <v>2298.2203159999999</v>
      </c>
    </row>
    <row r="264" spans="1:93" x14ac:dyDescent="0.2">
      <c r="A264" s="74">
        <v>781</v>
      </c>
      <c r="B264" s="74" t="s">
        <v>382</v>
      </c>
      <c r="C264" s="74">
        <v>7</v>
      </c>
      <c r="D264" s="74">
        <v>3584</v>
      </c>
      <c r="E264" s="89">
        <v>6347083.2552967928</v>
      </c>
      <c r="F264" s="74">
        <v>3330365.4434650885</v>
      </c>
      <c r="G264" s="74">
        <v>2112630.7940000002</v>
      </c>
      <c r="H264" s="74">
        <v>1150897.9326000002</v>
      </c>
      <c r="I264" s="74">
        <v>77761.138115742651</v>
      </c>
      <c r="J264" s="74">
        <v>793411.57379047386</v>
      </c>
      <c r="K264" s="74">
        <v>1672898.4574167642</v>
      </c>
      <c r="L264" s="74">
        <v>-360235</v>
      </c>
      <c r="M264" s="75">
        <v>190868</v>
      </c>
      <c r="N264" s="75">
        <v>29537.915991496284</v>
      </c>
      <c r="O264" s="178">
        <f t="shared" si="95"/>
        <v>2651053.0000827722</v>
      </c>
      <c r="P264" s="179">
        <f t="shared" si="96"/>
        <v>739.6911272552378</v>
      </c>
      <c r="Q264" s="74"/>
      <c r="R264" s="89">
        <v>24672922</v>
      </c>
      <c r="S264" s="74">
        <v>9418507.2863364778</v>
      </c>
      <c r="T264" s="74">
        <v>1726346.8989000001</v>
      </c>
      <c r="U264" s="74">
        <v>13163584.857310014</v>
      </c>
      <c r="V264" s="74">
        <v>2646134.8163714688</v>
      </c>
      <c r="W264" s="74">
        <v>1943263.7940000002</v>
      </c>
      <c r="X264" s="178">
        <f t="shared" si="97"/>
        <v>4224915.6529179588</v>
      </c>
      <c r="Y264" s="179">
        <f t="shared" si="98"/>
        <v>1178.8269120864841</v>
      </c>
      <c r="Z264" s="74"/>
      <c r="AA264" s="84">
        <f t="shared" si="99"/>
        <v>-1573862.6528351866</v>
      </c>
      <c r="AB264" s="132">
        <f t="shared" si="100"/>
        <v>-439.13578483124627</v>
      </c>
      <c r="AD264" s="180">
        <v>1588792.5748640699</v>
      </c>
      <c r="AE264" s="187">
        <v>1530388.5893042479</v>
      </c>
      <c r="AF264" s="187">
        <v>1472726.8081059291</v>
      </c>
      <c r="AG264" s="187">
        <v>1414700.9915585811</v>
      </c>
      <c r="AH264" s="188">
        <v>1357442.2937806591</v>
      </c>
      <c r="AJ264" s="74">
        <f t="shared" si="101"/>
        <v>6088141.8428713894</v>
      </c>
      <c r="AK264" s="74">
        <f t="shared" si="102"/>
        <v>575448.96629999997</v>
      </c>
      <c r="AL264" s="74">
        <f t="shared" si="103"/>
        <v>13085823.719194271</v>
      </c>
      <c r="AM264" s="74">
        <f t="shared" si="104"/>
        <v>18325838.744703207</v>
      </c>
      <c r="AN264" s="74">
        <f t="shared" si="105"/>
        <v>1588792.5748640699</v>
      </c>
      <c r="AO264" s="74">
        <f t="shared" si="106"/>
        <v>1530388.5893042479</v>
      </c>
      <c r="AP264" s="74">
        <f t="shared" si="107"/>
        <v>1472726.8081059291</v>
      </c>
      <c r="AQ264" s="74">
        <f t="shared" si="108"/>
        <v>1414700.9915585811</v>
      </c>
      <c r="AR264" s="74">
        <f t="shared" si="109"/>
        <v>1357442.2937806591</v>
      </c>
      <c r="AS264" s="75">
        <v>893</v>
      </c>
      <c r="AT264" s="75"/>
      <c r="AU264" s="75"/>
      <c r="AV264" s="75">
        <v>163</v>
      </c>
      <c r="AW264" s="75">
        <v>11089.868306830725</v>
      </c>
      <c r="AX264" s="75">
        <v>-1538.9133185343521</v>
      </c>
      <c r="AY264" s="75">
        <v>1852.723242580995</v>
      </c>
      <c r="AZ264" s="316"/>
      <c r="BA264" s="74"/>
      <c r="BB264" s="74"/>
      <c r="BC264" s="74"/>
      <c r="BD264" s="74"/>
      <c r="BE264" s="74"/>
      <c r="BF264" s="74"/>
      <c r="BG264" s="74"/>
      <c r="BM264" s="316"/>
      <c r="BN264" s="74">
        <v>6347083.2552967928</v>
      </c>
      <c r="BO264" s="74">
        <v>16826641.870000001</v>
      </c>
      <c r="BP264" s="74">
        <v>18466000</v>
      </c>
      <c r="BQ264" s="74">
        <v>339051.53</v>
      </c>
      <c r="BR264" s="74">
        <v>275000</v>
      </c>
      <c r="BS264" s="406">
        <f t="shared" si="110"/>
        <v>0.64640198895461043</v>
      </c>
      <c r="BT264" s="406">
        <f t="shared" si="111"/>
        <v>0.33333333333333326</v>
      </c>
      <c r="BU264" s="74">
        <f t="shared" si="112"/>
        <v>16611445.419192029</v>
      </c>
      <c r="BV264" s="316"/>
      <c r="BW264" s="74">
        <v>24672922</v>
      </c>
      <c r="BX264" s="74">
        <v>6347083.2552967928</v>
      </c>
      <c r="BY264" s="74">
        <v>13257484.979236478</v>
      </c>
      <c r="BZ264" s="74">
        <v>6593894.1700650891</v>
      </c>
      <c r="CA264" s="74">
        <f t="shared" si="113"/>
        <v>1672898.4574167635</v>
      </c>
      <c r="CB264" s="74">
        <f t="shared" si="114"/>
        <v>1178.8269120864845</v>
      </c>
      <c r="CC264" s="74">
        <f t="shared" si="115"/>
        <v>739.6911272552378</v>
      </c>
      <c r="CD264" s="74">
        <f t="shared" si="116"/>
        <v>-439.13578483124672</v>
      </c>
      <c r="CE264" s="74">
        <f t="shared" si="117"/>
        <v>427.00574478355173</v>
      </c>
      <c r="CF264" s="74">
        <f t="shared" si="118"/>
        <v>410.91707815455658</v>
      </c>
      <c r="CG264" s="74">
        <f t="shared" si="119"/>
        <v>394.72683916255102</v>
      </c>
      <c r="CH264" s="74">
        <f t="shared" si="120"/>
        <v>378.75064000576469</v>
      </c>
      <c r="CI264" s="74">
        <f t="shared" si="121"/>
        <v>1530388.5893042495</v>
      </c>
      <c r="CJ264" s="74">
        <f t="shared" si="122"/>
        <v>1472726.8081059307</v>
      </c>
      <c r="CK264" s="74">
        <f t="shared" si="123"/>
        <v>1414700.9915585828</v>
      </c>
      <c r="CL264" s="74">
        <f t="shared" si="124"/>
        <v>1357442.2937806607</v>
      </c>
      <c r="CM264" s="316"/>
      <c r="CN264" s="74">
        <v>9572.0548295907174</v>
      </c>
      <c r="CO264" s="74">
        <v>1873.554774</v>
      </c>
    </row>
    <row r="265" spans="1:93" x14ac:dyDescent="0.2">
      <c r="A265" s="74">
        <v>783</v>
      </c>
      <c r="B265" s="74" t="s">
        <v>383</v>
      </c>
      <c r="C265" s="74">
        <v>4</v>
      </c>
      <c r="D265" s="74">
        <v>6588</v>
      </c>
      <c r="E265" s="89">
        <v>15194832.995053768</v>
      </c>
      <c r="F265" s="74">
        <v>10975519.678196017</v>
      </c>
      <c r="G265" s="74">
        <v>2268730.1002999996</v>
      </c>
      <c r="H265" s="74">
        <v>1229392.0245999999</v>
      </c>
      <c r="I265" s="74">
        <v>1707085.7332255417</v>
      </c>
      <c r="J265" s="74">
        <v>1244968.2785224654</v>
      </c>
      <c r="K265" s="74">
        <v>482606.31541533151</v>
      </c>
      <c r="L265" s="74">
        <v>-294267</v>
      </c>
      <c r="M265" s="75">
        <v>-2100</v>
      </c>
      <c r="N265" s="75">
        <v>67924.583634340917</v>
      </c>
      <c r="O265" s="178">
        <f t="shared" si="95"/>
        <v>2485026.7188399285</v>
      </c>
      <c r="P265" s="179">
        <f t="shared" si="96"/>
        <v>377.20502714631579</v>
      </c>
      <c r="Q265" s="74"/>
      <c r="R265" s="89">
        <v>43310916</v>
      </c>
      <c r="S265" s="74">
        <v>25684234.814905092</v>
      </c>
      <c r="T265" s="74">
        <v>1844088.0368999999</v>
      </c>
      <c r="U265" s="74">
        <v>12420568.307536524</v>
      </c>
      <c r="V265" s="74">
        <v>4152137.4478289732</v>
      </c>
      <c r="W265" s="74">
        <v>1972363.1002999996</v>
      </c>
      <c r="X265" s="178">
        <f t="shared" si="97"/>
        <v>2762475.7074705884</v>
      </c>
      <c r="Y265" s="179">
        <f t="shared" si="98"/>
        <v>419.31932414550522</v>
      </c>
      <c r="Z265" s="74"/>
      <c r="AA265" s="84">
        <f t="shared" si="99"/>
        <v>-277448.98863065988</v>
      </c>
      <c r="AB265" s="132">
        <f t="shared" si="100"/>
        <v>-42.114296999189413</v>
      </c>
      <c r="AD265" s="180">
        <v>304892.71807438479</v>
      </c>
      <c r="AE265" s="187">
        <v>197536.28479645288</v>
      </c>
      <c r="AF265" s="187">
        <v>91544.149044632621</v>
      </c>
      <c r="AG265" s="187">
        <v>3893.8659346328063</v>
      </c>
      <c r="AH265" s="188">
        <v>-2537.3341102756494</v>
      </c>
      <c r="AJ265" s="74">
        <f t="shared" si="101"/>
        <v>14708715.136709075</v>
      </c>
      <c r="AK265" s="74">
        <f t="shared" si="102"/>
        <v>614696.01230000006</v>
      </c>
      <c r="AL265" s="74">
        <f t="shared" si="103"/>
        <v>10713482.574310983</v>
      </c>
      <c r="AM265" s="74">
        <f t="shared" si="104"/>
        <v>28116083.004946232</v>
      </c>
      <c r="AN265" s="74">
        <f t="shared" si="105"/>
        <v>304892.71807438479</v>
      </c>
      <c r="AO265" s="74">
        <f t="shared" si="106"/>
        <v>197536.28479645288</v>
      </c>
      <c r="AP265" s="74">
        <f t="shared" si="107"/>
        <v>91544.149044632621</v>
      </c>
      <c r="AQ265" s="74">
        <f t="shared" si="108"/>
        <v>3893.8659346328063</v>
      </c>
      <c r="AR265" s="74">
        <f t="shared" si="109"/>
        <v>-2537.3341102756494</v>
      </c>
      <c r="AS265" s="75">
        <v>2265</v>
      </c>
      <c r="AT265" s="75"/>
      <c r="AU265" s="75"/>
      <c r="AV265" s="75">
        <v>38</v>
      </c>
      <c r="AW265" s="75">
        <v>10059.026214732045</v>
      </c>
      <c r="AX265" s="75">
        <v>-701.60312263802996</v>
      </c>
      <c r="AY265" s="75">
        <v>2907.1691693065077</v>
      </c>
      <c r="AZ265" s="316"/>
      <c r="BA265" s="74"/>
      <c r="BB265" s="74"/>
      <c r="BC265" s="74"/>
      <c r="BD265" s="74"/>
      <c r="BE265" s="74"/>
      <c r="BF265" s="74"/>
      <c r="BG265" s="74"/>
      <c r="BM265" s="316"/>
      <c r="BN265" s="74">
        <v>15194832.995053768</v>
      </c>
      <c r="BO265" s="74">
        <v>26133491.690000001</v>
      </c>
      <c r="BP265" s="74">
        <v>28713000</v>
      </c>
      <c r="BQ265" s="74">
        <v>728867.45000000007</v>
      </c>
      <c r="BR265" s="74">
        <v>744000</v>
      </c>
      <c r="BS265" s="406">
        <f t="shared" si="110"/>
        <v>0.57267484286404757</v>
      </c>
      <c r="BT265" s="406">
        <f t="shared" si="111"/>
        <v>0.33333333333333337</v>
      </c>
      <c r="BU265" s="74">
        <f t="shared" si="112"/>
        <v>14103258.059032822</v>
      </c>
      <c r="BV265" s="316"/>
      <c r="BW265" s="74">
        <v>43310916</v>
      </c>
      <c r="BX265" s="74">
        <v>15194832.995053768</v>
      </c>
      <c r="BY265" s="74">
        <v>29797052.95210509</v>
      </c>
      <c r="BZ265" s="74">
        <v>14473641.803096015</v>
      </c>
      <c r="CA265" s="74">
        <f t="shared" si="113"/>
        <v>482606.3154153293</v>
      </c>
      <c r="CB265" s="74">
        <f t="shared" si="114"/>
        <v>419.31932414550533</v>
      </c>
      <c r="CC265" s="74">
        <f t="shared" si="115"/>
        <v>377.20502714631539</v>
      </c>
      <c r="CD265" s="74">
        <f t="shared" si="116"/>
        <v>-42.114296999189946</v>
      </c>
      <c r="CE265" s="74">
        <f t="shared" si="117"/>
        <v>29.984256951494952</v>
      </c>
      <c r="CF265" s="74">
        <f t="shared" si="118"/>
        <v>13.895590322499773</v>
      </c>
      <c r="CG265" s="74">
        <f t="shared" si="119"/>
        <v>0.59105433130431184</v>
      </c>
      <c r="CH265" s="74">
        <f t="shared" si="120"/>
        <v>-0.38514482548203544</v>
      </c>
      <c r="CI265" s="74">
        <f t="shared" si="121"/>
        <v>197536.28479644874</v>
      </c>
      <c r="CJ265" s="74">
        <f t="shared" si="122"/>
        <v>91544.149044628502</v>
      </c>
      <c r="CK265" s="74">
        <f t="shared" si="123"/>
        <v>3893.8659346328063</v>
      </c>
      <c r="CL265" s="74">
        <f t="shared" si="124"/>
        <v>-2537.3341102756494</v>
      </c>
      <c r="CM265" s="316"/>
      <c r="CN265" s="74">
        <v>25390.813943849669</v>
      </c>
      <c r="CO265" s="74">
        <v>2001.3358540000002</v>
      </c>
    </row>
    <row r="266" spans="1:93" x14ac:dyDescent="0.2">
      <c r="A266" s="74">
        <v>785</v>
      </c>
      <c r="B266" s="74" t="s">
        <v>407</v>
      </c>
      <c r="C266" s="74">
        <v>17</v>
      </c>
      <c r="D266" s="74">
        <v>2673</v>
      </c>
      <c r="E266" s="89">
        <v>10899366.202690439</v>
      </c>
      <c r="F266" s="74">
        <v>3257608.2477521882</v>
      </c>
      <c r="G266" s="74">
        <v>3181424.4735000003</v>
      </c>
      <c r="H266" s="74">
        <v>545622.01199999999</v>
      </c>
      <c r="I266" s="74">
        <v>2511594.767862136</v>
      </c>
      <c r="J266" s="74">
        <v>587481.25151894032</v>
      </c>
      <c r="K266" s="74">
        <v>1122290.4797577236</v>
      </c>
      <c r="L266" s="74">
        <v>113631</v>
      </c>
      <c r="M266" s="75">
        <v>-6600</v>
      </c>
      <c r="N266" s="75">
        <v>21527.798911240716</v>
      </c>
      <c r="O266" s="178">
        <f t="shared" si="95"/>
        <v>435213.82861178927</v>
      </c>
      <c r="P266" s="179">
        <f t="shared" si="96"/>
        <v>162.81849181136897</v>
      </c>
      <c r="Q266" s="74"/>
      <c r="R266" s="89">
        <v>25845930</v>
      </c>
      <c r="S266" s="74">
        <v>7841349.8505392205</v>
      </c>
      <c r="T266" s="74">
        <v>818433.01800000004</v>
      </c>
      <c r="U266" s="74">
        <v>13232871.244262075</v>
      </c>
      <c r="V266" s="74">
        <v>1959329.3631739765</v>
      </c>
      <c r="W266" s="74">
        <v>3288455.4735000003</v>
      </c>
      <c r="X266" s="178">
        <f t="shared" si="97"/>
        <v>1294508.9494752735</v>
      </c>
      <c r="Y266" s="179">
        <f t="shared" si="98"/>
        <v>484.29066572213748</v>
      </c>
      <c r="Z266" s="74"/>
      <c r="AA266" s="84">
        <f t="shared" si="99"/>
        <v>-859295.12086348422</v>
      </c>
      <c r="AB266" s="132">
        <f t="shared" si="100"/>
        <v>-321.4721739107685</v>
      </c>
      <c r="AD266" s="180">
        <v>870430.07666236954</v>
      </c>
      <c r="AE266" s="187">
        <v>826871.52381599555</v>
      </c>
      <c r="AF266" s="187">
        <v>783866.51791669149</v>
      </c>
      <c r="AG266" s="187">
        <v>740590.00909106061</v>
      </c>
      <c r="AH266" s="188">
        <v>697885.62874497077</v>
      </c>
      <c r="AJ266" s="74">
        <f t="shared" si="101"/>
        <v>4583741.6027870327</v>
      </c>
      <c r="AK266" s="74">
        <f t="shared" si="102"/>
        <v>272811.00600000005</v>
      </c>
      <c r="AL266" s="74">
        <f t="shared" si="103"/>
        <v>10721276.47639994</v>
      </c>
      <c r="AM266" s="74">
        <f t="shared" si="104"/>
        <v>14946563.797309561</v>
      </c>
      <c r="AN266" s="74">
        <f t="shared" si="105"/>
        <v>870430.07666236954</v>
      </c>
      <c r="AO266" s="74">
        <f t="shared" si="106"/>
        <v>826871.52381599555</v>
      </c>
      <c r="AP266" s="74">
        <f t="shared" si="107"/>
        <v>783866.51791669149</v>
      </c>
      <c r="AQ266" s="74">
        <f t="shared" si="108"/>
        <v>740590.00909106061</v>
      </c>
      <c r="AR266" s="74">
        <f t="shared" si="109"/>
        <v>697885.62874497077</v>
      </c>
      <c r="AS266" s="75">
        <v>1185</v>
      </c>
      <c r="AT266" s="75"/>
      <c r="AU266" s="75"/>
      <c r="AV266" s="75">
        <v>15</v>
      </c>
      <c r="AW266" s="75">
        <v>9229.3240131654002</v>
      </c>
      <c r="AX266" s="75">
        <v>-1382.0106783292404</v>
      </c>
      <c r="AY266" s="75">
        <v>1371.8481116550363</v>
      </c>
      <c r="AZ266" s="316"/>
      <c r="BA266" s="74"/>
      <c r="BB266" s="74"/>
      <c r="BC266" s="74"/>
      <c r="BD266" s="74"/>
      <c r="BE266" s="74"/>
      <c r="BF266" s="74"/>
      <c r="BG266" s="74"/>
      <c r="BM266" s="316"/>
      <c r="BN266" s="74">
        <v>10899366.202690439</v>
      </c>
      <c r="BO266" s="74">
        <v>13787945.070000002</v>
      </c>
      <c r="BP266" s="74">
        <v>13434000</v>
      </c>
      <c r="BQ266" s="74">
        <v>250892.07</v>
      </c>
      <c r="BR266" s="74">
        <v>212000</v>
      </c>
      <c r="BS266" s="406">
        <f t="shared" si="110"/>
        <v>0.58456027216689299</v>
      </c>
      <c r="BT266" s="406">
        <f t="shared" si="111"/>
        <v>0.33333333333333337</v>
      </c>
      <c r="BU266" s="74">
        <f t="shared" si="112"/>
        <v>13215415.0678127</v>
      </c>
      <c r="BV266" s="316"/>
      <c r="BW266" s="74">
        <v>25845930</v>
      </c>
      <c r="BX266" s="74">
        <v>10899366.202690439</v>
      </c>
      <c r="BY266" s="74">
        <v>11841207.34203922</v>
      </c>
      <c r="BZ266" s="74">
        <v>6984654.7332521882</v>
      </c>
      <c r="CA266" s="74">
        <f t="shared" si="113"/>
        <v>1122290.4797577222</v>
      </c>
      <c r="CB266" s="74">
        <f t="shared" si="114"/>
        <v>484.29066572213748</v>
      </c>
      <c r="CC266" s="74">
        <f t="shared" si="115"/>
        <v>162.81849181136857</v>
      </c>
      <c r="CD266" s="74">
        <f t="shared" si="116"/>
        <v>-321.4721739107689</v>
      </c>
      <c r="CE266" s="74">
        <f t="shared" si="117"/>
        <v>309.34213386307391</v>
      </c>
      <c r="CF266" s="74">
        <f t="shared" si="118"/>
        <v>293.25346723407876</v>
      </c>
      <c r="CG266" s="74">
        <f t="shared" si="119"/>
        <v>277.06322824207319</v>
      </c>
      <c r="CH266" s="74">
        <f t="shared" si="120"/>
        <v>261.08702908528687</v>
      </c>
      <c r="CI266" s="74">
        <f t="shared" si="121"/>
        <v>826871.5238159966</v>
      </c>
      <c r="CJ266" s="74">
        <f t="shared" si="122"/>
        <v>783866.51791669254</v>
      </c>
      <c r="CK266" s="74">
        <f t="shared" si="123"/>
        <v>740590.00909106166</v>
      </c>
      <c r="CL266" s="74">
        <f t="shared" si="124"/>
        <v>697885.62874497182</v>
      </c>
      <c r="CM266" s="316"/>
      <c r="CN266" s="74">
        <v>7763.2387989028675</v>
      </c>
      <c r="CO266" s="74">
        <v>888.22188000000006</v>
      </c>
    </row>
    <row r="267" spans="1:93" x14ac:dyDescent="0.2">
      <c r="A267" s="74">
        <v>790</v>
      </c>
      <c r="B267" s="74" t="s">
        <v>134</v>
      </c>
      <c r="C267" s="74">
        <v>6</v>
      </c>
      <c r="D267" s="74">
        <v>23998</v>
      </c>
      <c r="E267" s="89">
        <v>57466834.375307366</v>
      </c>
      <c r="F267" s="74">
        <v>34506244.584984057</v>
      </c>
      <c r="G267" s="74">
        <v>6193250.7961000009</v>
      </c>
      <c r="H267" s="74">
        <v>4472972.3848000001</v>
      </c>
      <c r="I267" s="74">
        <v>12780699.740503646</v>
      </c>
      <c r="J267" s="74">
        <v>4450867.3051586486</v>
      </c>
      <c r="K267" s="74">
        <v>2153689.1027409001</v>
      </c>
      <c r="L267" s="74">
        <v>-2062635</v>
      </c>
      <c r="M267" s="75">
        <v>-220000</v>
      </c>
      <c r="N267" s="75">
        <v>211030.05560447651</v>
      </c>
      <c r="O267" s="178">
        <f t="shared" si="95"/>
        <v>5019284.5945843607</v>
      </c>
      <c r="P267" s="179">
        <f t="shared" si="96"/>
        <v>209.15428763165099</v>
      </c>
      <c r="Q267" s="74"/>
      <c r="R267" s="89">
        <v>162488000</v>
      </c>
      <c r="S267" s="74">
        <v>79876974.128107011</v>
      </c>
      <c r="T267" s="74">
        <v>6709458.5772000002</v>
      </c>
      <c r="U267" s="74">
        <v>63238582.903746292</v>
      </c>
      <c r="V267" s="74">
        <v>14844243.931258827</v>
      </c>
      <c r="W267" s="74">
        <v>3910615.7961000009</v>
      </c>
      <c r="X267" s="178">
        <f t="shared" si="97"/>
        <v>6091875.3364121318</v>
      </c>
      <c r="Y267" s="179">
        <f t="shared" si="98"/>
        <v>253.84929312493256</v>
      </c>
      <c r="Z267" s="74"/>
      <c r="AA267" s="84">
        <f t="shared" si="99"/>
        <v>-1072590.7418277711</v>
      </c>
      <c r="AB267" s="132">
        <f t="shared" si="100"/>
        <v>-44.69500549328157</v>
      </c>
      <c r="AD267" s="180">
        <v>1172559.5668414747</v>
      </c>
      <c r="AE267" s="187">
        <v>781494.04076317907</v>
      </c>
      <c r="AF267" s="187">
        <v>395398.21900055278</v>
      </c>
      <c r="AG267" s="187">
        <v>14184.121842640876</v>
      </c>
      <c r="AH267" s="188">
        <v>-9242.7055219178856</v>
      </c>
      <c r="AJ267" s="74">
        <f t="shared" si="101"/>
        <v>45370729.543122955</v>
      </c>
      <c r="AK267" s="74">
        <f t="shared" si="102"/>
        <v>2236486.1924000001</v>
      </c>
      <c r="AL267" s="74">
        <f t="shared" si="103"/>
        <v>50457883.163242646</v>
      </c>
      <c r="AM267" s="74">
        <f t="shared" si="104"/>
        <v>105021165.62469263</v>
      </c>
      <c r="AN267" s="74">
        <f t="shared" si="105"/>
        <v>1172559.5668414747</v>
      </c>
      <c r="AO267" s="74">
        <f t="shared" si="106"/>
        <v>781494.04076317907</v>
      </c>
      <c r="AP267" s="74">
        <f t="shared" si="107"/>
        <v>395398.21900055278</v>
      </c>
      <c r="AQ267" s="74">
        <f t="shared" si="108"/>
        <v>14184.121842640876</v>
      </c>
      <c r="AR267" s="74">
        <f t="shared" si="109"/>
        <v>-9242.7055219178856</v>
      </c>
      <c r="AS267" s="75">
        <v>9340</v>
      </c>
      <c r="AT267" s="75"/>
      <c r="AU267" s="75"/>
      <c r="AV267" s="75">
        <v>10</v>
      </c>
      <c r="AW267" s="75">
        <v>42426.443732168045</v>
      </c>
      <c r="AX267" s="75">
        <v>-8405.0529722963947</v>
      </c>
      <c r="AY267" s="75">
        <v>10393.376626100178</v>
      </c>
      <c r="AZ267" s="316"/>
      <c r="BA267" s="74"/>
      <c r="BB267" s="74"/>
      <c r="BC267" s="74"/>
      <c r="BD267" s="74"/>
      <c r="BE267" s="74"/>
      <c r="BF267" s="74"/>
      <c r="BG267" s="74"/>
      <c r="BM267" s="316"/>
      <c r="BN267" s="74">
        <v>57466834.375307366</v>
      </c>
      <c r="BO267" s="74">
        <v>98904935.749999985</v>
      </c>
      <c r="BP267" s="74">
        <v>102174000</v>
      </c>
      <c r="BQ267" s="74">
        <v>1911723.24</v>
      </c>
      <c r="BR267" s="74">
        <v>1974000</v>
      </c>
      <c r="BS267" s="406">
        <f t="shared" si="110"/>
        <v>0.56800761468952488</v>
      </c>
      <c r="BT267" s="406">
        <f t="shared" si="111"/>
        <v>0.33333333333333337</v>
      </c>
      <c r="BU267" s="74">
        <f t="shared" si="112"/>
        <v>63004948.892083719</v>
      </c>
      <c r="BV267" s="316"/>
      <c r="BW267" s="74">
        <v>162488000</v>
      </c>
      <c r="BX267" s="74">
        <v>57466834.375307366</v>
      </c>
      <c r="BY267" s="74">
        <v>92779683.501407012</v>
      </c>
      <c r="BZ267" s="74">
        <v>45172467.765884057</v>
      </c>
      <c r="CA267" s="74">
        <f t="shared" si="113"/>
        <v>2153689.1027408806</v>
      </c>
      <c r="CB267" s="74">
        <f t="shared" si="114"/>
        <v>253.84929312493239</v>
      </c>
      <c r="CC267" s="74">
        <f t="shared" si="115"/>
        <v>209.15428763165031</v>
      </c>
      <c r="CD267" s="74">
        <f t="shared" si="116"/>
        <v>-44.695005493282082</v>
      </c>
      <c r="CE267" s="74">
        <f t="shared" si="117"/>
        <v>32.564965445587085</v>
      </c>
      <c r="CF267" s="74">
        <f t="shared" si="118"/>
        <v>16.476298816591907</v>
      </c>
      <c r="CG267" s="74">
        <f t="shared" si="119"/>
        <v>0.59105433130431184</v>
      </c>
      <c r="CH267" s="74">
        <f t="shared" si="120"/>
        <v>-0.38514482548203544</v>
      </c>
      <c r="CI267" s="74">
        <f t="shared" si="121"/>
        <v>781494.04076319886</v>
      </c>
      <c r="CJ267" s="74">
        <f t="shared" si="122"/>
        <v>395398.21900057257</v>
      </c>
      <c r="CK267" s="74">
        <f t="shared" si="123"/>
        <v>14184.121842640876</v>
      </c>
      <c r="CL267" s="74">
        <f t="shared" si="124"/>
        <v>-9242.7055219178856</v>
      </c>
      <c r="CM267" s="316"/>
      <c r="CN267" s="74">
        <v>81978.947880780208</v>
      </c>
      <c r="CO267" s="74">
        <v>7281.5829520000007</v>
      </c>
    </row>
    <row r="268" spans="1:93" x14ac:dyDescent="0.2">
      <c r="A268" s="74">
        <v>791</v>
      </c>
      <c r="B268" s="74" t="s">
        <v>135</v>
      </c>
      <c r="C268" s="74">
        <v>17</v>
      </c>
      <c r="D268" s="74">
        <v>5131</v>
      </c>
      <c r="E268" s="89">
        <v>15465197.939544756</v>
      </c>
      <c r="F268" s="74">
        <v>6517777.7854234315</v>
      </c>
      <c r="G268" s="74">
        <v>1364740.118</v>
      </c>
      <c r="H268" s="74">
        <v>1070237.4834</v>
      </c>
      <c r="I268" s="74">
        <v>5659527.6912136953</v>
      </c>
      <c r="J268" s="74">
        <v>1217708.875094262</v>
      </c>
      <c r="K268" s="74">
        <v>1140500.0559376774</v>
      </c>
      <c r="L268" s="74">
        <v>-107294</v>
      </c>
      <c r="M268" s="75">
        <v>38300</v>
      </c>
      <c r="N268" s="75">
        <v>38277.567241785277</v>
      </c>
      <c r="O268" s="178">
        <f t="shared" si="95"/>
        <v>1474577.6367660947</v>
      </c>
      <c r="P268" s="179">
        <f t="shared" si="96"/>
        <v>287.3860137918719</v>
      </c>
      <c r="Q268" s="74"/>
      <c r="R268" s="89">
        <v>40964592</v>
      </c>
      <c r="S268" s="74">
        <v>14617866.935276497</v>
      </c>
      <c r="T268" s="74">
        <v>1605356.2251000002</v>
      </c>
      <c r="U268" s="74">
        <v>21149646.280204192</v>
      </c>
      <c r="V268" s="74">
        <v>4061223.6536927489</v>
      </c>
      <c r="W268" s="74">
        <v>1295746.118</v>
      </c>
      <c r="X268" s="178">
        <f t="shared" si="97"/>
        <v>1765247.2122734338</v>
      </c>
      <c r="Y268" s="179">
        <f t="shared" si="98"/>
        <v>344.03570693304107</v>
      </c>
      <c r="Z268" s="74"/>
      <c r="AA268" s="84">
        <f t="shared" si="99"/>
        <v>-290669.57550733909</v>
      </c>
      <c r="AB268" s="132">
        <f t="shared" si="100"/>
        <v>-56.649693141169188</v>
      </c>
      <c r="AD268" s="180">
        <v>312043.85841197823</v>
      </c>
      <c r="AE268" s="187">
        <v>228430.34002262354</v>
      </c>
      <c r="AF268" s="187">
        <v>145879.3915492493</v>
      </c>
      <c r="AG268" s="187">
        <v>62807.275281269001</v>
      </c>
      <c r="AH268" s="188">
        <v>-1976.1780995483239</v>
      </c>
      <c r="AJ268" s="74">
        <f t="shared" si="101"/>
        <v>8100089.1498530656</v>
      </c>
      <c r="AK268" s="74">
        <f t="shared" si="102"/>
        <v>535118.74170000013</v>
      </c>
      <c r="AL268" s="74">
        <f t="shared" si="103"/>
        <v>15490118.588990496</v>
      </c>
      <c r="AM268" s="74">
        <f t="shared" si="104"/>
        <v>25499394.060455244</v>
      </c>
      <c r="AN268" s="74">
        <f t="shared" si="105"/>
        <v>312043.85841197823</v>
      </c>
      <c r="AO268" s="74">
        <f t="shared" si="106"/>
        <v>228430.34002262354</v>
      </c>
      <c r="AP268" s="74">
        <f t="shared" si="107"/>
        <v>145879.3915492493</v>
      </c>
      <c r="AQ268" s="74">
        <f t="shared" si="108"/>
        <v>62807.275281269001</v>
      </c>
      <c r="AR268" s="74">
        <f t="shared" si="109"/>
        <v>-1976.1780995483239</v>
      </c>
      <c r="AS268" s="75">
        <v>1177</v>
      </c>
      <c r="AT268" s="75"/>
      <c r="AU268" s="75"/>
      <c r="AV268" s="75">
        <v>3</v>
      </c>
      <c r="AW268" s="75">
        <v>13128.596033148835</v>
      </c>
      <c r="AX268" s="75">
        <v>-2833.4124386425083</v>
      </c>
      <c r="AY268" s="75">
        <v>2843.5147785984868</v>
      </c>
      <c r="AZ268" s="316"/>
      <c r="BA268" s="74"/>
      <c r="BB268" s="74"/>
      <c r="BC268" s="74"/>
      <c r="BD268" s="74"/>
      <c r="BE268" s="74"/>
      <c r="BF268" s="74"/>
      <c r="BG268" s="74"/>
      <c r="BM268" s="316"/>
      <c r="BN268" s="74">
        <v>15465197.939544756</v>
      </c>
      <c r="BO268" s="74">
        <v>24218960.560000002</v>
      </c>
      <c r="BP268" s="74">
        <v>25233000</v>
      </c>
      <c r="BQ268" s="74">
        <v>802392.89</v>
      </c>
      <c r="BR268" s="74">
        <v>687000</v>
      </c>
      <c r="BS268" s="406">
        <f t="shared" si="110"/>
        <v>0.55412251224599429</v>
      </c>
      <c r="BT268" s="406">
        <f t="shared" si="111"/>
        <v>0.33333333333333337</v>
      </c>
      <c r="BU268" s="74">
        <f t="shared" si="112"/>
        <v>19474133.42352666</v>
      </c>
      <c r="BV268" s="316"/>
      <c r="BW268" s="74">
        <v>40964592</v>
      </c>
      <c r="BX268" s="74">
        <v>15465197.939544756</v>
      </c>
      <c r="BY268" s="74">
        <v>17587963.278376497</v>
      </c>
      <c r="BZ268" s="74">
        <v>8952755.3868234307</v>
      </c>
      <c r="CA268" s="74">
        <f t="shared" si="113"/>
        <v>1140500.0559376748</v>
      </c>
      <c r="CB268" s="74">
        <f t="shared" si="114"/>
        <v>344.03570693304175</v>
      </c>
      <c r="CC268" s="74">
        <f t="shared" si="115"/>
        <v>287.38601379187156</v>
      </c>
      <c r="CD268" s="74">
        <f t="shared" si="116"/>
        <v>-56.649693141170189</v>
      </c>
      <c r="CE268" s="74">
        <f t="shared" si="117"/>
        <v>44.519653093475192</v>
      </c>
      <c r="CF268" s="74">
        <f t="shared" si="118"/>
        <v>28.430986464480014</v>
      </c>
      <c r="CG268" s="74">
        <f t="shared" si="119"/>
        <v>12.240747472474501</v>
      </c>
      <c r="CH268" s="74">
        <f t="shared" si="120"/>
        <v>-0.38514482548203544</v>
      </c>
      <c r="CI268" s="74">
        <f t="shared" si="121"/>
        <v>228430.34002262121</v>
      </c>
      <c r="CJ268" s="74">
        <f t="shared" si="122"/>
        <v>145879.39154924697</v>
      </c>
      <c r="CK268" s="74">
        <f t="shared" si="123"/>
        <v>62807.275281266666</v>
      </c>
      <c r="CL268" s="74">
        <f t="shared" si="124"/>
        <v>-1976.1780995483239</v>
      </c>
      <c r="CM268" s="316"/>
      <c r="CN268" s="74">
        <v>14648.605464723792</v>
      </c>
      <c r="CO268" s="74">
        <v>1742.2470659999999</v>
      </c>
    </row>
    <row r="269" spans="1:93" x14ac:dyDescent="0.2">
      <c r="A269" s="74">
        <v>831</v>
      </c>
      <c r="B269" s="74" t="s">
        <v>384</v>
      </c>
      <c r="C269" s="74">
        <v>9</v>
      </c>
      <c r="D269" s="74">
        <v>4595</v>
      </c>
      <c r="E269" s="89">
        <v>13266073.005336922</v>
      </c>
      <c r="F269" s="74">
        <v>7740466.2179821646</v>
      </c>
      <c r="G269" s="74">
        <v>2143603.8130000001</v>
      </c>
      <c r="H269" s="74">
        <v>506515.81679999997</v>
      </c>
      <c r="I269" s="74">
        <v>2416768.8688298585</v>
      </c>
      <c r="J269" s="74">
        <v>698162.67396883247</v>
      </c>
      <c r="K269" s="74">
        <v>277484.27787702432</v>
      </c>
      <c r="L269" s="74">
        <v>-1110649</v>
      </c>
      <c r="M269" s="75">
        <v>-79900</v>
      </c>
      <c r="N269" s="75">
        <v>51030.577784418434</v>
      </c>
      <c r="O269" s="178">
        <f t="shared" si="95"/>
        <v>-622589.75909462199</v>
      </c>
      <c r="P269" s="179">
        <f t="shared" si="96"/>
        <v>-135.4928746669471</v>
      </c>
      <c r="Q269" s="74"/>
      <c r="R269" s="89">
        <v>29230313</v>
      </c>
      <c r="S269" s="74">
        <v>18999424.987591982</v>
      </c>
      <c r="T269" s="74">
        <v>759773.72519999999</v>
      </c>
      <c r="U269" s="74">
        <v>5943343.450215077</v>
      </c>
      <c r="V269" s="74">
        <v>2328466.8639933462</v>
      </c>
      <c r="W269" s="74">
        <v>953054.81300000008</v>
      </c>
      <c r="X269" s="178">
        <f t="shared" si="97"/>
        <v>-246249.15999959409</v>
      </c>
      <c r="Y269" s="179">
        <f t="shared" si="98"/>
        <v>-53.590676822544957</v>
      </c>
      <c r="Z269" s="74"/>
      <c r="AA269" s="84">
        <f t="shared" si="99"/>
        <v>-376340.59909502789</v>
      </c>
      <c r="AB269" s="132">
        <f t="shared" si="100"/>
        <v>-81.902197844402153</v>
      </c>
      <c r="AD269" s="180">
        <v>395482.05883909186</v>
      </c>
      <c r="AE269" s="187">
        <v>320603.0650758713</v>
      </c>
      <c r="AF269" s="187">
        <v>246675.64191563844</v>
      </c>
      <c r="AG269" s="187">
        <v>172281.49374737311</v>
      </c>
      <c r="AH269" s="188">
        <v>98870.858621939828</v>
      </c>
      <c r="AJ269" s="74">
        <f t="shared" si="101"/>
        <v>11258958.769609816</v>
      </c>
      <c r="AK269" s="74">
        <f t="shared" si="102"/>
        <v>253257.90840000001</v>
      </c>
      <c r="AL269" s="74">
        <f t="shared" si="103"/>
        <v>3526574.5813852185</v>
      </c>
      <c r="AM269" s="74">
        <f t="shared" si="104"/>
        <v>15964239.994663078</v>
      </c>
      <c r="AN269" s="74">
        <f t="shared" si="105"/>
        <v>395482.05883909186</v>
      </c>
      <c r="AO269" s="74">
        <f t="shared" si="106"/>
        <v>320603.0650758713</v>
      </c>
      <c r="AP269" s="74">
        <f t="shared" si="107"/>
        <v>246675.64191563844</v>
      </c>
      <c r="AQ269" s="74">
        <f t="shared" si="108"/>
        <v>172281.49374737311</v>
      </c>
      <c r="AR269" s="74">
        <f t="shared" si="109"/>
        <v>98870.858621939828</v>
      </c>
      <c r="AS269" s="75">
        <v>1639</v>
      </c>
      <c r="AT269" s="75"/>
      <c r="AU269" s="75"/>
      <c r="AV269" s="75">
        <v>0</v>
      </c>
      <c r="AW269" s="75">
        <v>3524.1865481835312</v>
      </c>
      <c r="AX269" s="75">
        <v>186.96950357376781</v>
      </c>
      <c r="AY269" s="75">
        <v>1630.3041900245137</v>
      </c>
      <c r="AZ269" s="316"/>
      <c r="BA269" s="74"/>
      <c r="BB269" s="74"/>
      <c r="BC269" s="74"/>
      <c r="BD269" s="74"/>
      <c r="BE269" s="74"/>
      <c r="BF269" s="74"/>
      <c r="BG269" s="74"/>
      <c r="BM269" s="316"/>
      <c r="BN269" s="74">
        <v>13266073.005336922</v>
      </c>
      <c r="BO269" s="74">
        <v>14803316.339999998</v>
      </c>
      <c r="BP269" s="74">
        <v>16097000</v>
      </c>
      <c r="BQ269" s="74">
        <v>412294.46</v>
      </c>
      <c r="BR269" s="74">
        <v>439000</v>
      </c>
      <c r="BS269" s="406">
        <f t="shared" si="110"/>
        <v>0.59259471152220367</v>
      </c>
      <c r="BT269" s="406">
        <f t="shared" si="111"/>
        <v>0.33333333333333337</v>
      </c>
      <c r="BU269" s="74">
        <f t="shared" si="112"/>
        <v>5434363.0492867576</v>
      </c>
      <c r="BV269" s="316"/>
      <c r="BW269" s="74">
        <v>29230313</v>
      </c>
      <c r="BX269" s="74">
        <v>13266073.005336922</v>
      </c>
      <c r="BY269" s="74">
        <v>21902802.525791984</v>
      </c>
      <c r="BZ269" s="74">
        <v>10390585.847782165</v>
      </c>
      <c r="CA269" s="74">
        <f t="shared" si="113"/>
        <v>277484.27787702321</v>
      </c>
      <c r="CB269" s="74">
        <f t="shared" si="114"/>
        <v>-53.590676822545262</v>
      </c>
      <c r="CC269" s="74">
        <f t="shared" si="115"/>
        <v>-135.49287466694759</v>
      </c>
      <c r="CD269" s="74">
        <f t="shared" si="116"/>
        <v>-81.902197844402323</v>
      </c>
      <c r="CE269" s="74">
        <f t="shared" si="117"/>
        <v>69.772157796707333</v>
      </c>
      <c r="CF269" s="74">
        <f t="shared" si="118"/>
        <v>53.683491167712148</v>
      </c>
      <c r="CG269" s="74">
        <f t="shared" si="119"/>
        <v>37.493252175706637</v>
      </c>
      <c r="CH269" s="74">
        <f t="shared" si="120"/>
        <v>21.517053018920286</v>
      </c>
      <c r="CI269" s="74">
        <f t="shared" si="121"/>
        <v>320603.0650758702</v>
      </c>
      <c r="CJ269" s="74">
        <f t="shared" si="122"/>
        <v>246675.64191563733</v>
      </c>
      <c r="CK269" s="74">
        <f t="shared" si="123"/>
        <v>172281.49374737201</v>
      </c>
      <c r="CL269" s="74">
        <f t="shared" si="124"/>
        <v>98870.858621938722</v>
      </c>
      <c r="CM269" s="316"/>
      <c r="CN269" s="74">
        <v>18826.847517308364</v>
      </c>
      <c r="CO269" s="74">
        <v>824.56063199999994</v>
      </c>
    </row>
    <row r="270" spans="1:93" x14ac:dyDescent="0.2">
      <c r="A270" s="74">
        <v>832</v>
      </c>
      <c r="B270" s="74" t="s">
        <v>385</v>
      </c>
      <c r="C270" s="74">
        <v>17</v>
      </c>
      <c r="D270" s="74">
        <v>3913</v>
      </c>
      <c r="E270" s="89">
        <v>15300405.096064862</v>
      </c>
      <c r="F270" s="74">
        <v>4295776.3954005223</v>
      </c>
      <c r="G270" s="74">
        <v>943510.0584000001</v>
      </c>
      <c r="H270" s="74">
        <v>1168289.2482</v>
      </c>
      <c r="I270" s="74">
        <v>5099673.7818799363</v>
      </c>
      <c r="J270" s="74">
        <v>770008.82818160555</v>
      </c>
      <c r="K270" s="74">
        <v>1776586.5202539766</v>
      </c>
      <c r="L270" s="74">
        <v>-82873</v>
      </c>
      <c r="M270" s="75">
        <v>54600</v>
      </c>
      <c r="N270" s="75">
        <v>30172.938147370944</v>
      </c>
      <c r="O270" s="178">
        <f t="shared" si="95"/>
        <v>-1244660.3256014511</v>
      </c>
      <c r="P270" s="179">
        <f t="shared" si="96"/>
        <v>-318.08339524698471</v>
      </c>
      <c r="Q270" s="74"/>
      <c r="R270" s="89">
        <v>33902850</v>
      </c>
      <c r="S270" s="74">
        <v>10518480.073746821</v>
      </c>
      <c r="T270" s="74">
        <v>1752433.8723000002</v>
      </c>
      <c r="U270" s="74">
        <v>18062006.902684331</v>
      </c>
      <c r="V270" s="74">
        <v>2568083.497232703</v>
      </c>
      <c r="W270" s="74">
        <v>915237.0584000001</v>
      </c>
      <c r="X270" s="178">
        <f t="shared" si="97"/>
        <v>-86608.59563614428</v>
      </c>
      <c r="Y270" s="179">
        <f t="shared" si="98"/>
        <v>-22.133553702055785</v>
      </c>
      <c r="Z270" s="74"/>
      <c r="AA270" s="84">
        <f t="shared" si="99"/>
        <v>-1158051.7299653068</v>
      </c>
      <c r="AB270" s="132">
        <f t="shared" si="100"/>
        <v>-295.94984154492892</v>
      </c>
      <c r="AD270" s="180">
        <v>1174352.1721804314</v>
      </c>
      <c r="AE270" s="187">
        <v>1110586.8832586727</v>
      </c>
      <c r="AF270" s="187">
        <v>1047631.9307394145</v>
      </c>
      <c r="AG270" s="187">
        <v>984279.52556369686</v>
      </c>
      <c r="AH270" s="188">
        <v>921764.65826319193</v>
      </c>
      <c r="AJ270" s="74">
        <f t="shared" si="101"/>
        <v>6222703.6783462986</v>
      </c>
      <c r="AK270" s="74">
        <f t="shared" si="102"/>
        <v>584144.62410000013</v>
      </c>
      <c r="AL270" s="74">
        <f t="shared" si="103"/>
        <v>12962333.120804396</v>
      </c>
      <c r="AM270" s="74">
        <f t="shared" si="104"/>
        <v>18602444.903935138</v>
      </c>
      <c r="AN270" s="74">
        <f t="shared" si="105"/>
        <v>1174352.1721804314</v>
      </c>
      <c r="AO270" s="74">
        <f t="shared" si="106"/>
        <v>1110586.8832586727</v>
      </c>
      <c r="AP270" s="74">
        <f t="shared" si="107"/>
        <v>1047631.9307394145</v>
      </c>
      <c r="AQ270" s="74">
        <f t="shared" si="108"/>
        <v>984279.52556369686</v>
      </c>
      <c r="AR270" s="74">
        <f t="shared" si="109"/>
        <v>921764.65826319193</v>
      </c>
      <c r="AS270" s="75">
        <v>1700</v>
      </c>
      <c r="AT270" s="75"/>
      <c r="AU270" s="75"/>
      <c r="AV270" s="75">
        <v>92</v>
      </c>
      <c r="AW270" s="75">
        <v>10986.157419322029</v>
      </c>
      <c r="AX270" s="75">
        <v>-2004.2126426115781</v>
      </c>
      <c r="AY270" s="75">
        <v>1798.0746690510975</v>
      </c>
      <c r="AZ270" s="316"/>
      <c r="BA270" s="74"/>
      <c r="BB270" s="74"/>
      <c r="BC270" s="74"/>
      <c r="BD270" s="74"/>
      <c r="BE270" s="74"/>
      <c r="BF270" s="74"/>
      <c r="BG270" s="74"/>
      <c r="BM270" s="316"/>
      <c r="BN270" s="74">
        <v>15300405.096064862</v>
      </c>
      <c r="BO270" s="74">
        <v>17499985.040000007</v>
      </c>
      <c r="BP270" s="74">
        <v>18095000</v>
      </c>
      <c r="BQ270" s="74">
        <v>320908.11000000004</v>
      </c>
      <c r="BR270" s="74">
        <v>277000</v>
      </c>
      <c r="BS270" s="406">
        <f t="shared" si="110"/>
        <v>0.59159723027641675</v>
      </c>
      <c r="BT270" s="406">
        <f t="shared" si="111"/>
        <v>0.33333333333333337</v>
      </c>
      <c r="BU270" s="74">
        <f t="shared" si="112"/>
        <v>16536994.310109468</v>
      </c>
      <c r="BV270" s="316"/>
      <c r="BW270" s="74">
        <v>33902850</v>
      </c>
      <c r="BX270" s="74">
        <v>15300405.096064862</v>
      </c>
      <c r="BY270" s="74">
        <v>13214424.004446821</v>
      </c>
      <c r="BZ270" s="74">
        <v>6407575.702000523</v>
      </c>
      <c r="CA270" s="74">
        <f t="shared" si="113"/>
        <v>1776586.5202539756</v>
      </c>
      <c r="CB270" s="74">
        <f t="shared" si="114"/>
        <v>-22.133553702055753</v>
      </c>
      <c r="CC270" s="74">
        <f t="shared" si="115"/>
        <v>-318.08339524698494</v>
      </c>
      <c r="CD270" s="74">
        <f t="shared" si="116"/>
        <v>-295.9498415449292</v>
      </c>
      <c r="CE270" s="74">
        <f t="shared" si="117"/>
        <v>283.81980149723421</v>
      </c>
      <c r="CF270" s="74">
        <f t="shared" si="118"/>
        <v>267.73113486823905</v>
      </c>
      <c r="CG270" s="74">
        <f t="shared" si="119"/>
        <v>251.54089587623352</v>
      </c>
      <c r="CH270" s="74">
        <f t="shared" si="120"/>
        <v>235.56469671944717</v>
      </c>
      <c r="CI270" s="74">
        <f t="shared" si="121"/>
        <v>1110586.8832586776</v>
      </c>
      <c r="CJ270" s="74">
        <f t="shared" si="122"/>
        <v>1047631.9307394194</v>
      </c>
      <c r="CK270" s="74">
        <f t="shared" si="123"/>
        <v>984279.52556370175</v>
      </c>
      <c r="CL270" s="74">
        <f t="shared" si="124"/>
        <v>921764.65826319682</v>
      </c>
      <c r="CM270" s="316"/>
      <c r="CN270" s="74">
        <v>10720.676591277976</v>
      </c>
      <c r="CO270" s="74">
        <v>1901.8662180000001</v>
      </c>
    </row>
    <row r="271" spans="1:93" x14ac:dyDescent="0.2">
      <c r="A271" s="74">
        <v>833</v>
      </c>
      <c r="B271" s="74" t="s">
        <v>386</v>
      </c>
      <c r="C271" s="74">
        <v>2</v>
      </c>
      <c r="D271" s="74">
        <v>1677</v>
      </c>
      <c r="E271" s="89">
        <v>5255478.5797276869</v>
      </c>
      <c r="F271" s="74">
        <v>1988003.7990756487</v>
      </c>
      <c r="G271" s="74">
        <v>1274168.23</v>
      </c>
      <c r="H271" s="74">
        <v>199676.43400000001</v>
      </c>
      <c r="I271" s="74">
        <v>493870.8750052274</v>
      </c>
      <c r="J271" s="74">
        <v>331456.43728755764</v>
      </c>
      <c r="K271" s="74">
        <v>460471.57373023202</v>
      </c>
      <c r="L271" s="74">
        <v>-377556</v>
      </c>
      <c r="M271" s="75">
        <v>-96000</v>
      </c>
      <c r="N271" s="75">
        <v>15579.001566671874</v>
      </c>
      <c r="O271" s="178">
        <f t="shared" si="95"/>
        <v>-965808.22906234954</v>
      </c>
      <c r="P271" s="179">
        <f t="shared" si="96"/>
        <v>-575.91426896979704</v>
      </c>
      <c r="Q271" s="74"/>
      <c r="R271" s="89">
        <v>12300846</v>
      </c>
      <c r="S271" s="74">
        <v>5402702.3451170223</v>
      </c>
      <c r="T271" s="74">
        <v>299514.65100000001</v>
      </c>
      <c r="U271" s="74">
        <v>4329434.612071367</v>
      </c>
      <c r="V271" s="74">
        <v>1105452.0097644476</v>
      </c>
      <c r="W271" s="74">
        <v>800612.23</v>
      </c>
      <c r="X271" s="178">
        <f t="shared" si="97"/>
        <v>-363130.15204716474</v>
      </c>
      <c r="Y271" s="179">
        <f t="shared" si="98"/>
        <v>-216.53557069002071</v>
      </c>
      <c r="Z271" s="74"/>
      <c r="AA271" s="84">
        <f t="shared" si="99"/>
        <v>-602678.0770151848</v>
      </c>
      <c r="AB271" s="132">
        <f t="shared" si="100"/>
        <v>-359.37869827977624</v>
      </c>
      <c r="AD271" s="180">
        <v>609663.98082167038</v>
      </c>
      <c r="AE271" s="187">
        <v>582335.99985520227</v>
      </c>
      <c r="AF271" s="187">
        <v>555355.30591837736</v>
      </c>
      <c r="AG271" s="187">
        <v>528204.27512878401</v>
      </c>
      <c r="AH271" s="188">
        <v>501412.18914285343</v>
      </c>
      <c r="AJ271" s="74">
        <f t="shared" si="101"/>
        <v>3414698.5460413736</v>
      </c>
      <c r="AK271" s="74">
        <f t="shared" si="102"/>
        <v>99838.217000000004</v>
      </c>
      <c r="AL271" s="74">
        <f t="shared" si="103"/>
        <v>3835563.7370661395</v>
      </c>
      <c r="AM271" s="74">
        <f t="shared" si="104"/>
        <v>7045367.4202723131</v>
      </c>
      <c r="AN271" s="74">
        <f t="shared" si="105"/>
        <v>609663.98082167038</v>
      </c>
      <c r="AO271" s="74">
        <f t="shared" si="106"/>
        <v>582335.99985520227</v>
      </c>
      <c r="AP271" s="74">
        <f t="shared" si="107"/>
        <v>555355.30591837736</v>
      </c>
      <c r="AQ271" s="74">
        <f t="shared" si="108"/>
        <v>528204.27512878401</v>
      </c>
      <c r="AR271" s="74">
        <f t="shared" si="109"/>
        <v>501412.18914285343</v>
      </c>
      <c r="AS271" s="75">
        <v>568</v>
      </c>
      <c r="AT271" s="75"/>
      <c r="AU271" s="75"/>
      <c r="AV271" s="75">
        <v>23</v>
      </c>
      <c r="AW271" s="75">
        <v>3240.0174007024116</v>
      </c>
      <c r="AX271" s="75">
        <v>-300.57687604140136</v>
      </c>
      <c r="AY271" s="75">
        <v>773.99557247688995</v>
      </c>
      <c r="AZ271" s="316"/>
      <c r="BA271" s="74"/>
      <c r="BB271" s="74"/>
      <c r="BC271" s="74"/>
      <c r="BD271" s="74"/>
      <c r="BE271" s="74"/>
      <c r="BF271" s="74"/>
      <c r="BG271" s="74"/>
      <c r="BM271" s="316"/>
      <c r="BN271" s="74">
        <v>5255478.5797276869</v>
      </c>
      <c r="BO271" s="74">
        <v>6484386.1399999997</v>
      </c>
      <c r="BP271" s="74">
        <v>7269000</v>
      </c>
      <c r="BQ271" s="74">
        <v>133687.44</v>
      </c>
      <c r="BR271" s="74">
        <v>136000</v>
      </c>
      <c r="BS271" s="406">
        <f t="shared" si="110"/>
        <v>0.63203529047414353</v>
      </c>
      <c r="BT271" s="406">
        <f t="shared" si="111"/>
        <v>0.33333333333333337</v>
      </c>
      <c r="BU271" s="74">
        <f t="shared" si="112"/>
        <v>5070030.8832732616</v>
      </c>
      <c r="BV271" s="316"/>
      <c r="BW271" s="74">
        <v>12300846</v>
      </c>
      <c r="BX271" s="74">
        <v>5255478.5797276869</v>
      </c>
      <c r="BY271" s="74">
        <v>6976385.2261170223</v>
      </c>
      <c r="BZ271" s="74">
        <v>3461848.4630756485</v>
      </c>
      <c r="CA271" s="74">
        <f t="shared" si="113"/>
        <v>460471.57373023179</v>
      </c>
      <c r="CB271" s="74">
        <f t="shared" si="114"/>
        <v>-216.53557069002002</v>
      </c>
      <c r="CC271" s="74">
        <f t="shared" si="115"/>
        <v>-575.91426896979704</v>
      </c>
      <c r="CD271" s="74">
        <f t="shared" si="116"/>
        <v>-359.37869827977704</v>
      </c>
      <c r="CE271" s="74">
        <f t="shared" si="117"/>
        <v>347.24865823208205</v>
      </c>
      <c r="CF271" s="74">
        <f t="shared" si="118"/>
        <v>331.15999160308689</v>
      </c>
      <c r="CG271" s="74">
        <f t="shared" si="119"/>
        <v>314.96975261108133</v>
      </c>
      <c r="CH271" s="74">
        <f t="shared" si="120"/>
        <v>298.99355345429501</v>
      </c>
      <c r="CI271" s="74">
        <f t="shared" si="121"/>
        <v>582335.99985520157</v>
      </c>
      <c r="CJ271" s="74">
        <f t="shared" si="122"/>
        <v>555355.30591837678</v>
      </c>
      <c r="CK271" s="74">
        <f t="shared" si="123"/>
        <v>528204.27512878343</v>
      </c>
      <c r="CL271" s="74">
        <f t="shared" si="124"/>
        <v>501412.18914285273</v>
      </c>
      <c r="CM271" s="316"/>
      <c r="CN271" s="74">
        <v>5444.9984102188591</v>
      </c>
      <c r="CO271" s="74">
        <v>325.05466000000001</v>
      </c>
    </row>
    <row r="272" spans="1:93" x14ac:dyDescent="0.2">
      <c r="A272" s="74">
        <v>834</v>
      </c>
      <c r="B272" s="74" t="s">
        <v>387</v>
      </c>
      <c r="C272" s="74">
        <v>5</v>
      </c>
      <c r="D272" s="74">
        <v>5967</v>
      </c>
      <c r="E272" s="89">
        <v>16397377.940659322</v>
      </c>
      <c r="F272" s="74">
        <v>9043070.3350900244</v>
      </c>
      <c r="G272" s="74">
        <v>1898495.3959999999</v>
      </c>
      <c r="H272" s="74">
        <v>1120905.5358</v>
      </c>
      <c r="I272" s="74">
        <v>2960409.6481496603</v>
      </c>
      <c r="J272" s="74">
        <v>1117455.6917004087</v>
      </c>
      <c r="K272" s="74">
        <v>1173682.0982292539</v>
      </c>
      <c r="L272" s="74">
        <v>-1432150</v>
      </c>
      <c r="M272" s="75">
        <v>-47500</v>
      </c>
      <c r="N272" s="75">
        <v>57206.090910222898</v>
      </c>
      <c r="O272" s="178">
        <f t="shared" si="95"/>
        <v>-505803.14477975294</v>
      </c>
      <c r="P272" s="179">
        <f t="shared" si="96"/>
        <v>-84.7667412065951</v>
      </c>
      <c r="Q272" s="74"/>
      <c r="R272" s="89">
        <v>38960912</v>
      </c>
      <c r="S272" s="74">
        <v>21387995.919803932</v>
      </c>
      <c r="T272" s="74">
        <v>1681358.3037</v>
      </c>
      <c r="U272" s="74">
        <v>11964721.532287501</v>
      </c>
      <c r="V272" s="74">
        <v>3726865.7393467641</v>
      </c>
      <c r="W272" s="74">
        <v>418845.39599999995</v>
      </c>
      <c r="X272" s="178">
        <f t="shared" si="97"/>
        <v>218874.89113819599</v>
      </c>
      <c r="Y272" s="179">
        <f t="shared" si="98"/>
        <v>36.680893436935811</v>
      </c>
      <c r="Z272" s="74"/>
      <c r="AA272" s="84">
        <f t="shared" si="99"/>
        <v>-724678.03591794893</v>
      </c>
      <c r="AB272" s="132">
        <f t="shared" si="100"/>
        <v>-121.4476346435309</v>
      </c>
      <c r="AD272" s="180">
        <v>749534.85643869289</v>
      </c>
      <c r="AE272" s="187">
        <v>652298.0869533529</v>
      </c>
      <c r="AF272" s="187">
        <v>556297.01317813864</v>
      </c>
      <c r="AG272" s="187">
        <v>459689.85711284168</v>
      </c>
      <c r="AH272" s="188">
        <v>364359.87674429757</v>
      </c>
      <c r="AJ272" s="74">
        <f t="shared" si="101"/>
        <v>12344925.584713908</v>
      </c>
      <c r="AK272" s="74">
        <f t="shared" si="102"/>
        <v>560452.76790000009</v>
      </c>
      <c r="AL272" s="74">
        <f t="shared" si="103"/>
        <v>9004311.8841378409</v>
      </c>
      <c r="AM272" s="74">
        <f t="shared" si="104"/>
        <v>22563534.059340678</v>
      </c>
      <c r="AN272" s="74">
        <f t="shared" si="105"/>
        <v>749534.85643869289</v>
      </c>
      <c r="AO272" s="74">
        <f t="shared" si="106"/>
        <v>652298.0869533529</v>
      </c>
      <c r="AP272" s="74">
        <f t="shared" si="107"/>
        <v>556297.01317813864</v>
      </c>
      <c r="AQ272" s="74">
        <f t="shared" si="108"/>
        <v>459689.85711284168</v>
      </c>
      <c r="AR272" s="74">
        <f t="shared" si="109"/>
        <v>364359.87674429757</v>
      </c>
      <c r="AS272" s="75">
        <v>2851</v>
      </c>
      <c r="AT272" s="75"/>
      <c r="AU272" s="75"/>
      <c r="AV272" s="75">
        <v>2</v>
      </c>
      <c r="AW272" s="75">
        <v>7874.2543515395837</v>
      </c>
      <c r="AX272" s="75">
        <v>-1190.4230156592787</v>
      </c>
      <c r="AY272" s="75">
        <v>2609.4100476463555</v>
      </c>
      <c r="AZ272" s="316"/>
      <c r="BA272" s="74"/>
      <c r="BB272" s="74"/>
      <c r="BC272" s="74"/>
      <c r="BD272" s="74"/>
      <c r="BE272" s="74"/>
      <c r="BF272" s="74"/>
      <c r="BG272" s="74"/>
      <c r="BM272" s="316"/>
      <c r="BN272" s="74">
        <v>16397377.940659322</v>
      </c>
      <c r="BO272" s="74">
        <v>21097125.270000003</v>
      </c>
      <c r="BP272" s="74">
        <v>22075000</v>
      </c>
      <c r="BQ272" s="74">
        <v>403849.15</v>
      </c>
      <c r="BR272" s="74">
        <v>445000</v>
      </c>
      <c r="BS272" s="406">
        <f t="shared" si="110"/>
        <v>0.57718944921264392</v>
      </c>
      <c r="BT272" s="406">
        <f t="shared" si="111"/>
        <v>0.33333333333333337</v>
      </c>
      <c r="BU272" s="74">
        <f t="shared" si="112"/>
        <v>12787404.030013451</v>
      </c>
      <c r="BV272" s="316"/>
      <c r="BW272" s="74">
        <v>38960912</v>
      </c>
      <c r="BX272" s="74">
        <v>16397377.940659322</v>
      </c>
      <c r="BY272" s="74">
        <v>24967849.619503934</v>
      </c>
      <c r="BZ272" s="74">
        <v>12062471.266890025</v>
      </c>
      <c r="CA272" s="74">
        <f t="shared" si="113"/>
        <v>1173682.0982292525</v>
      </c>
      <c r="CB272" s="74">
        <f t="shared" si="114"/>
        <v>36.68089343693601</v>
      </c>
      <c r="CC272" s="74">
        <f t="shared" si="115"/>
        <v>-84.766741206595199</v>
      </c>
      <c r="CD272" s="74">
        <f t="shared" si="116"/>
        <v>-121.44763464353122</v>
      </c>
      <c r="CE272" s="74">
        <f t="shared" si="117"/>
        <v>109.31759459583623</v>
      </c>
      <c r="CF272" s="74">
        <f t="shared" si="118"/>
        <v>93.228927966841042</v>
      </c>
      <c r="CG272" s="74">
        <f t="shared" si="119"/>
        <v>77.038688974835523</v>
      </c>
      <c r="CH272" s="74">
        <f t="shared" si="120"/>
        <v>61.06248981804918</v>
      </c>
      <c r="CI272" s="74">
        <f t="shared" si="121"/>
        <v>652298.08695335477</v>
      </c>
      <c r="CJ272" s="74">
        <f t="shared" si="122"/>
        <v>556297.01317814051</v>
      </c>
      <c r="CK272" s="74">
        <f t="shared" si="123"/>
        <v>459689.85711284354</v>
      </c>
      <c r="CL272" s="74">
        <f t="shared" si="124"/>
        <v>364359.87674429943</v>
      </c>
      <c r="CM272" s="316"/>
      <c r="CN272" s="74">
        <v>22309.566206828316</v>
      </c>
      <c r="CO272" s="74">
        <v>1824.7299419999999</v>
      </c>
    </row>
    <row r="273" spans="1:93" x14ac:dyDescent="0.2">
      <c r="A273" s="74">
        <v>837</v>
      </c>
      <c r="B273" s="74" t="s">
        <v>388</v>
      </c>
      <c r="C273" s="74">
        <v>6</v>
      </c>
      <c r="D273" s="74">
        <v>244223</v>
      </c>
      <c r="E273" s="89">
        <v>612988511.5950675</v>
      </c>
      <c r="F273" s="74">
        <v>357633464.14045399</v>
      </c>
      <c r="G273" s="74">
        <v>98273384.317000017</v>
      </c>
      <c r="H273" s="74">
        <v>75648856.1664</v>
      </c>
      <c r="I273" s="74">
        <v>16965891.741859745</v>
      </c>
      <c r="J273" s="74">
        <v>35057942.588837191</v>
      </c>
      <c r="K273" s="74">
        <v>-53845192.491937794</v>
      </c>
      <c r="L273" s="74">
        <v>72471777</v>
      </c>
      <c r="M273" s="75">
        <v>17014000</v>
      </c>
      <c r="N273" s="75">
        <v>2654944.0744332806</v>
      </c>
      <c r="O273" s="178">
        <f t="shared" si="95"/>
        <v>8886555.9419789314</v>
      </c>
      <c r="P273" s="179">
        <f t="shared" si="96"/>
        <v>36.387055854603915</v>
      </c>
      <c r="Q273" s="74"/>
      <c r="R273" s="89">
        <v>1526086912</v>
      </c>
      <c r="S273" s="74">
        <v>918749764.92759383</v>
      </c>
      <c r="T273" s="74">
        <v>113473284.24960001</v>
      </c>
      <c r="U273" s="74">
        <v>179171682.19027096</v>
      </c>
      <c r="V273" s="74">
        <v>116922976.09358117</v>
      </c>
      <c r="W273" s="74">
        <v>187759161.31700003</v>
      </c>
      <c r="X273" s="178">
        <f t="shared" si="97"/>
        <v>-10010043.221953869</v>
      </c>
      <c r="Y273" s="179">
        <f t="shared" si="98"/>
        <v>-40.987307591643166</v>
      </c>
      <c r="Z273" s="74"/>
      <c r="AA273" s="84">
        <f t="shared" si="99"/>
        <v>18896599.1639328</v>
      </c>
      <c r="AB273" s="132">
        <f t="shared" si="100"/>
        <v>77.374363446247074</v>
      </c>
      <c r="AD273" s="180">
        <v>-17879235.785679467</v>
      </c>
      <c r="AE273" s="187">
        <v>-14532343.934501018</v>
      </c>
      <c r="AF273" s="187">
        <v>-11134876.364634108</v>
      </c>
      <c r="AG273" s="187">
        <v>-7762215.1019786689</v>
      </c>
      <c r="AH273" s="188">
        <v>-4337280.388646502</v>
      </c>
      <c r="AJ273" s="74">
        <f t="shared" si="101"/>
        <v>561116300.78713989</v>
      </c>
      <c r="AK273" s="74">
        <f t="shared" si="102"/>
        <v>37824428.083200008</v>
      </c>
      <c r="AL273" s="74">
        <f t="shared" si="103"/>
        <v>162205790.44841123</v>
      </c>
      <c r="AM273" s="74">
        <f t="shared" si="104"/>
        <v>913098400.4049325</v>
      </c>
      <c r="AN273" s="74">
        <f t="shared" si="105"/>
        <v>-17879235.785679467</v>
      </c>
      <c r="AO273" s="74">
        <f t="shared" si="106"/>
        <v>-14532343.934501018</v>
      </c>
      <c r="AP273" s="74">
        <f t="shared" si="107"/>
        <v>-11134876.364634108</v>
      </c>
      <c r="AQ273" s="74">
        <f t="shared" si="108"/>
        <v>-7762215.1019786689</v>
      </c>
      <c r="AR273" s="74">
        <f t="shared" si="109"/>
        <v>-4337280.388646502</v>
      </c>
      <c r="AS273" s="75">
        <v>106710</v>
      </c>
      <c r="AT273" s="75"/>
      <c r="AU273" s="75"/>
      <c r="AV273" s="75">
        <v>2831</v>
      </c>
      <c r="AW273" s="75">
        <v>158134.00851281043</v>
      </c>
      <c r="AX273" s="75">
        <v>12822.457587895351</v>
      </c>
      <c r="AY273" s="75">
        <v>81865.033504743973</v>
      </c>
      <c r="AZ273" s="316"/>
      <c r="BA273" s="74"/>
      <c r="BB273" s="74"/>
      <c r="BC273" s="74"/>
      <c r="BD273" s="74"/>
      <c r="BE273" s="74"/>
      <c r="BF273" s="74"/>
      <c r="BG273" s="74"/>
      <c r="BM273" s="316"/>
      <c r="BN273" s="74">
        <v>612988511.5950675</v>
      </c>
      <c r="BO273" s="74">
        <v>856262242.88999999</v>
      </c>
      <c r="BP273" s="74">
        <v>897916000</v>
      </c>
      <c r="BQ273" s="74">
        <v>17853891.139999993</v>
      </c>
      <c r="BR273" s="74">
        <v>19365000</v>
      </c>
      <c r="BS273" s="406">
        <f t="shared" si="110"/>
        <v>0.61073898705308638</v>
      </c>
      <c r="BT273" s="406">
        <f t="shared" si="111"/>
        <v>0.33333333333333337</v>
      </c>
      <c r="BU273" s="74">
        <f t="shared" si="112"/>
        <v>190225631.46121737</v>
      </c>
      <c r="BV273" s="316"/>
      <c r="BW273" s="74">
        <v>1526086912</v>
      </c>
      <c r="BX273" s="74">
        <v>612988511.5950675</v>
      </c>
      <c r="BY273" s="74">
        <v>1130496433.4941938</v>
      </c>
      <c r="BZ273" s="74">
        <v>531555704.62385404</v>
      </c>
      <c r="CA273" s="74">
        <f t="shared" si="113"/>
        <v>-53845192.491937965</v>
      </c>
      <c r="CB273" s="74">
        <f t="shared" si="114"/>
        <v>-40.987307591643777</v>
      </c>
      <c r="CC273" s="74">
        <f t="shared" si="115"/>
        <v>36.387055854603297</v>
      </c>
      <c r="CD273" s="74">
        <f t="shared" si="116"/>
        <v>77.374363446247074</v>
      </c>
      <c r="CE273" s="74">
        <f t="shared" si="117"/>
        <v>-59.504403493942071</v>
      </c>
      <c r="CF273" s="74">
        <f t="shared" si="118"/>
        <v>-45.593070122937249</v>
      </c>
      <c r="CG273" s="74">
        <f t="shared" si="119"/>
        <v>-31.78330911494276</v>
      </c>
      <c r="CH273" s="74">
        <f t="shared" si="120"/>
        <v>-17.759508271729111</v>
      </c>
      <c r="CI273" s="74">
        <f t="shared" si="121"/>
        <v>-14532343.934501015</v>
      </c>
      <c r="CJ273" s="74">
        <f t="shared" si="122"/>
        <v>-11134876.364634104</v>
      </c>
      <c r="CK273" s="74">
        <f t="shared" si="123"/>
        <v>-7762215.1019786661</v>
      </c>
      <c r="CL273" s="74">
        <f t="shared" si="124"/>
        <v>-4337280.3886464983</v>
      </c>
      <c r="CM273" s="316"/>
      <c r="CN273" s="74">
        <v>975444.83341701189</v>
      </c>
      <c r="CO273" s="74">
        <v>123149.300736</v>
      </c>
    </row>
    <row r="274" spans="1:93" x14ac:dyDescent="0.2">
      <c r="A274" s="74">
        <v>844</v>
      </c>
      <c r="B274" s="74" t="s">
        <v>389</v>
      </c>
      <c r="C274" s="74">
        <v>11</v>
      </c>
      <c r="D274" s="74">
        <v>1479</v>
      </c>
      <c r="E274" s="89">
        <v>4083557.7591541447</v>
      </c>
      <c r="F274" s="74">
        <v>1811442.1333503046</v>
      </c>
      <c r="G274" s="74">
        <v>520782.33699999994</v>
      </c>
      <c r="H274" s="74">
        <v>373427.1704</v>
      </c>
      <c r="I274" s="74">
        <v>593692.08952434559</v>
      </c>
      <c r="J274" s="74">
        <v>364144.87671409571</v>
      </c>
      <c r="K274" s="74">
        <v>31234.193027492045</v>
      </c>
      <c r="L274" s="74">
        <v>-322421</v>
      </c>
      <c r="M274" s="75">
        <v>196200</v>
      </c>
      <c r="N274" s="75">
        <v>10976.195043475276</v>
      </c>
      <c r="O274" s="178">
        <f t="shared" si="95"/>
        <v>-504079.76409443188</v>
      </c>
      <c r="P274" s="179">
        <f t="shared" si="96"/>
        <v>-340.82472217338193</v>
      </c>
      <c r="Q274" s="74"/>
      <c r="R274" s="89">
        <v>12900750</v>
      </c>
      <c r="S274" s="74">
        <v>4100897.5653697676</v>
      </c>
      <c r="T274" s="74">
        <v>560140.75560000003</v>
      </c>
      <c r="U274" s="74">
        <v>5999576.4214789765</v>
      </c>
      <c r="V274" s="74">
        <v>1214472.3726086312</v>
      </c>
      <c r="W274" s="74">
        <v>394561.33699999994</v>
      </c>
      <c r="X274" s="178">
        <f t="shared" si="97"/>
        <v>-631101.54794262536</v>
      </c>
      <c r="Y274" s="179">
        <f t="shared" si="98"/>
        <v>-426.70828123233628</v>
      </c>
      <c r="Z274" s="74"/>
      <c r="AA274" s="84">
        <f t="shared" si="99"/>
        <v>127021.78384819347</v>
      </c>
      <c r="AB274" s="132">
        <f t="shared" si="100"/>
        <v>85.883559058954347</v>
      </c>
      <c r="AD274" s="180">
        <v>-120860.69158236847</v>
      </c>
      <c r="AE274" s="187">
        <v>-100592.11307873479</v>
      </c>
      <c r="AF274" s="187">
        <v>-80017.251023018674</v>
      </c>
      <c r="AG274" s="187">
        <v>-59592.614492194822</v>
      </c>
      <c r="AH274" s="188">
        <v>-38851.413045081834</v>
      </c>
      <c r="AJ274" s="74">
        <f t="shared" si="101"/>
        <v>2289455.4320194628</v>
      </c>
      <c r="AK274" s="74">
        <f t="shared" si="102"/>
        <v>186713.58520000003</v>
      </c>
      <c r="AL274" s="74">
        <f t="shared" si="103"/>
        <v>5405884.331954631</v>
      </c>
      <c r="AM274" s="74">
        <f t="shared" si="104"/>
        <v>8817192.2408458553</v>
      </c>
      <c r="AN274" s="74">
        <f t="shared" si="105"/>
        <v>-120860.69158236847</v>
      </c>
      <c r="AO274" s="74">
        <f t="shared" si="106"/>
        <v>-100592.11307873479</v>
      </c>
      <c r="AP274" s="74">
        <f t="shared" si="107"/>
        <v>-80017.251023018674</v>
      </c>
      <c r="AQ274" s="74">
        <f t="shared" si="108"/>
        <v>-59592.614492194822</v>
      </c>
      <c r="AR274" s="74">
        <f t="shared" si="109"/>
        <v>-38851.413045081834</v>
      </c>
      <c r="AS274" s="75">
        <v>341</v>
      </c>
      <c r="AT274" s="75"/>
      <c r="AU274" s="75"/>
      <c r="AV274" s="75">
        <v>14</v>
      </c>
      <c r="AW274" s="75">
        <v>4718.7550152623407</v>
      </c>
      <c r="AX274" s="75">
        <v>-835.6155610028967</v>
      </c>
      <c r="AY274" s="75">
        <v>850.32749589453545</v>
      </c>
      <c r="AZ274" s="316"/>
      <c r="BA274" s="74"/>
      <c r="BB274" s="74"/>
      <c r="BC274" s="74"/>
      <c r="BD274" s="74"/>
      <c r="BE274" s="74"/>
      <c r="BF274" s="74"/>
      <c r="BG274" s="74"/>
      <c r="BM274" s="316"/>
      <c r="BN274" s="74">
        <v>4083557.7591541447</v>
      </c>
      <c r="BO274" s="74">
        <v>8220122.4199999999</v>
      </c>
      <c r="BP274" s="74">
        <v>8594000</v>
      </c>
      <c r="BQ274" s="74">
        <v>169450.07</v>
      </c>
      <c r="BR274" s="74">
        <v>166000</v>
      </c>
      <c r="BS274" s="406">
        <f t="shared" si="110"/>
        <v>0.55828154581399025</v>
      </c>
      <c r="BT274" s="406">
        <f t="shared" si="111"/>
        <v>0.33333333333333337</v>
      </c>
      <c r="BU274" s="74">
        <f t="shared" si="112"/>
        <v>6287446.0208766581</v>
      </c>
      <c r="BV274" s="316"/>
      <c r="BW274" s="74">
        <v>12900750</v>
      </c>
      <c r="BX274" s="74">
        <v>4083557.7591541447</v>
      </c>
      <c r="BY274" s="74">
        <v>5181820.6579697682</v>
      </c>
      <c r="BZ274" s="74">
        <v>2705651.6407503048</v>
      </c>
      <c r="CA274" s="74">
        <f t="shared" si="113"/>
        <v>31234.193027492707</v>
      </c>
      <c r="CB274" s="74">
        <f t="shared" si="114"/>
        <v>-426.70828123233571</v>
      </c>
      <c r="CC274" s="74">
        <f t="shared" si="115"/>
        <v>-340.82472217338153</v>
      </c>
      <c r="CD274" s="74">
        <f t="shared" si="116"/>
        <v>85.883559058954177</v>
      </c>
      <c r="CE274" s="74">
        <f t="shared" si="117"/>
        <v>-68.013599106649167</v>
      </c>
      <c r="CF274" s="74">
        <f t="shared" si="118"/>
        <v>-54.102265735644352</v>
      </c>
      <c r="CG274" s="74">
        <f t="shared" si="119"/>
        <v>-40.292504727649863</v>
      </c>
      <c r="CH274" s="74">
        <f t="shared" si="120"/>
        <v>-26.268703884436214</v>
      </c>
      <c r="CI274" s="74">
        <f t="shared" si="121"/>
        <v>-100592.11307873412</v>
      </c>
      <c r="CJ274" s="74">
        <f t="shared" si="122"/>
        <v>-80017.251023017991</v>
      </c>
      <c r="CK274" s="74">
        <f t="shared" si="123"/>
        <v>-59592.614492194145</v>
      </c>
      <c r="CL274" s="74">
        <f t="shared" si="124"/>
        <v>-38851.413045081157</v>
      </c>
      <c r="CM274" s="316"/>
      <c r="CN274" s="74">
        <v>4059.1417707085984</v>
      </c>
      <c r="CO274" s="74">
        <v>607.90469599999994</v>
      </c>
    </row>
    <row r="275" spans="1:93" x14ac:dyDescent="0.2">
      <c r="A275" s="74">
        <v>845</v>
      </c>
      <c r="B275" s="74" t="s">
        <v>390</v>
      </c>
      <c r="C275" s="74">
        <v>19</v>
      </c>
      <c r="D275" s="74">
        <v>2882</v>
      </c>
      <c r="E275" s="89">
        <v>10178666.664536508</v>
      </c>
      <c r="F275" s="74">
        <v>3471183.2581102527</v>
      </c>
      <c r="G275" s="74">
        <v>2821507.9970000004</v>
      </c>
      <c r="H275" s="74">
        <v>482869.38579999999</v>
      </c>
      <c r="I275" s="74">
        <v>3247811.1253090175</v>
      </c>
      <c r="J275" s="74">
        <v>570360.34984962479</v>
      </c>
      <c r="K275" s="74">
        <v>132327.87187121573</v>
      </c>
      <c r="L275" s="74">
        <v>-107289</v>
      </c>
      <c r="M275" s="75">
        <v>351700</v>
      </c>
      <c r="N275" s="75">
        <v>25597.870580521383</v>
      </c>
      <c r="O275" s="178">
        <f t="shared" si="95"/>
        <v>817402.19398412481</v>
      </c>
      <c r="P275" s="179">
        <f t="shared" si="96"/>
        <v>283.62324565722582</v>
      </c>
      <c r="Q275" s="74"/>
      <c r="R275" s="89">
        <v>24093800</v>
      </c>
      <c r="S275" s="74">
        <v>9004486.877277622</v>
      </c>
      <c r="T275" s="74">
        <v>724304.07869999995</v>
      </c>
      <c r="U275" s="74">
        <v>10212063.45080452</v>
      </c>
      <c r="V275" s="74">
        <v>1902228.8424714492</v>
      </c>
      <c r="W275" s="74">
        <v>3065918.9970000004</v>
      </c>
      <c r="X275" s="178">
        <f t="shared" si="97"/>
        <v>815202.24625359476</v>
      </c>
      <c r="Y275" s="179">
        <f t="shared" si="98"/>
        <v>282.85990501512657</v>
      </c>
      <c r="Z275" s="74"/>
      <c r="AA275" s="84">
        <f t="shared" si="99"/>
        <v>2199.9477305300534</v>
      </c>
      <c r="AB275" s="132">
        <f t="shared" si="100"/>
        <v>0.76334064209925512</v>
      </c>
      <c r="AD275" s="180">
        <v>9805.6424723851324</v>
      </c>
      <c r="AE275" s="187">
        <v>8271.2245825430236</v>
      </c>
      <c r="AF275" s="187">
        <v>5133.6873577789192</v>
      </c>
      <c r="AG275" s="187">
        <v>1703.4185828190268</v>
      </c>
      <c r="AH275" s="188">
        <v>-1109.9873870392262</v>
      </c>
      <c r="AJ275" s="74">
        <f t="shared" si="101"/>
        <v>5533303.6191673689</v>
      </c>
      <c r="AK275" s="74">
        <f t="shared" si="102"/>
        <v>241434.69289999997</v>
      </c>
      <c r="AL275" s="74">
        <f t="shared" si="103"/>
        <v>6964252.3254955029</v>
      </c>
      <c r="AM275" s="74">
        <f t="shared" si="104"/>
        <v>13915133.335463492</v>
      </c>
      <c r="AN275" s="74">
        <f t="shared" si="105"/>
        <v>9805.6424723851324</v>
      </c>
      <c r="AO275" s="74">
        <f t="shared" si="106"/>
        <v>8271.2245825430236</v>
      </c>
      <c r="AP275" s="74">
        <f t="shared" si="107"/>
        <v>5133.6873577789192</v>
      </c>
      <c r="AQ275" s="74">
        <f t="shared" si="108"/>
        <v>1703.4185828190268</v>
      </c>
      <c r="AR275" s="74">
        <f t="shared" si="109"/>
        <v>-1109.9873870392262</v>
      </c>
      <c r="AS275" s="75">
        <v>1885</v>
      </c>
      <c r="AT275" s="75"/>
      <c r="AU275" s="75"/>
      <c r="AV275" s="75">
        <v>819</v>
      </c>
      <c r="AW275" s="75">
        <v>5954.3159043512633</v>
      </c>
      <c r="AX275" s="75">
        <v>-1101.6053076943826</v>
      </c>
      <c r="AY275" s="75">
        <v>1331.8684926218243</v>
      </c>
      <c r="AZ275" s="316"/>
      <c r="BA275" s="74"/>
      <c r="BB275" s="74"/>
      <c r="BC275" s="74"/>
      <c r="BD275" s="74"/>
      <c r="BE275" s="74"/>
      <c r="BF275" s="74"/>
      <c r="BG275" s="74"/>
      <c r="BM275" s="316"/>
      <c r="BN275" s="74">
        <v>10178666.664536508</v>
      </c>
      <c r="BO275" s="74">
        <v>13139993.48</v>
      </c>
      <c r="BP275" s="74">
        <v>14134000</v>
      </c>
      <c r="BQ275" s="74">
        <v>308016.02</v>
      </c>
      <c r="BR275" s="74">
        <v>334000</v>
      </c>
      <c r="BS275" s="406">
        <f t="shared" si="110"/>
        <v>0.6145051566603299</v>
      </c>
      <c r="BT275" s="406">
        <f t="shared" si="111"/>
        <v>0.33333333333333326</v>
      </c>
      <c r="BU275" s="74">
        <f t="shared" si="112"/>
        <v>8428448.6899885423</v>
      </c>
      <c r="BV275" s="316"/>
      <c r="BW275" s="74">
        <v>24093800</v>
      </c>
      <c r="BX275" s="74">
        <v>10178666.664536508</v>
      </c>
      <c r="BY275" s="74">
        <v>12550298.952977624</v>
      </c>
      <c r="BZ275" s="74">
        <v>6775560.6409102529</v>
      </c>
      <c r="CA275" s="74">
        <f t="shared" si="113"/>
        <v>132327.87187121584</v>
      </c>
      <c r="CB275" s="74">
        <f t="shared" si="114"/>
        <v>282.85990501512578</v>
      </c>
      <c r="CC275" s="74">
        <f t="shared" si="115"/>
        <v>283.62324565722594</v>
      </c>
      <c r="CD275" s="74">
        <f t="shared" si="116"/>
        <v>0.76334064210016095</v>
      </c>
      <c r="CE275" s="74">
        <f t="shared" si="117"/>
        <v>2.8699599523050048</v>
      </c>
      <c r="CF275" s="74">
        <f t="shared" si="118"/>
        <v>1.7812933233098263</v>
      </c>
      <c r="CG275" s="74">
        <f t="shared" si="119"/>
        <v>0.59105433130431184</v>
      </c>
      <c r="CH275" s="74">
        <f t="shared" si="120"/>
        <v>-0.38514482548203544</v>
      </c>
      <c r="CI275" s="74">
        <f t="shared" si="121"/>
        <v>8271.2245825430236</v>
      </c>
      <c r="CJ275" s="74">
        <f t="shared" si="122"/>
        <v>5133.6873577789192</v>
      </c>
      <c r="CK275" s="74">
        <f t="shared" si="123"/>
        <v>1703.4185828190268</v>
      </c>
      <c r="CL275" s="74">
        <f t="shared" si="124"/>
        <v>-1109.9873870392262</v>
      </c>
      <c r="CM275" s="316"/>
      <c r="CN275" s="74">
        <v>8955.2816771359867</v>
      </c>
      <c r="CO275" s="74">
        <v>786.06644199999994</v>
      </c>
    </row>
    <row r="276" spans="1:93" x14ac:dyDescent="0.2">
      <c r="A276" s="74">
        <v>846</v>
      </c>
      <c r="B276" s="74" t="s">
        <v>391</v>
      </c>
      <c r="C276" s="74">
        <v>14</v>
      </c>
      <c r="D276" s="74">
        <v>4952</v>
      </c>
      <c r="E276" s="89">
        <v>11737353.838939775</v>
      </c>
      <c r="F276" s="74">
        <v>7234574.2586475639</v>
      </c>
      <c r="G276" s="74">
        <v>1386894.9885</v>
      </c>
      <c r="H276" s="74">
        <v>771817.6124000001</v>
      </c>
      <c r="I276" s="74">
        <v>3407400.1388231348</v>
      </c>
      <c r="J276" s="74">
        <v>1125364.3271504291</v>
      </c>
      <c r="K276" s="74">
        <v>1754702.8488937281</v>
      </c>
      <c r="L276" s="74">
        <v>-451698</v>
      </c>
      <c r="M276" s="75">
        <v>-127785</v>
      </c>
      <c r="N276" s="75">
        <v>38700.898762694109</v>
      </c>
      <c r="O276" s="178">
        <f t="shared" ref="O276:O312" si="125">N276+M276+L276+K276+J276+I276+H276+G276+F276-E276</f>
        <v>3402618.2342377752</v>
      </c>
      <c r="P276" s="179">
        <f t="shared" ref="P276:P312" si="126">O276/D276</f>
        <v>687.1199988363843</v>
      </c>
      <c r="Q276" s="74"/>
      <c r="R276" s="89">
        <v>34825772</v>
      </c>
      <c r="S276" s="74">
        <v>15579374.598482251</v>
      </c>
      <c r="T276" s="74">
        <v>1157726.4186</v>
      </c>
      <c r="U276" s="74">
        <v>17636654.314308032</v>
      </c>
      <c r="V276" s="74">
        <v>3753242.1073071016</v>
      </c>
      <c r="W276" s="74">
        <v>807411.98849999998</v>
      </c>
      <c r="X276" s="178">
        <f t="shared" ref="X276:X312" si="127">W276+V276+U276+T276+S276-R276</f>
        <v>4108637.4271973819</v>
      </c>
      <c r="Y276" s="179">
        <f t="shared" ref="Y276:Y312" si="128">X276/D276</f>
        <v>829.692533763607</v>
      </c>
      <c r="Z276" s="74"/>
      <c r="AA276" s="84">
        <f t="shared" ref="AA276:AA312" si="129">O276-X276</f>
        <v>-706019.19295960665</v>
      </c>
      <c r="AB276" s="132">
        <f t="shared" ref="AB276:AB312" si="130">AA276/D276</f>
        <v>-142.57253492722268</v>
      </c>
      <c r="AD276" s="180">
        <v>726647.81290576479</v>
      </c>
      <c r="AE276" s="187">
        <v>645951.23464342125</v>
      </c>
      <c r="AF276" s="187">
        <v>566280.15749663708</v>
      </c>
      <c r="AG276" s="187">
        <v>486106.09400822577</v>
      </c>
      <c r="AH276" s="188">
        <v>406991.95578381984</v>
      </c>
      <c r="AJ276" s="74">
        <f t="shared" ref="AJ276:AJ312" si="131">S276-F276</f>
        <v>8344800.3398346873</v>
      </c>
      <c r="AK276" s="74">
        <f t="shared" ref="AK276:AK312" si="132">T276-H276</f>
        <v>385908.80619999988</v>
      </c>
      <c r="AL276" s="74">
        <f t="shared" ref="AL276:AL312" si="133">U276-I276</f>
        <v>14229254.175484898</v>
      </c>
      <c r="AM276" s="74">
        <f t="shared" ref="AM276:AM312" si="134">R276-E276</f>
        <v>23088418.161060225</v>
      </c>
      <c r="AN276" s="74">
        <f t="shared" ref="AN276:AN312" si="135">AD276</f>
        <v>726647.81290576479</v>
      </c>
      <c r="AO276" s="74">
        <f t="shared" ref="AO276:AO312" si="136">AE276</f>
        <v>645951.23464342125</v>
      </c>
      <c r="AP276" s="74">
        <f t="shared" ref="AP276:AP312" si="137">AF276</f>
        <v>566280.15749663708</v>
      </c>
      <c r="AQ276" s="74">
        <f t="shared" ref="AQ276:AQ312" si="138">AG276</f>
        <v>486106.09400822577</v>
      </c>
      <c r="AR276" s="74">
        <f t="shared" ref="AR276:AR312" si="139">AH276</f>
        <v>406991.95578381984</v>
      </c>
      <c r="AS276" s="75">
        <v>1107</v>
      </c>
      <c r="AT276" s="75"/>
      <c r="AU276" s="75"/>
      <c r="AV276" s="75">
        <v>0</v>
      </c>
      <c r="AW276" s="75">
        <v>12142.408709484376</v>
      </c>
      <c r="AX276" s="75">
        <v>-2552.7766007201926</v>
      </c>
      <c r="AY276" s="75">
        <v>2627.8777801566725</v>
      </c>
      <c r="AZ276" s="316"/>
      <c r="BA276" s="74"/>
      <c r="BB276" s="74"/>
      <c r="BC276" s="74"/>
      <c r="BD276" s="74"/>
      <c r="BE276" s="74"/>
      <c r="BF276" s="74"/>
      <c r="BG276" s="74"/>
      <c r="BM276" s="316"/>
      <c r="BN276" s="74">
        <v>11737353.838939775</v>
      </c>
      <c r="BO276" s="74">
        <v>22026439.100000001</v>
      </c>
      <c r="BP276" s="74">
        <v>22853000</v>
      </c>
      <c r="BQ276" s="74">
        <v>514522.26</v>
      </c>
      <c r="BR276" s="74">
        <v>509000</v>
      </c>
      <c r="BS276" s="406">
        <f t="shared" si="110"/>
        <v>0.53563127884784545</v>
      </c>
      <c r="BT276" s="406">
        <f t="shared" si="111"/>
        <v>0.33333333333333326</v>
      </c>
      <c r="BU276" s="74">
        <f t="shared" si="112"/>
        <v>18611834.8045353</v>
      </c>
      <c r="BV276" s="316"/>
      <c r="BW276" s="74">
        <v>34825772</v>
      </c>
      <c r="BX276" s="74">
        <v>11737353.838939775</v>
      </c>
      <c r="BY276" s="74">
        <v>18123996.005582251</v>
      </c>
      <c r="BZ276" s="74">
        <v>9393286.8595475648</v>
      </c>
      <c r="CA276" s="74">
        <f t="shared" si="113"/>
        <v>1754702.8488937241</v>
      </c>
      <c r="CB276" s="74">
        <f t="shared" si="114"/>
        <v>829.6925337636078</v>
      </c>
      <c r="CC276" s="74">
        <f t="shared" si="115"/>
        <v>687.1199988363835</v>
      </c>
      <c r="CD276" s="74">
        <f t="shared" si="116"/>
        <v>-142.5725349272243</v>
      </c>
      <c r="CE276" s="74">
        <f t="shared" si="117"/>
        <v>130.44249487952931</v>
      </c>
      <c r="CF276" s="74">
        <f t="shared" si="118"/>
        <v>114.35382825053412</v>
      </c>
      <c r="CG276" s="74">
        <f t="shared" si="119"/>
        <v>98.163589258528603</v>
      </c>
      <c r="CH276" s="74">
        <f t="shared" si="120"/>
        <v>82.187390101742267</v>
      </c>
      <c r="CI276" s="74">
        <f t="shared" si="121"/>
        <v>645951.23464342917</v>
      </c>
      <c r="CJ276" s="74">
        <f t="shared" si="122"/>
        <v>566280.157496645</v>
      </c>
      <c r="CK276" s="74">
        <f t="shared" si="123"/>
        <v>486106.09400823363</v>
      </c>
      <c r="CL276" s="74">
        <f t="shared" si="124"/>
        <v>406991.9557838277</v>
      </c>
      <c r="CM276" s="316"/>
      <c r="CN276" s="74">
        <v>15559.107357478446</v>
      </c>
      <c r="CO276" s="74">
        <v>1256.4472760000001</v>
      </c>
    </row>
    <row r="277" spans="1:93" x14ac:dyDescent="0.2">
      <c r="A277" s="74">
        <v>848</v>
      </c>
      <c r="B277" s="74" t="s">
        <v>392</v>
      </c>
      <c r="C277" s="74">
        <v>12</v>
      </c>
      <c r="D277" s="74">
        <v>4241</v>
      </c>
      <c r="E277" s="89">
        <v>12502199.131866369</v>
      </c>
      <c r="F277" s="74">
        <v>5335446.6327453004</v>
      </c>
      <c r="G277" s="74">
        <v>1010358.5795000001</v>
      </c>
      <c r="H277" s="74">
        <v>781272.26320000004</v>
      </c>
      <c r="I277" s="74">
        <v>3328665.1813187399</v>
      </c>
      <c r="J277" s="74">
        <v>955446.31930450071</v>
      </c>
      <c r="K277" s="74">
        <v>589498.60468085529</v>
      </c>
      <c r="L277" s="74">
        <v>547289</v>
      </c>
      <c r="M277" s="75">
        <v>134200</v>
      </c>
      <c r="N277" s="75">
        <v>31535.81294572448</v>
      </c>
      <c r="O277" s="178">
        <f t="shared" si="125"/>
        <v>211513.26182875037</v>
      </c>
      <c r="P277" s="179">
        <f t="shared" si="126"/>
        <v>49.873440657569056</v>
      </c>
      <c r="Q277" s="74"/>
      <c r="R277" s="89">
        <v>32536950</v>
      </c>
      <c r="S277" s="74">
        <v>12059115.835528938</v>
      </c>
      <c r="T277" s="74">
        <v>1171908.3948000001</v>
      </c>
      <c r="U277" s="74">
        <v>15212006.361189684</v>
      </c>
      <c r="V277" s="74">
        <v>3186542.5892479792</v>
      </c>
      <c r="W277" s="74">
        <v>1691847.5795</v>
      </c>
      <c r="X277" s="178">
        <f t="shared" si="127"/>
        <v>784470.76026660204</v>
      </c>
      <c r="Y277" s="179">
        <f t="shared" si="128"/>
        <v>184.97306301971281</v>
      </c>
      <c r="Z277" s="74"/>
      <c r="AA277" s="84">
        <f t="shared" si="129"/>
        <v>-572957.49843785167</v>
      </c>
      <c r="AB277" s="132">
        <f t="shared" si="130"/>
        <v>-135.09962236214375</v>
      </c>
      <c r="AD277" s="180">
        <v>590624.29512437154</v>
      </c>
      <c r="AE277" s="187">
        <v>521513.99859557539</v>
      </c>
      <c r="AF277" s="187">
        <v>453281.96342200681</v>
      </c>
      <c r="AG277" s="187">
        <v>384619.1598569114</v>
      </c>
      <c r="AH277" s="188">
        <v>316864.09923298052</v>
      </c>
      <c r="AJ277" s="74">
        <f t="shared" si="131"/>
        <v>6723669.2027836377</v>
      </c>
      <c r="AK277" s="74">
        <f t="shared" si="132"/>
        <v>390636.13160000008</v>
      </c>
      <c r="AL277" s="74">
        <f t="shared" si="133"/>
        <v>11883341.179870944</v>
      </c>
      <c r="AM277" s="74">
        <f t="shared" si="134"/>
        <v>20034750.868133631</v>
      </c>
      <c r="AN277" s="74">
        <f t="shared" si="135"/>
        <v>590624.29512437154</v>
      </c>
      <c r="AO277" s="74">
        <f t="shared" si="136"/>
        <v>521513.99859557539</v>
      </c>
      <c r="AP277" s="74">
        <f t="shared" si="137"/>
        <v>453281.96342200681</v>
      </c>
      <c r="AQ277" s="74">
        <f t="shared" si="138"/>
        <v>384619.1598569114</v>
      </c>
      <c r="AR277" s="74">
        <f t="shared" si="139"/>
        <v>316864.09923298052</v>
      </c>
      <c r="AS277" s="75">
        <v>1862</v>
      </c>
      <c r="AT277" s="75"/>
      <c r="AU277" s="75"/>
      <c r="AV277" s="75">
        <v>0</v>
      </c>
      <c r="AW277" s="75">
        <v>9333.4965786822777</v>
      </c>
      <c r="AX277" s="75">
        <v>-2371.7261331429841</v>
      </c>
      <c r="AY277" s="75">
        <v>2231.0962699434785</v>
      </c>
      <c r="AZ277" s="316"/>
      <c r="BA277" s="74"/>
      <c r="BB277" s="74"/>
      <c r="BC277" s="74"/>
      <c r="BD277" s="74"/>
      <c r="BE277" s="74"/>
      <c r="BF277" s="74"/>
      <c r="BG277" s="74"/>
      <c r="BM277" s="316"/>
      <c r="BN277" s="74">
        <v>12502199.131866369</v>
      </c>
      <c r="BO277" s="74">
        <v>19349244.449999999</v>
      </c>
      <c r="BP277" s="74">
        <v>20610000</v>
      </c>
      <c r="BQ277" s="74">
        <v>544083.11</v>
      </c>
      <c r="BR277" s="74">
        <v>500000</v>
      </c>
      <c r="BS277" s="406">
        <f t="shared" ref="BS277:BS312" si="140">1-F277/S277</f>
        <v>0.55755905279341933</v>
      </c>
      <c r="BT277" s="406">
        <f t="shared" ref="BT277:BT312" si="141">1-H277/T277</f>
        <v>0.33333333333333337</v>
      </c>
      <c r="BU277" s="74">
        <f t="shared" ref="BU277:BU312" si="142">(U277+V277)-(I277+J277)+K277</f>
        <v>14703936.054495279</v>
      </c>
      <c r="BV277" s="316"/>
      <c r="BW277" s="74">
        <v>32536950</v>
      </c>
      <c r="BX277" s="74">
        <v>12502199.131866369</v>
      </c>
      <c r="BY277" s="74">
        <v>14241382.809828939</v>
      </c>
      <c r="BZ277" s="74">
        <v>7127077.4754453003</v>
      </c>
      <c r="CA277" s="74">
        <f t="shared" ref="CA277:CA312" si="143">((BX277-BW277)-N277+(BY277-BZ277)+AW277*1000+AY277*1000-AX277*1000-$BX$8)*0.6+(D277*-0.260310389757568)</f>
        <v>589498.60468085273</v>
      </c>
      <c r="CB277" s="74">
        <f t="shared" ref="CB277:CB312" si="144">(-R277+S277+T277+U277+V277+W277)/D277</f>
        <v>184.97306301971304</v>
      </c>
      <c r="CC277" s="74">
        <f t="shared" ref="CC277:CC312" si="145">(-E277+F277+G277+H277+I277+J277+L277+CA277+M277+N277)/D277</f>
        <v>49.873440657568672</v>
      </c>
      <c r="CD277" s="74">
        <f t="shared" ref="CD277:CD312" si="146">CC277-CB277</f>
        <v>-135.09962236214437</v>
      </c>
      <c r="CE277" s="74">
        <f t="shared" ref="CE277:CE312" si="147">(IF(CD277&lt;-15,-CD277-15,IF(CD277&gt;15,15-CD277,0)))-$BI$24</f>
        <v>122.96958231444938</v>
      </c>
      <c r="CF277" s="74">
        <f t="shared" ref="CF277:CF312" si="148">(IF(CD277&lt;-30,-CD277-30,IF(CD277&gt;30,30-CD277,0)))-$BJ$24</f>
        <v>106.8809156854542</v>
      </c>
      <c r="CG277" s="74">
        <f t="shared" ref="CG277:CG312" si="149">(IF(CD277&lt;-45,-CD277-45,IF(CD277&gt;45,45-CD277,0)))-$BK$24</f>
        <v>90.69067669344868</v>
      </c>
      <c r="CH277" s="74">
        <f t="shared" ref="CH277:CH312" si="150">(IF(CD277&lt;-60,-CD277-60,IF(CD277&gt;60,60-CD277,0)))-$BL$24</f>
        <v>74.714477536662343</v>
      </c>
      <c r="CI277" s="74">
        <f t="shared" ref="CI277:CI312" si="151">CE277*$D277</f>
        <v>521513.99859557982</v>
      </c>
      <c r="CJ277" s="74">
        <f t="shared" ref="CJ277:CJ312" si="152">CF277*$D277</f>
        <v>453281.96342201123</v>
      </c>
      <c r="CK277" s="74">
        <f t="shared" ref="CK277:CK312" si="153">CG277*$D277</f>
        <v>384619.15985691582</v>
      </c>
      <c r="CL277" s="74">
        <f t="shared" ref="CL277:CL312" si="154">CH277*$D277</f>
        <v>316864.099232985</v>
      </c>
      <c r="CM277" s="316"/>
      <c r="CN277" s="74">
        <v>12154.457169090685</v>
      </c>
      <c r="CO277" s="74">
        <v>1271.8385679999999</v>
      </c>
    </row>
    <row r="278" spans="1:93" x14ac:dyDescent="0.2">
      <c r="A278" s="74">
        <v>849</v>
      </c>
      <c r="B278" s="74" t="s">
        <v>393</v>
      </c>
      <c r="C278" s="74">
        <v>16</v>
      </c>
      <c r="D278" s="74">
        <v>2938</v>
      </c>
      <c r="E278" s="89">
        <v>8531628.1874703523</v>
      </c>
      <c r="F278" s="74">
        <v>3817275.2171097398</v>
      </c>
      <c r="G278" s="74">
        <v>802390.33399999992</v>
      </c>
      <c r="H278" s="74">
        <v>670758.14380000008</v>
      </c>
      <c r="I278" s="74">
        <v>3547656.0648892187</v>
      </c>
      <c r="J278" s="74">
        <v>650058.88881456386</v>
      </c>
      <c r="K278" s="74">
        <v>704344.65399877948</v>
      </c>
      <c r="L278" s="74">
        <v>247305</v>
      </c>
      <c r="M278" s="75">
        <v>-89500</v>
      </c>
      <c r="N278" s="75">
        <v>22532.073786020203</v>
      </c>
      <c r="O278" s="178">
        <f t="shared" si="125"/>
        <v>1841192.188927969</v>
      </c>
      <c r="P278" s="179">
        <f t="shared" si="126"/>
        <v>626.68216096935635</v>
      </c>
      <c r="Q278" s="74"/>
      <c r="R278" s="89">
        <v>20397993</v>
      </c>
      <c r="S278" s="74">
        <v>8565007.6225164384</v>
      </c>
      <c r="T278" s="74">
        <v>1006137.2157000001</v>
      </c>
      <c r="U278" s="74">
        <v>9717859.3795839269</v>
      </c>
      <c r="V278" s="74">
        <v>2168034.2399923536</v>
      </c>
      <c r="W278" s="74">
        <v>960195.3339999998</v>
      </c>
      <c r="X278" s="178">
        <f t="shared" si="127"/>
        <v>2019240.7917927206</v>
      </c>
      <c r="Y278" s="179">
        <f t="shared" si="128"/>
        <v>687.28413607648758</v>
      </c>
      <c r="Z278" s="74"/>
      <c r="AA278" s="84">
        <f t="shared" si="129"/>
        <v>-178048.60286475159</v>
      </c>
      <c r="AB278" s="132">
        <f t="shared" si="130"/>
        <v>-60.601975107131246</v>
      </c>
      <c r="AD278" s="180">
        <v>190287.47309936056</v>
      </c>
      <c r="AE278" s="187">
        <v>142410.54520461799</v>
      </c>
      <c r="AF278" s="187">
        <v>95142.042648630173</v>
      </c>
      <c r="AG278" s="187">
        <v>47575.120490117974</v>
      </c>
      <c r="AH278" s="188">
        <v>637.04736747968036</v>
      </c>
      <c r="AJ278" s="74">
        <f t="shared" si="131"/>
        <v>4747732.4054066986</v>
      </c>
      <c r="AK278" s="74">
        <f t="shared" si="132"/>
        <v>335379.07189999998</v>
      </c>
      <c r="AL278" s="74">
        <f t="shared" si="133"/>
        <v>6170203.3146947082</v>
      </c>
      <c r="AM278" s="74">
        <f t="shared" si="134"/>
        <v>11866364.812529648</v>
      </c>
      <c r="AN278" s="74">
        <f t="shared" si="135"/>
        <v>190287.47309936056</v>
      </c>
      <c r="AO278" s="74">
        <f t="shared" si="136"/>
        <v>142410.54520461799</v>
      </c>
      <c r="AP278" s="74">
        <f t="shared" si="137"/>
        <v>95142.042648630173</v>
      </c>
      <c r="AQ278" s="74">
        <f t="shared" si="138"/>
        <v>47575.120490117974</v>
      </c>
      <c r="AR278" s="74">
        <f t="shared" si="139"/>
        <v>637.04736747968036</v>
      </c>
      <c r="AS278" s="75">
        <v>953</v>
      </c>
      <c r="AT278" s="75"/>
      <c r="AU278" s="75"/>
      <c r="AV278" s="75">
        <v>25</v>
      </c>
      <c r="AW278" s="75">
        <v>4829.1969907275507</v>
      </c>
      <c r="AX278" s="75">
        <v>-1633.7954769767721</v>
      </c>
      <c r="AY278" s="75">
        <v>1517.9753511777897</v>
      </c>
      <c r="AZ278" s="316"/>
      <c r="BA278" s="74"/>
      <c r="BB278" s="74"/>
      <c r="BC278" s="74"/>
      <c r="BD278" s="74"/>
      <c r="BE278" s="74"/>
      <c r="BF278" s="74"/>
      <c r="BG278" s="74"/>
      <c r="BM278" s="316"/>
      <c r="BN278" s="74">
        <v>8531628.1874703523</v>
      </c>
      <c r="BO278" s="74">
        <v>11140445.66</v>
      </c>
      <c r="BP278" s="74">
        <v>11650000</v>
      </c>
      <c r="BQ278" s="74">
        <v>299273.38999999996</v>
      </c>
      <c r="BR278" s="74">
        <v>310000</v>
      </c>
      <c r="BS278" s="406">
        <f t="shared" si="140"/>
        <v>0.55431735903251811</v>
      </c>
      <c r="BT278" s="406">
        <f t="shared" si="141"/>
        <v>0.33333333333333326</v>
      </c>
      <c r="BU278" s="74">
        <f t="shared" si="142"/>
        <v>8392523.3198712785</v>
      </c>
      <c r="BV278" s="316"/>
      <c r="BW278" s="74">
        <v>20397993</v>
      </c>
      <c r="BX278" s="74">
        <v>8531628.1874703523</v>
      </c>
      <c r="BY278" s="74">
        <v>10373535.17221644</v>
      </c>
      <c r="BZ278" s="74">
        <v>5290423.6949097393</v>
      </c>
      <c r="CA278" s="74">
        <f t="shared" si="143"/>
        <v>704344.6539987789</v>
      </c>
      <c r="CB278" s="74">
        <f t="shared" si="144"/>
        <v>687.28413607648713</v>
      </c>
      <c r="CC278" s="74">
        <f t="shared" si="145"/>
        <v>626.68216096935646</v>
      </c>
      <c r="CD278" s="74">
        <f t="shared" si="146"/>
        <v>-60.60197510713067</v>
      </c>
      <c r="CE278" s="74">
        <f t="shared" si="147"/>
        <v>48.471935059435673</v>
      </c>
      <c r="CF278" s="74">
        <f t="shared" si="148"/>
        <v>32.383268430440495</v>
      </c>
      <c r="CG278" s="74">
        <f t="shared" si="149"/>
        <v>16.193029438434984</v>
      </c>
      <c r="CH278" s="74">
        <f t="shared" si="150"/>
        <v>0.2168302816486346</v>
      </c>
      <c r="CI278" s="74">
        <f t="shared" si="151"/>
        <v>142410.545204622</v>
      </c>
      <c r="CJ278" s="74">
        <f t="shared" si="152"/>
        <v>95142.042648634175</v>
      </c>
      <c r="CK278" s="74">
        <f t="shared" si="153"/>
        <v>47575.120490121983</v>
      </c>
      <c r="CL278" s="74">
        <f t="shared" si="154"/>
        <v>637.0473674836885</v>
      </c>
      <c r="CM278" s="316"/>
      <c r="CN278" s="74">
        <v>8638.1852899400965</v>
      </c>
      <c r="CO278" s="74">
        <v>1091.9318620000001</v>
      </c>
    </row>
    <row r="279" spans="1:93" x14ac:dyDescent="0.2">
      <c r="A279" s="74">
        <v>850</v>
      </c>
      <c r="B279" s="74" t="s">
        <v>394</v>
      </c>
      <c r="C279" s="74">
        <v>13</v>
      </c>
      <c r="D279" s="74">
        <v>2387</v>
      </c>
      <c r="E279" s="89">
        <v>6681393.8876461796</v>
      </c>
      <c r="F279" s="74">
        <v>3134277.7413092363</v>
      </c>
      <c r="G279" s="74">
        <v>766452.19250000012</v>
      </c>
      <c r="H279" s="74">
        <v>542719.21100000001</v>
      </c>
      <c r="I279" s="74">
        <v>2092068.2253421501</v>
      </c>
      <c r="J279" s="74">
        <v>429558.96902852703</v>
      </c>
      <c r="K279" s="74">
        <v>284626.20327458519</v>
      </c>
      <c r="L279" s="74">
        <v>-478735</v>
      </c>
      <c r="M279" s="75">
        <v>-10300</v>
      </c>
      <c r="N279" s="75">
        <v>20474.646987281423</v>
      </c>
      <c r="O279" s="178">
        <f t="shared" si="125"/>
        <v>99748.301795599982</v>
      </c>
      <c r="P279" s="179">
        <f t="shared" si="126"/>
        <v>41.788144866191864</v>
      </c>
      <c r="Q279" s="74"/>
      <c r="R279" s="89">
        <v>15814015</v>
      </c>
      <c r="S279" s="74">
        <v>7481885.4835651033</v>
      </c>
      <c r="T279" s="74">
        <v>814078.81649999996</v>
      </c>
      <c r="U279" s="74">
        <v>6191611.2020898554</v>
      </c>
      <c r="V279" s="74">
        <v>1432637.210219464</v>
      </c>
      <c r="W279" s="74">
        <v>277417.19250000012</v>
      </c>
      <c r="X279" s="178">
        <f t="shared" si="127"/>
        <v>383614.90487442352</v>
      </c>
      <c r="Y279" s="179">
        <f t="shared" si="128"/>
        <v>160.71005650373837</v>
      </c>
      <c r="Z279" s="74"/>
      <c r="AA279" s="84">
        <f t="shared" si="129"/>
        <v>-283866.60307882354</v>
      </c>
      <c r="AB279" s="132">
        <f t="shared" si="130"/>
        <v>-118.92191163754651</v>
      </c>
      <c r="AD279" s="180">
        <v>293810.16443008871</v>
      </c>
      <c r="AE279" s="187">
        <v>254912.1974849728</v>
      </c>
      <c r="AF279" s="187">
        <v>216508.55024156132</v>
      </c>
      <c r="AG279" s="187">
        <v>177862.44976764414</v>
      </c>
      <c r="AH279" s="188">
        <v>139727.26238039511</v>
      </c>
      <c r="AJ279" s="74">
        <f t="shared" si="131"/>
        <v>4347607.7422558665</v>
      </c>
      <c r="AK279" s="74">
        <f t="shared" si="132"/>
        <v>271359.60549999995</v>
      </c>
      <c r="AL279" s="74">
        <f t="shared" si="133"/>
        <v>4099542.9767477056</v>
      </c>
      <c r="AM279" s="74">
        <f t="shared" si="134"/>
        <v>9132621.1123538204</v>
      </c>
      <c r="AN279" s="74">
        <f t="shared" si="135"/>
        <v>293810.16443008871</v>
      </c>
      <c r="AO279" s="74">
        <f t="shared" si="136"/>
        <v>254912.1974849728</v>
      </c>
      <c r="AP279" s="74">
        <f t="shared" si="137"/>
        <v>216508.55024156132</v>
      </c>
      <c r="AQ279" s="74">
        <f t="shared" si="138"/>
        <v>177862.44976764414</v>
      </c>
      <c r="AR279" s="74">
        <f t="shared" si="139"/>
        <v>139727.26238039511</v>
      </c>
      <c r="AS279" s="75">
        <v>925</v>
      </c>
      <c r="AT279" s="75"/>
      <c r="AU279" s="75"/>
      <c r="AV279" s="75">
        <v>0</v>
      </c>
      <c r="AW279" s="75">
        <v>3185.770158948555</v>
      </c>
      <c r="AX279" s="75">
        <v>-820.69261840396791</v>
      </c>
      <c r="AY279" s="75">
        <v>1003.078241190937</v>
      </c>
      <c r="AZ279" s="316"/>
      <c r="BA279" s="74"/>
      <c r="BB279" s="74"/>
      <c r="BC279" s="74"/>
      <c r="BD279" s="74"/>
      <c r="BE279" s="74"/>
      <c r="BF279" s="74"/>
      <c r="BG279" s="74"/>
      <c r="BM279" s="316"/>
      <c r="BN279" s="74">
        <v>6681393.8876461796</v>
      </c>
      <c r="BO279" s="74">
        <v>8501989.4499999993</v>
      </c>
      <c r="BP279" s="74">
        <v>9248000</v>
      </c>
      <c r="BQ279" s="74">
        <v>217743.78999999998</v>
      </c>
      <c r="BR279" s="74">
        <v>228000</v>
      </c>
      <c r="BS279" s="406">
        <f t="shared" si="140"/>
        <v>0.58108450761588526</v>
      </c>
      <c r="BT279" s="406">
        <f t="shared" si="141"/>
        <v>0.33333333333333326</v>
      </c>
      <c r="BU279" s="74">
        <f t="shared" si="142"/>
        <v>5387247.4212132283</v>
      </c>
      <c r="BV279" s="316"/>
      <c r="BW279" s="74">
        <v>15814015</v>
      </c>
      <c r="BX279" s="74">
        <v>6681393.8876461796</v>
      </c>
      <c r="BY279" s="74">
        <v>9062416.4925651029</v>
      </c>
      <c r="BZ279" s="74">
        <v>4443449.1448092368</v>
      </c>
      <c r="CA279" s="74">
        <f t="shared" si="143"/>
        <v>284626.20327458315</v>
      </c>
      <c r="CB279" s="74">
        <f t="shared" si="144"/>
        <v>160.710056503738</v>
      </c>
      <c r="CC279" s="74">
        <f t="shared" si="145"/>
        <v>41.788144866191367</v>
      </c>
      <c r="CD279" s="74">
        <f t="shared" si="146"/>
        <v>-118.92191163754663</v>
      </c>
      <c r="CE279" s="74">
        <f t="shared" si="147"/>
        <v>106.79187158985164</v>
      </c>
      <c r="CF279" s="74">
        <f t="shared" si="148"/>
        <v>90.703204960856453</v>
      </c>
      <c r="CG279" s="74">
        <f t="shared" si="149"/>
        <v>74.512965968850935</v>
      </c>
      <c r="CH279" s="74">
        <f t="shared" si="150"/>
        <v>58.536766812064592</v>
      </c>
      <c r="CI279" s="74">
        <f t="shared" si="151"/>
        <v>254912.19748497586</v>
      </c>
      <c r="CJ279" s="74">
        <f t="shared" si="152"/>
        <v>216508.55024156434</v>
      </c>
      <c r="CK279" s="74">
        <f t="shared" si="153"/>
        <v>177862.44976764719</v>
      </c>
      <c r="CL279" s="74">
        <f t="shared" si="154"/>
        <v>139727.26238039817</v>
      </c>
      <c r="CM279" s="316"/>
      <c r="CN279" s="74">
        <v>7671.5109755802105</v>
      </c>
      <c r="CO279" s="74">
        <v>883.49639000000002</v>
      </c>
    </row>
    <row r="280" spans="1:93" x14ac:dyDescent="0.2">
      <c r="A280" s="74">
        <v>851</v>
      </c>
      <c r="B280" s="74" t="s">
        <v>395</v>
      </c>
      <c r="C280" s="74">
        <v>19</v>
      </c>
      <c r="D280" s="74">
        <v>21333</v>
      </c>
      <c r="E280" s="89">
        <v>55605212.471837997</v>
      </c>
      <c r="F280" s="74">
        <v>33448515.681892492</v>
      </c>
      <c r="G280" s="74">
        <v>6923490.4434000012</v>
      </c>
      <c r="H280" s="74">
        <v>2716993.7946000001</v>
      </c>
      <c r="I280" s="74">
        <v>13126571.100288069</v>
      </c>
      <c r="J280" s="74">
        <v>3277908.0050416226</v>
      </c>
      <c r="K280" s="74">
        <v>-989765.16527233063</v>
      </c>
      <c r="L280" s="74">
        <v>-328591</v>
      </c>
      <c r="M280" s="75">
        <v>478760</v>
      </c>
      <c r="N280" s="75">
        <v>219621.93896682392</v>
      </c>
      <c r="O280" s="178">
        <f t="shared" si="125"/>
        <v>3268292.3270786777</v>
      </c>
      <c r="P280" s="179">
        <f t="shared" si="126"/>
        <v>153.20359663801048</v>
      </c>
      <c r="Q280" s="74"/>
      <c r="R280" s="89">
        <v>137688899</v>
      </c>
      <c r="S280" s="74">
        <v>81635515.982602283</v>
      </c>
      <c r="T280" s="74">
        <v>4075490.6919</v>
      </c>
      <c r="U280" s="74">
        <v>36199523.042406701</v>
      </c>
      <c r="V280" s="74">
        <v>10932266.157355018</v>
      </c>
      <c r="W280" s="74">
        <v>7073659.4434000012</v>
      </c>
      <c r="X280" s="178">
        <f t="shared" si="127"/>
        <v>2227556.3176639974</v>
      </c>
      <c r="Y280" s="179">
        <f t="shared" si="128"/>
        <v>104.41833392696749</v>
      </c>
      <c r="Z280" s="74"/>
      <c r="AA280" s="84">
        <f t="shared" si="129"/>
        <v>1040736.0094146803</v>
      </c>
      <c r="AB280" s="132">
        <f t="shared" si="130"/>
        <v>48.785262711042996</v>
      </c>
      <c r="AD280" s="180">
        <v>-951868.81448104721</v>
      </c>
      <c r="AE280" s="187">
        <v>-659516.15375216468</v>
      </c>
      <c r="AF280" s="187">
        <v>-362745.67894851888</v>
      </c>
      <c r="AG280" s="187">
        <v>-68142.047364972488</v>
      </c>
      <c r="AH280" s="188">
        <v>-8216.2945620082628</v>
      </c>
      <c r="AJ280" s="74">
        <f t="shared" si="131"/>
        <v>48187000.300709791</v>
      </c>
      <c r="AK280" s="74">
        <f t="shared" si="132"/>
        <v>1358496.8972999998</v>
      </c>
      <c r="AL280" s="74">
        <f t="shared" si="133"/>
        <v>23072951.94211863</v>
      </c>
      <c r="AM280" s="74">
        <f t="shared" si="134"/>
        <v>82083686.528162003</v>
      </c>
      <c r="AN280" s="74">
        <f t="shared" si="135"/>
        <v>-951868.81448104721</v>
      </c>
      <c r="AO280" s="74">
        <f t="shared" si="136"/>
        <v>-659516.15375216468</v>
      </c>
      <c r="AP280" s="74">
        <f t="shared" si="137"/>
        <v>-362745.67894851888</v>
      </c>
      <c r="AQ280" s="74">
        <f t="shared" si="138"/>
        <v>-68142.047364972488</v>
      </c>
      <c r="AR280" s="74">
        <f t="shared" si="139"/>
        <v>-8216.2945620082628</v>
      </c>
      <c r="AS280" s="75">
        <v>5529</v>
      </c>
      <c r="AT280" s="75"/>
      <c r="AU280" s="75"/>
      <c r="AV280" s="75">
        <v>116</v>
      </c>
      <c r="AW280" s="75">
        <v>21085.900931983986</v>
      </c>
      <c r="AX280" s="75">
        <v>-2377.1989119422469</v>
      </c>
      <c r="AY280" s="75">
        <v>7654.3581523133953</v>
      </c>
      <c r="AZ280" s="316"/>
      <c r="BA280" s="74"/>
      <c r="BB280" s="74"/>
      <c r="BC280" s="74"/>
      <c r="BD280" s="74"/>
      <c r="BE280" s="74"/>
      <c r="BF280" s="74"/>
      <c r="BG280" s="74"/>
      <c r="BM280" s="316"/>
      <c r="BN280" s="74">
        <v>55605212.471837997</v>
      </c>
      <c r="BO280" s="74">
        <v>76485556.909999996</v>
      </c>
      <c r="BP280" s="74">
        <v>85941000</v>
      </c>
      <c r="BQ280" s="74">
        <v>2235557</v>
      </c>
      <c r="BR280" s="74">
        <v>2514000</v>
      </c>
      <c r="BS280" s="406">
        <f t="shared" si="140"/>
        <v>0.59027005244848507</v>
      </c>
      <c r="BT280" s="406">
        <f t="shared" si="141"/>
        <v>0.33333333333333326</v>
      </c>
      <c r="BU280" s="74">
        <f t="shared" si="142"/>
        <v>29737544.929159697</v>
      </c>
      <c r="BV280" s="316"/>
      <c r="BW280" s="74">
        <v>137688899</v>
      </c>
      <c r="BX280" s="74">
        <v>55605212.471837997</v>
      </c>
      <c r="BY280" s="74">
        <v>92634497.117902279</v>
      </c>
      <c r="BZ280" s="74">
        <v>43088999.919892497</v>
      </c>
      <c r="CA280" s="74">
        <f t="shared" si="143"/>
        <v>-989765.16527234984</v>
      </c>
      <c r="CB280" s="74">
        <f t="shared" si="144"/>
        <v>104.41833392696775</v>
      </c>
      <c r="CC280" s="74">
        <f t="shared" si="145"/>
        <v>153.20359663800971</v>
      </c>
      <c r="CD280" s="74">
        <f t="shared" si="146"/>
        <v>48.785262711041966</v>
      </c>
      <c r="CE280" s="74">
        <f t="shared" si="147"/>
        <v>-30.91530275873696</v>
      </c>
      <c r="CF280" s="74">
        <f t="shared" si="148"/>
        <v>-17.003969387732141</v>
      </c>
      <c r="CG280" s="74">
        <f t="shared" si="149"/>
        <v>-3.1942083797376544</v>
      </c>
      <c r="CH280" s="74">
        <f t="shared" si="150"/>
        <v>-0.38514482548203544</v>
      </c>
      <c r="CI280" s="74">
        <f t="shared" si="151"/>
        <v>-659516.15375213558</v>
      </c>
      <c r="CJ280" s="74">
        <f t="shared" si="152"/>
        <v>-362745.67894848977</v>
      </c>
      <c r="CK280" s="74">
        <f t="shared" si="153"/>
        <v>-68142.047364943384</v>
      </c>
      <c r="CL280" s="74">
        <f t="shared" si="154"/>
        <v>-8216.2945620082628</v>
      </c>
      <c r="CM280" s="316"/>
      <c r="CN280" s="74">
        <v>82965.013422554621</v>
      </c>
      <c r="CO280" s="74">
        <v>4423.0131539999993</v>
      </c>
    </row>
    <row r="281" spans="1:93" x14ac:dyDescent="0.2">
      <c r="A281" s="74">
        <v>853</v>
      </c>
      <c r="B281" s="74" t="s">
        <v>396</v>
      </c>
      <c r="C281" s="74">
        <v>2</v>
      </c>
      <c r="D281" s="74">
        <v>195137</v>
      </c>
      <c r="E281" s="89">
        <v>516182700.36085486</v>
      </c>
      <c r="F281" s="74">
        <v>252174078.5115276</v>
      </c>
      <c r="G281" s="74">
        <v>70064403.120000005</v>
      </c>
      <c r="H281" s="74">
        <v>100403655.347</v>
      </c>
      <c r="I281" s="74">
        <v>19228847.202033561</v>
      </c>
      <c r="J281" s="74">
        <v>30264509.948424906</v>
      </c>
      <c r="K281" s="74">
        <v>-17025421.368802838</v>
      </c>
      <c r="L281" s="74">
        <v>42244049</v>
      </c>
      <c r="M281" s="75">
        <v>29199000.239999998</v>
      </c>
      <c r="N281" s="75">
        <v>2151460.3041772083</v>
      </c>
      <c r="O281" s="178">
        <f t="shared" si="125"/>
        <v>12521881.943505585</v>
      </c>
      <c r="P281" s="179">
        <f t="shared" si="126"/>
        <v>64.169695872671937</v>
      </c>
      <c r="Q281" s="74"/>
      <c r="R281" s="89">
        <v>1239535874.1599998</v>
      </c>
      <c r="S281" s="74">
        <v>687329820.18515658</v>
      </c>
      <c r="T281" s="74">
        <v>150605483.0205</v>
      </c>
      <c r="U281" s="74">
        <v>172728395.39301252</v>
      </c>
      <c r="V281" s="74">
        <v>100936230.47663862</v>
      </c>
      <c r="W281" s="74">
        <v>141507452.36000001</v>
      </c>
      <c r="X281" s="178">
        <f t="shared" si="127"/>
        <v>13571507.275307894</v>
      </c>
      <c r="Y281" s="179">
        <f t="shared" si="128"/>
        <v>69.548610849341202</v>
      </c>
      <c r="Z281" s="74"/>
      <c r="AA281" s="84">
        <f t="shared" si="129"/>
        <v>-1049625.3318023086</v>
      </c>
      <c r="AB281" s="132">
        <f t="shared" si="130"/>
        <v>-5.3789149766692557</v>
      </c>
      <c r="AD281" s="180">
        <v>1862510.4308394524</v>
      </c>
      <c r="AE281" s="187">
        <v>560035.37521294167</v>
      </c>
      <c r="AF281" s="187">
        <v>347596.23523070954</v>
      </c>
      <c r="AG281" s="187">
        <v>115336.5690477295</v>
      </c>
      <c r="AH281" s="188">
        <v>-75156.005810087954</v>
      </c>
      <c r="AJ281" s="74">
        <f t="shared" si="131"/>
        <v>435155741.67362899</v>
      </c>
      <c r="AK281" s="74">
        <f t="shared" si="132"/>
        <v>50201827.673500001</v>
      </c>
      <c r="AL281" s="74">
        <f t="shared" si="133"/>
        <v>153499548.19097897</v>
      </c>
      <c r="AM281" s="74">
        <f t="shared" si="134"/>
        <v>723353173.79914498</v>
      </c>
      <c r="AN281" s="74">
        <f t="shared" si="135"/>
        <v>1862510.4308394524</v>
      </c>
      <c r="AO281" s="74">
        <f t="shared" si="136"/>
        <v>560035.37521294167</v>
      </c>
      <c r="AP281" s="74">
        <f t="shared" si="137"/>
        <v>347596.23523070954</v>
      </c>
      <c r="AQ281" s="74">
        <f t="shared" si="138"/>
        <v>115336.5690477295</v>
      </c>
      <c r="AR281" s="74">
        <f t="shared" si="139"/>
        <v>-75156.005810087954</v>
      </c>
      <c r="AS281" s="75">
        <v>57293</v>
      </c>
      <c r="AT281" s="75"/>
      <c r="AU281" s="75"/>
      <c r="AV281" s="75">
        <v>1913</v>
      </c>
      <c r="AW281" s="75">
        <v>153553.70950798722</v>
      </c>
      <c r="AX281" s="75">
        <v>12369.407247135738</v>
      </c>
      <c r="AY281" s="75">
        <v>70671.720528213715</v>
      </c>
      <c r="AZ281" s="316"/>
      <c r="BA281" s="74"/>
      <c r="BB281" s="74"/>
      <c r="BC281" s="74"/>
      <c r="BD281" s="74"/>
      <c r="BE281" s="74"/>
      <c r="BF281" s="74"/>
      <c r="BG281" s="74"/>
      <c r="BM281" s="316"/>
      <c r="BN281" s="74">
        <v>516182700.36085486</v>
      </c>
      <c r="BO281" s="74">
        <v>689174288.6700002</v>
      </c>
      <c r="BP281" s="74">
        <v>737049000</v>
      </c>
      <c r="BQ281" s="74">
        <v>13783533.289999999</v>
      </c>
      <c r="BR281" s="74">
        <v>16197000</v>
      </c>
      <c r="BS281" s="406">
        <f t="shared" si="140"/>
        <v>0.63311052262566525</v>
      </c>
      <c r="BT281" s="406">
        <f t="shared" si="141"/>
        <v>0.33333333333333337</v>
      </c>
      <c r="BU281" s="74">
        <f t="shared" si="142"/>
        <v>207145847.35038984</v>
      </c>
      <c r="BV281" s="316"/>
      <c r="BW281" s="74">
        <v>1239535874.1599998</v>
      </c>
      <c r="BX281" s="74">
        <v>516182700.36085486</v>
      </c>
      <c r="BY281" s="74">
        <v>907999706.32565653</v>
      </c>
      <c r="BZ281" s="74">
        <v>422642136.97852761</v>
      </c>
      <c r="CA281" s="74">
        <f t="shared" si="143"/>
        <v>-17025421.368802931</v>
      </c>
      <c r="CB281" s="74">
        <f t="shared" si="144"/>
        <v>69.548610849341202</v>
      </c>
      <c r="CC281" s="74">
        <f t="shared" si="145"/>
        <v>64.16969587267144</v>
      </c>
      <c r="CD281" s="74">
        <f t="shared" si="146"/>
        <v>-5.3789149766697619</v>
      </c>
      <c r="CE281" s="74">
        <f t="shared" si="147"/>
        <v>2.8699599523050048</v>
      </c>
      <c r="CF281" s="74">
        <f t="shared" si="148"/>
        <v>1.7812933233098263</v>
      </c>
      <c r="CG281" s="74">
        <f t="shared" si="149"/>
        <v>0.59105433130431184</v>
      </c>
      <c r="CH281" s="74">
        <f t="shared" si="150"/>
        <v>-0.38514482548203544</v>
      </c>
      <c r="CI281" s="74">
        <f t="shared" si="151"/>
        <v>560035.37521294167</v>
      </c>
      <c r="CJ281" s="74">
        <f t="shared" si="152"/>
        <v>347596.23523070954</v>
      </c>
      <c r="CK281" s="74">
        <f t="shared" si="153"/>
        <v>115336.5690477295</v>
      </c>
      <c r="CL281" s="74">
        <f t="shared" si="154"/>
        <v>-75156.005810087954</v>
      </c>
      <c r="CM281" s="316"/>
      <c r="CN281" s="74">
        <v>712687.64666835719</v>
      </c>
      <c r="CO281" s="74">
        <v>163447.81102999998</v>
      </c>
    </row>
    <row r="282" spans="1:93" x14ac:dyDescent="0.2">
      <c r="A282" s="74">
        <v>854</v>
      </c>
      <c r="B282" s="74" t="s">
        <v>318</v>
      </c>
      <c r="C282" s="74">
        <v>19</v>
      </c>
      <c r="D282" s="74">
        <v>3296</v>
      </c>
      <c r="E282" s="89">
        <v>8941569.2440343499</v>
      </c>
      <c r="F282" s="74">
        <v>4510442.0809481889</v>
      </c>
      <c r="G282" s="74">
        <v>996236.73949999991</v>
      </c>
      <c r="H282" s="74">
        <v>714233.81839999999</v>
      </c>
      <c r="I282" s="74">
        <v>2596995.5866483622</v>
      </c>
      <c r="J282" s="74">
        <v>682174.72758959653</v>
      </c>
      <c r="K282" s="74">
        <v>515586.66422165488</v>
      </c>
      <c r="L282" s="74">
        <v>-318879</v>
      </c>
      <c r="M282" s="75">
        <v>154000</v>
      </c>
      <c r="N282" s="75">
        <v>28869.573875693022</v>
      </c>
      <c r="O282" s="178">
        <f t="shared" si="125"/>
        <v>938090.94714914635</v>
      </c>
      <c r="P282" s="179">
        <f t="shared" si="126"/>
        <v>284.61497182923131</v>
      </c>
      <c r="Q282" s="74"/>
      <c r="R282" s="89">
        <v>28771140</v>
      </c>
      <c r="S282" s="74">
        <v>10666141.688598789</v>
      </c>
      <c r="T282" s="74">
        <v>1071350.7275999999</v>
      </c>
      <c r="U282" s="74">
        <v>15045788.050876277</v>
      </c>
      <c r="V282" s="74">
        <v>2275144.9022853002</v>
      </c>
      <c r="W282" s="74">
        <v>831357.73949999991</v>
      </c>
      <c r="X282" s="178">
        <f t="shared" si="127"/>
        <v>1118643.108860366</v>
      </c>
      <c r="Y282" s="179">
        <f t="shared" si="128"/>
        <v>339.39414710569361</v>
      </c>
      <c r="Z282" s="74"/>
      <c r="AA282" s="84">
        <f t="shared" si="129"/>
        <v>-180552.1617112197</v>
      </c>
      <c r="AB282" s="132">
        <f t="shared" si="130"/>
        <v>-54.77917527646229</v>
      </c>
      <c r="AD282" s="180">
        <v>194282.357862782</v>
      </c>
      <c r="AE282" s="187">
        <v>140571.54971401702</v>
      </c>
      <c r="AF282" s="187">
        <v>87543.304504848915</v>
      </c>
      <c r="AG282" s="187">
        <v>34180.276787198745</v>
      </c>
      <c r="AH282" s="188">
        <v>-1269.4373447887888</v>
      </c>
      <c r="AJ282" s="74">
        <f t="shared" si="131"/>
        <v>6155699.6076506004</v>
      </c>
      <c r="AK282" s="74">
        <f t="shared" si="132"/>
        <v>357116.90919999988</v>
      </c>
      <c r="AL282" s="74">
        <f t="shared" si="133"/>
        <v>12448792.464227915</v>
      </c>
      <c r="AM282" s="74">
        <f t="shared" si="134"/>
        <v>19829570.75596565</v>
      </c>
      <c r="AN282" s="74">
        <f t="shared" si="135"/>
        <v>194282.357862782</v>
      </c>
      <c r="AO282" s="74">
        <f t="shared" si="136"/>
        <v>140571.54971401702</v>
      </c>
      <c r="AP282" s="74">
        <f t="shared" si="137"/>
        <v>87543.304504848915</v>
      </c>
      <c r="AQ282" s="74">
        <f t="shared" si="138"/>
        <v>34180.276787198745</v>
      </c>
      <c r="AR282" s="74">
        <f t="shared" si="139"/>
        <v>-1269.4373447887888</v>
      </c>
      <c r="AS282" s="75">
        <v>1080</v>
      </c>
      <c r="AT282" s="75"/>
      <c r="AU282" s="75"/>
      <c r="AV282" s="75">
        <v>226</v>
      </c>
      <c r="AW282" s="75">
        <v>11334.497645478672</v>
      </c>
      <c r="AX282" s="75">
        <v>-1278.8970715935238</v>
      </c>
      <c r="AY282" s="75">
        <v>1592.9701746957037</v>
      </c>
      <c r="AZ282" s="316"/>
      <c r="BA282" s="74"/>
      <c r="BB282" s="74"/>
      <c r="BC282" s="74"/>
      <c r="BD282" s="74"/>
      <c r="BE282" s="74"/>
      <c r="BF282" s="74"/>
      <c r="BG282" s="74"/>
      <c r="BM282" s="316"/>
      <c r="BN282" s="74">
        <v>8941569.2440343499</v>
      </c>
      <c r="BO282" s="74">
        <v>19275300.16</v>
      </c>
      <c r="BP282" s="74">
        <v>21603000</v>
      </c>
      <c r="BQ282" s="74">
        <v>379747.44</v>
      </c>
      <c r="BR282" s="74">
        <v>395000</v>
      </c>
      <c r="BS282" s="406">
        <f t="shared" si="140"/>
        <v>0.57712524241362062</v>
      </c>
      <c r="BT282" s="406">
        <f t="shared" si="141"/>
        <v>0.33333333333333326</v>
      </c>
      <c r="BU282" s="74">
        <f t="shared" si="142"/>
        <v>14557349.303145271</v>
      </c>
      <c r="BV282" s="316"/>
      <c r="BW282" s="74">
        <v>28771140</v>
      </c>
      <c r="BX282" s="74">
        <v>8941569.2440343499</v>
      </c>
      <c r="BY282" s="74">
        <v>12733729.155698789</v>
      </c>
      <c r="BZ282" s="74">
        <v>6220912.6388481893</v>
      </c>
      <c r="CA282" s="74">
        <f t="shared" si="143"/>
        <v>515586.66422165325</v>
      </c>
      <c r="CB282" s="74">
        <f t="shared" si="144"/>
        <v>339.39414710569378</v>
      </c>
      <c r="CC282" s="74">
        <f t="shared" si="145"/>
        <v>284.61497182923068</v>
      </c>
      <c r="CD282" s="74">
        <f t="shared" si="146"/>
        <v>-54.779175276463093</v>
      </c>
      <c r="CE282" s="74">
        <f t="shared" si="147"/>
        <v>42.649135228768095</v>
      </c>
      <c r="CF282" s="74">
        <f t="shared" si="148"/>
        <v>26.560468599772918</v>
      </c>
      <c r="CG282" s="74">
        <f t="shared" si="149"/>
        <v>10.370229607767405</v>
      </c>
      <c r="CH282" s="74">
        <f t="shared" si="150"/>
        <v>-0.38514482548203544</v>
      </c>
      <c r="CI282" s="74">
        <f t="shared" si="151"/>
        <v>140571.54971401964</v>
      </c>
      <c r="CJ282" s="74">
        <f t="shared" si="152"/>
        <v>87543.304504851534</v>
      </c>
      <c r="CK282" s="74">
        <f t="shared" si="153"/>
        <v>34180.276787201365</v>
      </c>
      <c r="CL282" s="74">
        <f t="shared" si="154"/>
        <v>-1269.4373447887888</v>
      </c>
      <c r="CM282" s="316"/>
      <c r="CN282" s="74">
        <v>10789.135401036719</v>
      </c>
      <c r="CO282" s="74">
        <v>1162.7062159999998</v>
      </c>
    </row>
    <row r="283" spans="1:93" x14ac:dyDescent="0.2">
      <c r="A283" s="74">
        <v>857</v>
      </c>
      <c r="B283" s="74" t="s">
        <v>397</v>
      </c>
      <c r="C283" s="74">
        <v>11</v>
      </c>
      <c r="D283" s="74">
        <v>2420</v>
      </c>
      <c r="E283" s="89">
        <v>6035321.3032618016</v>
      </c>
      <c r="F283" s="74">
        <v>3118325.2625620319</v>
      </c>
      <c r="G283" s="74">
        <v>994131.99250000005</v>
      </c>
      <c r="H283" s="74">
        <v>665267.57700000005</v>
      </c>
      <c r="I283" s="74">
        <v>1121189.611645536</v>
      </c>
      <c r="J283" s="74">
        <v>541029.35857542511</v>
      </c>
      <c r="K283" s="74">
        <v>-1109813.7035469699</v>
      </c>
      <c r="L283" s="74">
        <v>201316</v>
      </c>
      <c r="M283" s="75">
        <v>120750</v>
      </c>
      <c r="N283" s="75">
        <v>18453.733588140181</v>
      </c>
      <c r="O283" s="178">
        <f t="shared" si="125"/>
        <v>-364671.47093763761</v>
      </c>
      <c r="P283" s="179">
        <f t="shared" si="126"/>
        <v>-150.69069047009819</v>
      </c>
      <c r="Q283" s="74"/>
      <c r="R283" s="89">
        <v>21346906</v>
      </c>
      <c r="S283" s="74">
        <v>6948751.9136756379</v>
      </c>
      <c r="T283" s="74">
        <v>997901.36550000007</v>
      </c>
      <c r="U283" s="74">
        <v>9154402.3067669235</v>
      </c>
      <c r="V283" s="74">
        <v>1804406.0229245233</v>
      </c>
      <c r="W283" s="74">
        <v>1316197.9925000002</v>
      </c>
      <c r="X283" s="178">
        <f t="shared" si="127"/>
        <v>-1125246.3986329138</v>
      </c>
      <c r="Y283" s="179">
        <f t="shared" si="128"/>
        <v>-464.9778506747578</v>
      </c>
      <c r="Z283" s="74"/>
      <c r="AA283" s="84">
        <f t="shared" si="129"/>
        <v>760574.92769527622</v>
      </c>
      <c r="AB283" s="132">
        <f t="shared" si="130"/>
        <v>314.28716020465959</v>
      </c>
      <c r="AD283" s="180">
        <v>-750493.89775389852</v>
      </c>
      <c r="AE283" s="187">
        <v>-717329.62461069808</v>
      </c>
      <c r="AF283" s="187">
        <v>-683664.19785286637</v>
      </c>
      <c r="AG283" s="187">
        <v>-650244.57621351979</v>
      </c>
      <c r="AH283" s="188">
        <v>-616306.97817294276</v>
      </c>
      <c r="AJ283" s="74">
        <f t="shared" si="131"/>
        <v>3830426.6511136061</v>
      </c>
      <c r="AK283" s="74">
        <f t="shared" si="132"/>
        <v>332633.78850000002</v>
      </c>
      <c r="AL283" s="74">
        <f t="shared" si="133"/>
        <v>8033212.695121387</v>
      </c>
      <c r="AM283" s="74">
        <f t="shared" si="134"/>
        <v>15311584.696738198</v>
      </c>
      <c r="AN283" s="74">
        <f t="shared" si="135"/>
        <v>-750493.89775389852</v>
      </c>
      <c r="AO283" s="74">
        <f t="shared" si="136"/>
        <v>-717329.62461069808</v>
      </c>
      <c r="AP283" s="74">
        <f t="shared" si="137"/>
        <v>-683664.19785286637</v>
      </c>
      <c r="AQ283" s="74">
        <f t="shared" si="138"/>
        <v>-650244.57621351979</v>
      </c>
      <c r="AR283" s="74">
        <f t="shared" si="139"/>
        <v>-616306.97817294276</v>
      </c>
      <c r="AS283" s="75">
        <v>1048</v>
      </c>
      <c r="AT283" s="75"/>
      <c r="AU283" s="75"/>
      <c r="AV283" s="75">
        <v>280</v>
      </c>
      <c r="AW283" s="75">
        <v>6750.1401992027841</v>
      </c>
      <c r="AX283" s="75">
        <v>-1304.8215398212546</v>
      </c>
      <c r="AY283" s="75">
        <v>1263.3766643490983</v>
      </c>
      <c r="AZ283" s="316"/>
      <c r="BA283" s="74"/>
      <c r="BB283" s="74"/>
      <c r="BC283" s="74"/>
      <c r="BD283" s="74"/>
      <c r="BE283" s="74"/>
      <c r="BF283" s="74"/>
      <c r="BG283" s="74"/>
      <c r="BM283" s="316"/>
      <c r="BN283" s="74">
        <v>6035321.3032618016</v>
      </c>
      <c r="BO283" s="74">
        <v>14377508.159999998</v>
      </c>
      <c r="BP283" s="74">
        <v>14206000</v>
      </c>
      <c r="BQ283" s="74">
        <v>289333.70999999996</v>
      </c>
      <c r="BR283" s="74">
        <v>291000</v>
      </c>
      <c r="BS283" s="406">
        <f t="shared" si="140"/>
        <v>0.55123951735491583</v>
      </c>
      <c r="BT283" s="406">
        <f t="shared" si="141"/>
        <v>0.33333333333333337</v>
      </c>
      <c r="BU283" s="74">
        <f t="shared" si="142"/>
        <v>8186775.6559235165</v>
      </c>
      <c r="BV283" s="316"/>
      <c r="BW283" s="74">
        <v>21346906</v>
      </c>
      <c r="BX283" s="74">
        <v>6035321.3032618016</v>
      </c>
      <c r="BY283" s="74">
        <v>8940785.2716756389</v>
      </c>
      <c r="BZ283" s="74">
        <v>4777724.8320620321</v>
      </c>
      <c r="CA283" s="74">
        <f t="shared" si="143"/>
        <v>-1109813.7035469702</v>
      </c>
      <c r="CB283" s="74">
        <f t="shared" si="144"/>
        <v>-464.97785067475854</v>
      </c>
      <c r="CC283" s="74">
        <f t="shared" si="145"/>
        <v>-150.6906904700985</v>
      </c>
      <c r="CD283" s="74">
        <f t="shared" si="146"/>
        <v>314.28716020466004</v>
      </c>
      <c r="CE283" s="74">
        <f t="shared" si="147"/>
        <v>-296.41720025235503</v>
      </c>
      <c r="CF283" s="74">
        <f t="shared" si="148"/>
        <v>-282.50586688135019</v>
      </c>
      <c r="CG283" s="74">
        <f t="shared" si="149"/>
        <v>-268.69610587335575</v>
      </c>
      <c r="CH283" s="74">
        <f t="shared" si="150"/>
        <v>-254.67230503014207</v>
      </c>
      <c r="CI283" s="74">
        <f t="shared" si="151"/>
        <v>-717329.62461069913</v>
      </c>
      <c r="CJ283" s="74">
        <f t="shared" si="152"/>
        <v>-683664.19785286742</v>
      </c>
      <c r="CK283" s="74">
        <f t="shared" si="153"/>
        <v>-650244.57621352095</v>
      </c>
      <c r="CL283" s="74">
        <f t="shared" si="154"/>
        <v>-616306.97817294381</v>
      </c>
      <c r="CM283" s="316"/>
      <c r="CN283" s="74">
        <v>6959.8725438853353</v>
      </c>
      <c r="CO283" s="74">
        <v>1082.9937300000001</v>
      </c>
    </row>
    <row r="284" spans="1:93" x14ac:dyDescent="0.2">
      <c r="A284" s="74">
        <v>858</v>
      </c>
      <c r="B284" s="74" t="s">
        <v>398</v>
      </c>
      <c r="C284" s="74">
        <v>35</v>
      </c>
      <c r="D284" s="74">
        <v>39718</v>
      </c>
      <c r="E284" s="89">
        <v>111838757.58428825</v>
      </c>
      <c r="F284" s="74">
        <v>67139036.321496561</v>
      </c>
      <c r="G284" s="74">
        <v>14277295.438999999</v>
      </c>
      <c r="H284" s="74">
        <v>7436645.9305999996</v>
      </c>
      <c r="I284" s="74">
        <v>18923513.492810182</v>
      </c>
      <c r="J284" s="74">
        <v>4474934.6451953426</v>
      </c>
      <c r="K284" s="74">
        <v>4186990.4005118897</v>
      </c>
      <c r="L284" s="74">
        <v>-3001162</v>
      </c>
      <c r="M284" s="75">
        <v>-508800</v>
      </c>
      <c r="N284" s="75">
        <v>530587.37276327377</v>
      </c>
      <c r="O284" s="178">
        <f t="shared" si="125"/>
        <v>1620284.0180889964</v>
      </c>
      <c r="P284" s="179">
        <f t="shared" si="126"/>
        <v>40.794703109144379</v>
      </c>
      <c r="Q284" s="74"/>
      <c r="R284" s="89">
        <v>241202191</v>
      </c>
      <c r="S284" s="74">
        <v>183118296.00304341</v>
      </c>
      <c r="T284" s="74">
        <v>11154968.8959</v>
      </c>
      <c r="U284" s="74">
        <v>24656839.418875162</v>
      </c>
      <c r="V284" s="74">
        <v>14924511.76262445</v>
      </c>
      <c r="W284" s="74">
        <v>10767333.438999999</v>
      </c>
      <c r="X284" s="178">
        <f t="shared" si="127"/>
        <v>3419758.5194430351</v>
      </c>
      <c r="Y284" s="179">
        <f t="shared" si="128"/>
        <v>86.100974858830639</v>
      </c>
      <c r="Z284" s="74"/>
      <c r="AA284" s="84">
        <f t="shared" si="129"/>
        <v>-1799474.5013540387</v>
      </c>
      <c r="AB284" s="132">
        <f t="shared" si="130"/>
        <v>-45.306271749686253</v>
      </c>
      <c r="AD284" s="180">
        <v>1964928.3638382014</v>
      </c>
      <c r="AE284" s="187">
        <v>1317693.570739704</v>
      </c>
      <c r="AF284" s="187">
        <v>678683.90956927347</v>
      </c>
      <c r="AG284" s="187">
        <v>35639.997284798505</v>
      </c>
      <c r="AH284" s="188">
        <v>-15297.182178495483</v>
      </c>
      <c r="AJ284" s="74">
        <f t="shared" si="131"/>
        <v>115979259.68154685</v>
      </c>
      <c r="AK284" s="74">
        <f t="shared" si="132"/>
        <v>3718322.9653000003</v>
      </c>
      <c r="AL284" s="74">
        <f t="shared" si="133"/>
        <v>5733325.9260649793</v>
      </c>
      <c r="AM284" s="74">
        <f t="shared" si="134"/>
        <v>129363433.41571175</v>
      </c>
      <c r="AN284" s="74">
        <f t="shared" si="135"/>
        <v>1964928.3638382014</v>
      </c>
      <c r="AO284" s="74">
        <f t="shared" si="136"/>
        <v>1317693.570739704</v>
      </c>
      <c r="AP284" s="74">
        <f t="shared" si="137"/>
        <v>678683.90956927347</v>
      </c>
      <c r="AQ284" s="74">
        <f t="shared" si="138"/>
        <v>35639.997284798505</v>
      </c>
      <c r="AR284" s="74">
        <f t="shared" si="139"/>
        <v>-15297.182178495483</v>
      </c>
      <c r="AS284" s="75">
        <v>18938</v>
      </c>
      <c r="AT284" s="75"/>
      <c r="AU284" s="75"/>
      <c r="AV284" s="75">
        <v>0</v>
      </c>
      <c r="AW284" s="75">
        <v>16967.256029382104</v>
      </c>
      <c r="AX284" s="75">
        <v>10224.845990895959</v>
      </c>
      <c r="AY284" s="75">
        <v>10449.577117429108</v>
      </c>
      <c r="AZ284" s="316"/>
      <c r="BA284" s="74"/>
      <c r="BB284" s="74"/>
      <c r="BC284" s="74"/>
      <c r="BD284" s="74"/>
      <c r="BE284" s="74"/>
      <c r="BF284" s="74"/>
      <c r="BG284" s="74"/>
      <c r="BM284" s="316"/>
      <c r="BN284" s="74">
        <v>111838757.58428825</v>
      </c>
      <c r="BO284" s="74">
        <v>118848288.98999996</v>
      </c>
      <c r="BP284" s="74">
        <v>136289000</v>
      </c>
      <c r="BQ284" s="74">
        <v>3099333</v>
      </c>
      <c r="BR284" s="74">
        <v>2322000</v>
      </c>
      <c r="BS284" s="406">
        <f t="shared" si="140"/>
        <v>0.63335702774134206</v>
      </c>
      <c r="BT284" s="406">
        <f t="shared" si="141"/>
        <v>0.33333333333333337</v>
      </c>
      <c r="BU284" s="74">
        <f t="shared" si="142"/>
        <v>20369893.444005981</v>
      </c>
      <c r="BV284" s="316"/>
      <c r="BW284" s="74">
        <v>241202191</v>
      </c>
      <c r="BX284" s="74">
        <v>111838757.58428825</v>
      </c>
      <c r="BY284" s="74">
        <v>208550560.33794343</v>
      </c>
      <c r="BZ284" s="74">
        <v>88852977.691096559</v>
      </c>
      <c r="CA284" s="74">
        <f t="shared" si="143"/>
        <v>4186990.4005118739</v>
      </c>
      <c r="CB284" s="74">
        <f t="shared" si="144"/>
        <v>86.100974858830256</v>
      </c>
      <c r="CC284" s="74">
        <f t="shared" si="145"/>
        <v>40.794703109143896</v>
      </c>
      <c r="CD284" s="74">
        <f t="shared" si="146"/>
        <v>-45.30627174968636</v>
      </c>
      <c r="CE284" s="74">
        <f t="shared" si="147"/>
        <v>33.176231701991362</v>
      </c>
      <c r="CF284" s="74">
        <f t="shared" si="148"/>
        <v>17.087565072996185</v>
      </c>
      <c r="CG284" s="74">
        <f t="shared" si="149"/>
        <v>0.89732608099067168</v>
      </c>
      <c r="CH284" s="74">
        <f t="shared" si="150"/>
        <v>-0.38514482548203544</v>
      </c>
      <c r="CI284" s="74">
        <f t="shared" si="151"/>
        <v>1317693.570739693</v>
      </c>
      <c r="CJ284" s="74">
        <f t="shared" si="152"/>
        <v>678683.90956926241</v>
      </c>
      <c r="CK284" s="74">
        <f t="shared" si="153"/>
        <v>35639.997284787496</v>
      </c>
      <c r="CL284" s="74">
        <f t="shared" si="154"/>
        <v>-15297.182178495483</v>
      </c>
      <c r="CM284" s="316"/>
      <c r="CN284" s="74">
        <v>192084.80845505869</v>
      </c>
      <c r="CO284" s="74">
        <v>12106.167793999999</v>
      </c>
    </row>
    <row r="285" spans="1:93" x14ac:dyDescent="0.2">
      <c r="A285" s="74">
        <v>859</v>
      </c>
      <c r="B285" s="74" t="s">
        <v>399</v>
      </c>
      <c r="C285" s="74">
        <v>17</v>
      </c>
      <c r="D285" s="74">
        <v>6593</v>
      </c>
      <c r="E285" s="89">
        <v>20592266.092427645</v>
      </c>
      <c r="F285" s="74">
        <v>9029178.8101458978</v>
      </c>
      <c r="G285" s="74">
        <v>968649.51740000001</v>
      </c>
      <c r="H285" s="74">
        <v>474822.5894</v>
      </c>
      <c r="I285" s="74">
        <v>14197107.803632421</v>
      </c>
      <c r="J285" s="74">
        <v>1000658.5915243896</v>
      </c>
      <c r="K285" s="74">
        <v>-1269966.4205834512</v>
      </c>
      <c r="L285" s="74">
        <v>-1015472</v>
      </c>
      <c r="M285" s="75">
        <v>-310000</v>
      </c>
      <c r="N285" s="75">
        <v>50025.976610897909</v>
      </c>
      <c r="O285" s="178">
        <f t="shared" si="125"/>
        <v>2532738.77570251</v>
      </c>
      <c r="P285" s="179">
        <f t="shared" si="126"/>
        <v>384.15573725201125</v>
      </c>
      <c r="Q285" s="74"/>
      <c r="R285" s="89">
        <v>42983121</v>
      </c>
      <c r="S285" s="74">
        <v>20077351.71374112</v>
      </c>
      <c r="T285" s="74">
        <v>712233.88409999991</v>
      </c>
      <c r="U285" s="74">
        <v>20115761.316652197</v>
      </c>
      <c r="V285" s="74">
        <v>3337331.6268678242</v>
      </c>
      <c r="W285" s="74">
        <v>-356822.48259999999</v>
      </c>
      <c r="X285" s="178">
        <f t="shared" si="127"/>
        <v>902735.05876114219</v>
      </c>
      <c r="Y285" s="179">
        <f t="shared" si="128"/>
        <v>136.92326084652544</v>
      </c>
      <c r="Z285" s="74"/>
      <c r="AA285" s="84">
        <f t="shared" si="129"/>
        <v>1630003.7169413678</v>
      </c>
      <c r="AB285" s="132">
        <f t="shared" si="130"/>
        <v>247.23247640548578</v>
      </c>
      <c r="AD285" s="180">
        <v>-1602539.1589233917</v>
      </c>
      <c r="AE285" s="187">
        <v>-1512187.070975821</v>
      </c>
      <c r="AF285" s="187">
        <v>-1420469.6500607864</v>
      </c>
      <c r="AG285" s="187">
        <v>-1329421.8957350785</v>
      </c>
      <c r="AH285" s="188">
        <v>-1236962.976775771</v>
      </c>
      <c r="AJ285" s="74">
        <f t="shared" si="131"/>
        <v>11048172.903595222</v>
      </c>
      <c r="AK285" s="74">
        <f t="shared" si="132"/>
        <v>237411.29469999991</v>
      </c>
      <c r="AL285" s="74">
        <f t="shared" si="133"/>
        <v>5918653.513019776</v>
      </c>
      <c r="AM285" s="74">
        <f t="shared" si="134"/>
        <v>22390854.907572355</v>
      </c>
      <c r="AN285" s="74">
        <f t="shared" si="135"/>
        <v>-1602539.1589233917</v>
      </c>
      <c r="AO285" s="74">
        <f t="shared" si="136"/>
        <v>-1512187.070975821</v>
      </c>
      <c r="AP285" s="74">
        <f t="shared" si="137"/>
        <v>-1420469.6500607864</v>
      </c>
      <c r="AQ285" s="74">
        <f t="shared" si="138"/>
        <v>-1329421.8957350785</v>
      </c>
      <c r="AR285" s="74">
        <f t="shared" si="139"/>
        <v>-1236962.976775771</v>
      </c>
      <c r="AS285" s="75">
        <v>2123</v>
      </c>
      <c r="AT285" s="75"/>
      <c r="AU285" s="75"/>
      <c r="AV285" s="75">
        <v>138</v>
      </c>
      <c r="AW285" s="75">
        <v>3177.5818568794243</v>
      </c>
      <c r="AX285" s="75">
        <v>-3527.2914700255351</v>
      </c>
      <c r="AY285" s="75">
        <v>2336.6730353434345</v>
      </c>
      <c r="AZ285" s="316"/>
      <c r="BA285" s="74"/>
      <c r="BB285" s="74"/>
      <c r="BC285" s="74"/>
      <c r="BD285" s="74"/>
      <c r="BE285" s="74"/>
      <c r="BF285" s="74"/>
      <c r="BG285" s="74"/>
      <c r="BM285" s="316"/>
      <c r="BN285" s="74">
        <v>20592266.092427645</v>
      </c>
      <c r="BO285" s="74">
        <v>21827964.809999991</v>
      </c>
      <c r="BP285" s="74">
        <v>22084000</v>
      </c>
      <c r="BQ285" s="74">
        <v>468824</v>
      </c>
      <c r="BR285" s="74">
        <v>465000</v>
      </c>
      <c r="BS285" s="406">
        <f t="shared" si="140"/>
        <v>0.55028038862484796</v>
      </c>
      <c r="BT285" s="406">
        <f t="shared" si="141"/>
        <v>0.33333333333333326</v>
      </c>
      <c r="BU285" s="74">
        <f t="shared" si="142"/>
        <v>6985360.1277797576</v>
      </c>
      <c r="BV285" s="316"/>
      <c r="BW285" s="74">
        <v>42983121</v>
      </c>
      <c r="BX285" s="74">
        <v>20592266.092427645</v>
      </c>
      <c r="BY285" s="74">
        <v>21758235.115241122</v>
      </c>
      <c r="BZ285" s="74">
        <v>10472650.916945899</v>
      </c>
      <c r="CA285" s="74">
        <f t="shared" si="143"/>
        <v>-1269966.4205834542</v>
      </c>
      <c r="CB285" s="74">
        <f t="shared" si="144"/>
        <v>136.92326084652555</v>
      </c>
      <c r="CC285" s="74">
        <f t="shared" si="145"/>
        <v>384.15573725201108</v>
      </c>
      <c r="CD285" s="74">
        <f t="shared" si="146"/>
        <v>247.23247640548553</v>
      </c>
      <c r="CE285" s="74">
        <f t="shared" si="147"/>
        <v>-229.36251645318052</v>
      </c>
      <c r="CF285" s="74">
        <f t="shared" si="148"/>
        <v>-215.4511830821757</v>
      </c>
      <c r="CG285" s="74">
        <f t="shared" si="149"/>
        <v>-201.64142207418121</v>
      </c>
      <c r="CH285" s="74">
        <f t="shared" si="150"/>
        <v>-187.61762123096756</v>
      </c>
      <c r="CI285" s="74">
        <f t="shared" si="151"/>
        <v>-1512187.0709758191</v>
      </c>
      <c r="CJ285" s="74">
        <f t="shared" si="152"/>
        <v>-1420469.6500607843</v>
      </c>
      <c r="CK285" s="74">
        <f t="shared" si="153"/>
        <v>-1329421.8957350766</v>
      </c>
      <c r="CL285" s="74">
        <f t="shared" si="154"/>
        <v>-1236962.9767757691</v>
      </c>
      <c r="CM285" s="316"/>
      <c r="CN285" s="74">
        <v>20412.246481213406</v>
      </c>
      <c r="CO285" s="74">
        <v>772.96700599999997</v>
      </c>
    </row>
    <row r="286" spans="1:93" x14ac:dyDescent="0.2">
      <c r="A286" s="74">
        <v>886</v>
      </c>
      <c r="B286" s="74" t="s">
        <v>400</v>
      </c>
      <c r="C286" s="74">
        <v>4</v>
      </c>
      <c r="D286" s="74">
        <v>12669</v>
      </c>
      <c r="E286" s="89">
        <v>32227027.055187374</v>
      </c>
      <c r="F286" s="74">
        <v>21182987.762861967</v>
      </c>
      <c r="G286" s="74">
        <v>2986704.1969999997</v>
      </c>
      <c r="H286" s="74">
        <v>2085588.2531999999</v>
      </c>
      <c r="I286" s="74">
        <v>7180410.0471108705</v>
      </c>
      <c r="J286" s="74">
        <v>1953853.1110095633</v>
      </c>
      <c r="K286" s="74">
        <v>-141052.78831426238</v>
      </c>
      <c r="L286" s="74">
        <v>-171841</v>
      </c>
      <c r="M286" s="75">
        <v>-47000</v>
      </c>
      <c r="N286" s="75">
        <v>130796.73720334488</v>
      </c>
      <c r="O286" s="178">
        <f t="shared" si="125"/>
        <v>2933419.2648841143</v>
      </c>
      <c r="P286" s="179">
        <f t="shared" si="126"/>
        <v>231.54307876581532</v>
      </c>
      <c r="Q286" s="74"/>
      <c r="R286" s="89">
        <v>80214278.020000011</v>
      </c>
      <c r="S286" s="74">
        <v>49647215.599109106</v>
      </c>
      <c r="T286" s="74">
        <v>3128382.3797999998</v>
      </c>
      <c r="U286" s="74">
        <v>20470043.645640135</v>
      </c>
      <c r="V286" s="74">
        <v>6516364.159421077</v>
      </c>
      <c r="W286" s="74">
        <v>2767863.1969999997</v>
      </c>
      <c r="X286" s="178">
        <f t="shared" si="127"/>
        <v>2315590.9609703124</v>
      </c>
      <c r="Y286" s="179">
        <f t="shared" si="128"/>
        <v>182.77614341860544</v>
      </c>
      <c r="Z286" s="74"/>
      <c r="AA286" s="84">
        <f t="shared" si="129"/>
        <v>617828.30391380191</v>
      </c>
      <c r="AB286" s="132">
        <f t="shared" si="130"/>
        <v>48.766935347209873</v>
      </c>
      <c r="AD286" s="180">
        <v>-565052.86245624174</v>
      </c>
      <c r="AE286" s="187">
        <v>-391433.78127805708</v>
      </c>
      <c r="AF286" s="187">
        <v>-215191.09880079702</v>
      </c>
      <c r="AG286" s="187">
        <v>-40235.236590514854</v>
      </c>
      <c r="AH286" s="188">
        <v>-4879.3997940319068</v>
      </c>
      <c r="AJ286" s="74">
        <f t="shared" si="131"/>
        <v>28464227.836247139</v>
      </c>
      <c r="AK286" s="74">
        <f t="shared" si="132"/>
        <v>1042794.1265999998</v>
      </c>
      <c r="AL286" s="74">
        <f t="shared" si="133"/>
        <v>13289633.598529264</v>
      </c>
      <c r="AM286" s="74">
        <f t="shared" si="134"/>
        <v>47987250.964812636</v>
      </c>
      <c r="AN286" s="74">
        <f t="shared" si="135"/>
        <v>-565052.86245624174</v>
      </c>
      <c r="AO286" s="74">
        <f t="shared" si="136"/>
        <v>-391433.78127805708</v>
      </c>
      <c r="AP286" s="74">
        <f t="shared" si="137"/>
        <v>-215191.09880079702</v>
      </c>
      <c r="AQ286" s="74">
        <f t="shared" si="138"/>
        <v>-40235.236590514854</v>
      </c>
      <c r="AR286" s="74">
        <f t="shared" si="139"/>
        <v>-4879.3997940319068</v>
      </c>
      <c r="AS286" s="75">
        <v>3226</v>
      </c>
      <c r="AT286" s="75"/>
      <c r="AU286" s="75"/>
      <c r="AV286" s="75">
        <v>60</v>
      </c>
      <c r="AW286" s="75">
        <v>12433.178174669965</v>
      </c>
      <c r="AX286" s="75">
        <v>-1385.7449894433162</v>
      </c>
      <c r="AY286" s="75">
        <v>4562.5110484115139</v>
      </c>
      <c r="AZ286" s="316"/>
      <c r="BA286" s="74"/>
      <c r="BB286" s="74"/>
      <c r="BC286" s="74"/>
      <c r="BD286" s="74"/>
      <c r="BE286" s="74"/>
      <c r="BF286" s="74"/>
      <c r="BG286" s="74"/>
      <c r="BM286" s="316"/>
      <c r="BN286" s="74">
        <v>32227027.055187374</v>
      </c>
      <c r="BO286" s="74">
        <v>44050259.879999995</v>
      </c>
      <c r="BP286" s="74">
        <v>47655000</v>
      </c>
      <c r="BQ286" s="74">
        <v>1146603.9099999999</v>
      </c>
      <c r="BR286" s="74">
        <v>1187000</v>
      </c>
      <c r="BS286" s="406">
        <f t="shared" si="140"/>
        <v>0.57332979287478736</v>
      </c>
      <c r="BT286" s="406">
        <f t="shared" si="141"/>
        <v>0.33333333333333326</v>
      </c>
      <c r="BU286" s="74">
        <f t="shared" si="142"/>
        <v>17711091.858626518</v>
      </c>
      <c r="BV286" s="316"/>
      <c r="BW286" s="74">
        <v>80214278.020000011</v>
      </c>
      <c r="BX286" s="74">
        <v>32227027.055187374</v>
      </c>
      <c r="BY286" s="74">
        <v>55762302.175909102</v>
      </c>
      <c r="BZ286" s="74">
        <v>26255280.213061966</v>
      </c>
      <c r="CA286" s="74">
        <f t="shared" si="143"/>
        <v>-141052.78831426814</v>
      </c>
      <c r="CB286" s="74">
        <f t="shared" si="144"/>
        <v>182.77614341860493</v>
      </c>
      <c r="CC286" s="74">
        <f t="shared" si="145"/>
        <v>231.54307876581444</v>
      </c>
      <c r="CD286" s="74">
        <f t="shared" si="146"/>
        <v>48.766935347209511</v>
      </c>
      <c r="CE286" s="74">
        <f t="shared" si="147"/>
        <v>-30.896975394904505</v>
      </c>
      <c r="CF286" s="74">
        <f t="shared" si="148"/>
        <v>-16.985642023899686</v>
      </c>
      <c r="CG286" s="74">
        <f t="shared" si="149"/>
        <v>-3.1758810159051993</v>
      </c>
      <c r="CH286" s="74">
        <f t="shared" si="150"/>
        <v>-0.38514482548203544</v>
      </c>
      <c r="CI286" s="74">
        <f t="shared" si="151"/>
        <v>-391433.78127804515</v>
      </c>
      <c r="CJ286" s="74">
        <f t="shared" si="152"/>
        <v>-215191.09880078511</v>
      </c>
      <c r="CK286" s="74">
        <f t="shared" si="153"/>
        <v>-40235.236590502973</v>
      </c>
      <c r="CL286" s="74">
        <f t="shared" si="154"/>
        <v>-4879.3997940319068</v>
      </c>
      <c r="CM286" s="316"/>
      <c r="CN286" s="74">
        <v>50198.494951564695</v>
      </c>
      <c r="CO286" s="74">
        <v>3395.1436679999997</v>
      </c>
    </row>
    <row r="287" spans="1:93" x14ac:dyDescent="0.2">
      <c r="A287" s="74">
        <v>887</v>
      </c>
      <c r="B287" s="74" t="s">
        <v>401</v>
      </c>
      <c r="C287" s="74">
        <v>6</v>
      </c>
      <c r="D287" s="74">
        <v>4669</v>
      </c>
      <c r="E287" s="89">
        <v>11588229.426084738</v>
      </c>
      <c r="F287" s="74">
        <v>6392884.4792864341</v>
      </c>
      <c r="G287" s="74">
        <v>1694074.8800000001</v>
      </c>
      <c r="H287" s="74">
        <v>704140.1102</v>
      </c>
      <c r="I287" s="74">
        <v>2482395.2488930831</v>
      </c>
      <c r="J287" s="74">
        <v>1031074.9523479268</v>
      </c>
      <c r="K287" s="74">
        <v>-413029.62838200323</v>
      </c>
      <c r="L287" s="74">
        <v>-287146</v>
      </c>
      <c r="M287" s="75">
        <v>-136403.24</v>
      </c>
      <c r="N287" s="75">
        <v>36486.221910613713</v>
      </c>
      <c r="O287" s="178">
        <f t="shared" si="125"/>
        <v>-83752.401828683913</v>
      </c>
      <c r="P287" s="179">
        <f t="shared" si="126"/>
        <v>-17.93797426187276</v>
      </c>
      <c r="Q287" s="74"/>
      <c r="R287" s="89">
        <v>33454706.52</v>
      </c>
      <c r="S287" s="74">
        <v>14271904.696599295</v>
      </c>
      <c r="T287" s="74">
        <v>1056210.1653</v>
      </c>
      <c r="U287" s="74">
        <v>13119352.724165142</v>
      </c>
      <c r="V287" s="74">
        <v>3438774.3005333515</v>
      </c>
      <c r="W287" s="74">
        <v>1270525.6400000001</v>
      </c>
      <c r="X287" s="178">
        <f t="shared" si="127"/>
        <v>-297938.99340220913</v>
      </c>
      <c r="Y287" s="179">
        <f t="shared" si="128"/>
        <v>-63.812163932792707</v>
      </c>
      <c r="Z287" s="74"/>
      <c r="AA287" s="84">
        <f t="shared" si="129"/>
        <v>214186.59157352522</v>
      </c>
      <c r="AB287" s="132">
        <f t="shared" si="130"/>
        <v>45.874189670919947</v>
      </c>
      <c r="AD287" s="180">
        <v>-194736.868930433</v>
      </c>
      <c r="AE287" s="187">
        <v>-130751.74855621687</v>
      </c>
      <c r="AF287" s="187">
        <v>-65799.733046995359</v>
      </c>
      <c r="AG287" s="187">
        <v>-1321.9589006691142</v>
      </c>
      <c r="AH287" s="188">
        <v>-1798.2411901756234</v>
      </c>
      <c r="AJ287" s="74">
        <f t="shared" si="131"/>
        <v>7879020.2173128612</v>
      </c>
      <c r="AK287" s="74">
        <f t="shared" si="132"/>
        <v>352070.0551</v>
      </c>
      <c r="AL287" s="74">
        <f t="shared" si="133"/>
        <v>10636957.475272059</v>
      </c>
      <c r="AM287" s="74">
        <f t="shared" si="134"/>
        <v>21866477.093915261</v>
      </c>
      <c r="AN287" s="74">
        <f t="shared" si="135"/>
        <v>-194736.868930433</v>
      </c>
      <c r="AO287" s="74">
        <f t="shared" si="136"/>
        <v>-130751.74855621687</v>
      </c>
      <c r="AP287" s="74">
        <f t="shared" si="137"/>
        <v>-65799.733046995359</v>
      </c>
      <c r="AQ287" s="74">
        <f t="shared" si="138"/>
        <v>-1321.9589006691142</v>
      </c>
      <c r="AR287" s="74">
        <f t="shared" si="139"/>
        <v>-1798.2411901756234</v>
      </c>
      <c r="AS287" s="75">
        <v>1656</v>
      </c>
      <c r="AT287" s="75"/>
      <c r="AU287" s="75"/>
      <c r="AV287" s="75">
        <v>7</v>
      </c>
      <c r="AW287" s="75">
        <v>8377.9854221566693</v>
      </c>
      <c r="AX287" s="75">
        <v>-2199.8312077838723</v>
      </c>
      <c r="AY287" s="75">
        <v>2407.6993481854247</v>
      </c>
      <c r="AZ287" s="316"/>
      <c r="BA287" s="74"/>
      <c r="BB287" s="74"/>
      <c r="BC287" s="74"/>
      <c r="BD287" s="74"/>
      <c r="BE287" s="74"/>
      <c r="BF287" s="74"/>
      <c r="BG287" s="74"/>
      <c r="BM287" s="316"/>
      <c r="BN287" s="74">
        <v>11588229.426084738</v>
      </c>
      <c r="BO287" s="74">
        <v>20853708.859999992</v>
      </c>
      <c r="BP287" s="74">
        <v>21150000</v>
      </c>
      <c r="BQ287" s="74">
        <v>355366.28</v>
      </c>
      <c r="BR287" s="74">
        <v>363000</v>
      </c>
      <c r="BS287" s="406">
        <f t="shared" si="140"/>
        <v>0.55206508064689297</v>
      </c>
      <c r="BT287" s="406">
        <f t="shared" si="141"/>
        <v>0.33333333333333337</v>
      </c>
      <c r="BU287" s="74">
        <f t="shared" si="142"/>
        <v>12631627.19507548</v>
      </c>
      <c r="BV287" s="316"/>
      <c r="BW287" s="74">
        <v>33454706.52</v>
      </c>
      <c r="BX287" s="74">
        <v>11588229.426084738</v>
      </c>
      <c r="BY287" s="74">
        <v>17022189.741899297</v>
      </c>
      <c r="BZ287" s="74">
        <v>8791099.469486434</v>
      </c>
      <c r="CA287" s="74">
        <f t="shared" si="143"/>
        <v>-413029.62838200631</v>
      </c>
      <c r="CB287" s="74">
        <f t="shared" si="144"/>
        <v>-63.812163932793403</v>
      </c>
      <c r="CC287" s="74">
        <f t="shared" si="145"/>
        <v>-17.937974261873407</v>
      </c>
      <c r="CD287" s="74">
        <f t="shared" si="146"/>
        <v>45.874189670919996</v>
      </c>
      <c r="CE287" s="74">
        <f t="shared" si="147"/>
        <v>-28.00422971861499</v>
      </c>
      <c r="CF287" s="74">
        <f t="shared" si="148"/>
        <v>-14.09289634761017</v>
      </c>
      <c r="CG287" s="74">
        <f t="shared" si="149"/>
        <v>-0.28313533961568449</v>
      </c>
      <c r="CH287" s="74">
        <f t="shared" si="150"/>
        <v>-0.38514482548203544</v>
      </c>
      <c r="CI287" s="74">
        <f t="shared" si="151"/>
        <v>-130751.7485562134</v>
      </c>
      <c r="CJ287" s="74">
        <f t="shared" si="152"/>
        <v>-65799.733046991882</v>
      </c>
      <c r="CK287" s="74">
        <f t="shared" si="153"/>
        <v>-1321.9589006656308</v>
      </c>
      <c r="CL287" s="74">
        <f t="shared" si="154"/>
        <v>-1798.2411901756234</v>
      </c>
      <c r="CM287" s="316"/>
      <c r="CN287" s="74">
        <v>14649.680051336518</v>
      </c>
      <c r="CO287" s="74">
        <v>1146.274598</v>
      </c>
    </row>
    <row r="288" spans="1:93" x14ac:dyDescent="0.2">
      <c r="A288" s="74">
        <v>889</v>
      </c>
      <c r="B288" s="74" t="s">
        <v>402</v>
      </c>
      <c r="C288" s="74">
        <v>17</v>
      </c>
      <c r="D288" s="74">
        <v>2568</v>
      </c>
      <c r="E288" s="89">
        <v>11940747.154594569</v>
      </c>
      <c r="F288" s="74">
        <v>2885454.8616280206</v>
      </c>
      <c r="G288" s="74">
        <v>3001502.2989999996</v>
      </c>
      <c r="H288" s="74">
        <v>676509.98720000009</v>
      </c>
      <c r="I288" s="74">
        <v>3058530.7784247515</v>
      </c>
      <c r="J288" s="74">
        <v>543263.96474505053</v>
      </c>
      <c r="K288" s="74">
        <v>1089285.4322706249</v>
      </c>
      <c r="L288" s="74">
        <v>303421</v>
      </c>
      <c r="M288" s="75">
        <v>-105830</v>
      </c>
      <c r="N288" s="75">
        <v>20105.0270580865</v>
      </c>
      <c r="O288" s="178">
        <f t="shared" si="125"/>
        <v>-468503.80426803604</v>
      </c>
      <c r="P288" s="179">
        <f t="shared" si="126"/>
        <v>-182.43917611683645</v>
      </c>
      <c r="Q288" s="74"/>
      <c r="R288" s="89">
        <v>23776942.359999999</v>
      </c>
      <c r="S288" s="74">
        <v>7082782.9999245508</v>
      </c>
      <c r="T288" s="74">
        <v>1014764.9808</v>
      </c>
      <c r="U288" s="74">
        <v>10617682.045177545</v>
      </c>
      <c r="V288" s="74">
        <v>1811858.7364740309</v>
      </c>
      <c r="W288" s="74">
        <v>3199093.2989999996</v>
      </c>
      <c r="X288" s="178">
        <f t="shared" si="127"/>
        <v>-50760.298623871058</v>
      </c>
      <c r="Y288" s="179">
        <f t="shared" si="128"/>
        <v>-19.766471426741067</v>
      </c>
      <c r="Z288" s="74"/>
      <c r="AA288" s="84">
        <f t="shared" si="129"/>
        <v>-417743.50564416498</v>
      </c>
      <c r="AB288" s="132">
        <f t="shared" si="130"/>
        <v>-162.6727046900954</v>
      </c>
      <c r="AD288" s="180">
        <v>428441.06138360285</v>
      </c>
      <c r="AE288" s="187">
        <v>386593.56280167674</v>
      </c>
      <c r="AF288" s="187">
        <v>345277.86689841712</v>
      </c>
      <c r="AG288" s="187">
        <v>303701.33316694695</v>
      </c>
      <c r="AH288" s="188">
        <v>262674.45373231964</v>
      </c>
      <c r="AJ288" s="74">
        <f t="shared" si="131"/>
        <v>4197328.1382965297</v>
      </c>
      <c r="AK288" s="74">
        <f t="shared" si="132"/>
        <v>338254.99359999993</v>
      </c>
      <c r="AL288" s="74">
        <f t="shared" si="133"/>
        <v>7559151.2667527944</v>
      </c>
      <c r="AM288" s="74">
        <f t="shared" si="134"/>
        <v>11836195.205405431</v>
      </c>
      <c r="AN288" s="74">
        <f t="shared" si="135"/>
        <v>428441.06138360285</v>
      </c>
      <c r="AO288" s="74">
        <f t="shared" si="136"/>
        <v>386593.56280167674</v>
      </c>
      <c r="AP288" s="74">
        <f t="shared" si="137"/>
        <v>345277.86689841712</v>
      </c>
      <c r="AQ288" s="74">
        <f t="shared" si="138"/>
        <v>303701.33316694695</v>
      </c>
      <c r="AR288" s="74">
        <f t="shared" si="139"/>
        <v>262674.45373231964</v>
      </c>
      <c r="AS288" s="75">
        <v>1214</v>
      </c>
      <c r="AT288" s="75"/>
      <c r="AU288" s="75"/>
      <c r="AV288" s="75">
        <v>27</v>
      </c>
      <c r="AW288" s="75">
        <v>6502.734926784633</v>
      </c>
      <c r="AX288" s="75">
        <v>-1365.9772509725783</v>
      </c>
      <c r="AY288" s="75">
        <v>1268.5947717289803</v>
      </c>
      <c r="AZ288" s="316"/>
      <c r="BA288" s="74"/>
      <c r="BB288" s="74"/>
      <c r="BC288" s="74"/>
      <c r="BD288" s="74"/>
      <c r="BE288" s="74"/>
      <c r="BF288" s="74"/>
      <c r="BG288" s="74"/>
      <c r="BM288" s="316"/>
      <c r="BN288" s="74">
        <v>11940747.154594569</v>
      </c>
      <c r="BO288" s="74">
        <v>10816130.43</v>
      </c>
      <c r="BP288" s="74">
        <v>11616000</v>
      </c>
      <c r="BQ288" s="74">
        <v>202179.65</v>
      </c>
      <c r="BR288" s="74">
        <v>201000</v>
      </c>
      <c r="BS288" s="406">
        <f t="shared" si="140"/>
        <v>0.59261001478391218</v>
      </c>
      <c r="BT288" s="406">
        <f t="shared" si="141"/>
        <v>0.33333333333333326</v>
      </c>
      <c r="BU288" s="74">
        <f t="shared" si="142"/>
        <v>9917031.4707524013</v>
      </c>
      <c r="BV288" s="316"/>
      <c r="BW288" s="74">
        <v>23776942.359999999</v>
      </c>
      <c r="BX288" s="74">
        <v>11940747.154594569</v>
      </c>
      <c r="BY288" s="74">
        <v>11099050.27972455</v>
      </c>
      <c r="BZ288" s="74">
        <v>6563467.1478280211</v>
      </c>
      <c r="CA288" s="74">
        <f t="shared" si="143"/>
        <v>1089285.4322706235</v>
      </c>
      <c r="CB288" s="74">
        <f t="shared" si="144"/>
        <v>-19.766471426741791</v>
      </c>
      <c r="CC288" s="74">
        <f t="shared" si="145"/>
        <v>-182.43917611683659</v>
      </c>
      <c r="CD288" s="74">
        <f t="shared" si="146"/>
        <v>-162.6727046900948</v>
      </c>
      <c r="CE288" s="74">
        <f t="shared" si="147"/>
        <v>150.54266464239981</v>
      </c>
      <c r="CF288" s="74">
        <f t="shared" si="148"/>
        <v>134.45399801340463</v>
      </c>
      <c r="CG288" s="74">
        <f t="shared" si="149"/>
        <v>118.26375902139911</v>
      </c>
      <c r="CH288" s="74">
        <f t="shared" si="150"/>
        <v>102.28755986461277</v>
      </c>
      <c r="CI288" s="74">
        <f t="shared" si="151"/>
        <v>386593.56280168274</v>
      </c>
      <c r="CJ288" s="74">
        <f t="shared" si="152"/>
        <v>345277.86689842306</v>
      </c>
      <c r="CK288" s="74">
        <f t="shared" si="153"/>
        <v>303701.33316695294</v>
      </c>
      <c r="CL288" s="74">
        <f t="shared" si="154"/>
        <v>262674.45373232558</v>
      </c>
      <c r="CM288" s="316"/>
      <c r="CN288" s="74">
        <v>7093.7430535343628</v>
      </c>
      <c r="CO288" s="74">
        <v>1101.2953279999999</v>
      </c>
    </row>
    <row r="289" spans="1:93" x14ac:dyDescent="0.2">
      <c r="A289" s="74">
        <v>890</v>
      </c>
      <c r="B289" s="74" t="s">
        <v>403</v>
      </c>
      <c r="C289" s="74">
        <v>19</v>
      </c>
      <c r="D289" s="74">
        <v>1176</v>
      </c>
      <c r="E289" s="89">
        <v>5594766.3228529468</v>
      </c>
      <c r="F289" s="74">
        <v>1719090.1486793845</v>
      </c>
      <c r="G289" s="74">
        <v>664867.58699999994</v>
      </c>
      <c r="H289" s="74">
        <v>97796.697400000005</v>
      </c>
      <c r="I289" s="74">
        <v>2302287.8695589169</v>
      </c>
      <c r="J289" s="74">
        <v>231300.47638110735</v>
      </c>
      <c r="K289" s="74">
        <v>119373.96570226965</v>
      </c>
      <c r="L289" s="74">
        <v>409504</v>
      </c>
      <c r="M289" s="75">
        <v>-74975</v>
      </c>
      <c r="N289" s="75">
        <v>11089.385238899735</v>
      </c>
      <c r="O289" s="178">
        <f t="shared" si="125"/>
        <v>-114431.19289236888</v>
      </c>
      <c r="P289" s="179">
        <f t="shared" si="126"/>
        <v>-97.305436132966733</v>
      </c>
      <c r="Q289" s="74"/>
      <c r="R289" s="89">
        <v>12549363.33</v>
      </c>
      <c r="S289" s="74">
        <v>4171895.9005180593</v>
      </c>
      <c r="T289" s="74">
        <v>146695.04610000001</v>
      </c>
      <c r="U289" s="74">
        <v>6917772.2364386749</v>
      </c>
      <c r="V289" s="74">
        <v>771418.34555212443</v>
      </c>
      <c r="W289" s="74">
        <v>999396.58699999982</v>
      </c>
      <c r="X289" s="178">
        <f t="shared" si="127"/>
        <v>457814.78560885787</v>
      </c>
      <c r="Y289" s="179">
        <f t="shared" si="128"/>
        <v>389.29828708236215</v>
      </c>
      <c r="Z289" s="74"/>
      <c r="AA289" s="84">
        <f t="shared" si="129"/>
        <v>-572245.97850122675</v>
      </c>
      <c r="AB289" s="132">
        <f t="shared" si="130"/>
        <v>-486.6037232153289</v>
      </c>
      <c r="AD289" s="180">
        <v>577144.85916695406</v>
      </c>
      <c r="AE289" s="187">
        <v>557981.05140513752</v>
      </c>
      <c r="AF289" s="187">
        <v>539060.77944943914</v>
      </c>
      <c r="AG289" s="187">
        <v>520021.05839484063</v>
      </c>
      <c r="AH289" s="188">
        <v>501233.04818645993</v>
      </c>
      <c r="AJ289" s="74">
        <f t="shared" si="131"/>
        <v>2452805.7518386748</v>
      </c>
      <c r="AK289" s="74">
        <f t="shared" si="132"/>
        <v>48898.348700000002</v>
      </c>
      <c r="AL289" s="74">
        <f t="shared" si="133"/>
        <v>4615484.3668797575</v>
      </c>
      <c r="AM289" s="74">
        <f t="shared" si="134"/>
        <v>6954597.0071470533</v>
      </c>
      <c r="AN289" s="74">
        <f t="shared" si="135"/>
        <v>577144.85916695406</v>
      </c>
      <c r="AO289" s="74">
        <f t="shared" si="136"/>
        <v>557981.05140513752</v>
      </c>
      <c r="AP289" s="74">
        <f t="shared" si="137"/>
        <v>539060.77944943914</v>
      </c>
      <c r="AQ289" s="74">
        <f t="shared" si="138"/>
        <v>520021.05839484063</v>
      </c>
      <c r="AR289" s="74">
        <f t="shared" si="139"/>
        <v>501233.04818645993</v>
      </c>
      <c r="AS289" s="75">
        <v>763</v>
      </c>
      <c r="AT289" s="75"/>
      <c r="AU289" s="75"/>
      <c r="AV289" s="75">
        <v>81</v>
      </c>
      <c r="AW289" s="75">
        <v>3775.5260742858445</v>
      </c>
      <c r="AX289" s="75">
        <v>-347.80516625812334</v>
      </c>
      <c r="AY289" s="75">
        <v>540.11786917101711</v>
      </c>
      <c r="AZ289" s="316"/>
      <c r="BA289" s="74"/>
      <c r="BB289" s="74"/>
      <c r="BC289" s="74"/>
      <c r="BD289" s="74"/>
      <c r="BE289" s="74"/>
      <c r="BF289" s="74"/>
      <c r="BG289" s="74"/>
      <c r="BM289" s="316"/>
      <c r="BN289" s="74">
        <v>5594766.3228529468</v>
      </c>
      <c r="BO289" s="74">
        <v>6641046.5999999987</v>
      </c>
      <c r="BP289" s="74">
        <v>6856000</v>
      </c>
      <c r="BQ289" s="74">
        <v>184185</v>
      </c>
      <c r="BR289" s="74">
        <v>204000</v>
      </c>
      <c r="BS289" s="406">
        <f t="shared" si="140"/>
        <v>0.58793551189378657</v>
      </c>
      <c r="BT289" s="406">
        <f t="shared" si="141"/>
        <v>0.33333333333333337</v>
      </c>
      <c r="BU289" s="74">
        <f t="shared" si="142"/>
        <v>5274976.2017530445</v>
      </c>
      <c r="BV289" s="316"/>
      <c r="BW289" s="74">
        <v>12549363.33</v>
      </c>
      <c r="BX289" s="74">
        <v>5594766.3228529468</v>
      </c>
      <c r="BY289" s="74">
        <v>4983458.5336180599</v>
      </c>
      <c r="BZ289" s="74">
        <v>2481754.4330793843</v>
      </c>
      <c r="CA289" s="74">
        <f t="shared" si="143"/>
        <v>119373.9657022695</v>
      </c>
      <c r="CB289" s="74">
        <f t="shared" si="144"/>
        <v>389.29828708236283</v>
      </c>
      <c r="CC289" s="74">
        <f t="shared" si="145"/>
        <v>-97.305436132966904</v>
      </c>
      <c r="CD289" s="74">
        <f t="shared" si="146"/>
        <v>-486.60372321532975</v>
      </c>
      <c r="CE289" s="74">
        <f t="shared" si="147"/>
        <v>474.47368316763476</v>
      </c>
      <c r="CF289" s="74">
        <f t="shared" si="148"/>
        <v>458.3850165386396</v>
      </c>
      <c r="CG289" s="74">
        <f t="shared" si="149"/>
        <v>442.19477754663404</v>
      </c>
      <c r="CH289" s="74">
        <f t="shared" si="150"/>
        <v>426.21857838984772</v>
      </c>
      <c r="CI289" s="74">
        <f t="shared" si="151"/>
        <v>557981.05140513845</v>
      </c>
      <c r="CJ289" s="74">
        <f t="shared" si="152"/>
        <v>539060.77944944019</v>
      </c>
      <c r="CK289" s="74">
        <f t="shared" si="153"/>
        <v>520021.05839484162</v>
      </c>
      <c r="CL289" s="74">
        <f t="shared" si="154"/>
        <v>501233.04818646092</v>
      </c>
      <c r="CM289" s="316"/>
      <c r="CN289" s="74">
        <v>4104.4407688112069</v>
      </c>
      <c r="CO289" s="74">
        <v>159.203926</v>
      </c>
    </row>
    <row r="290" spans="1:93" x14ac:dyDescent="0.2">
      <c r="A290" s="74">
        <v>892</v>
      </c>
      <c r="B290" s="74" t="s">
        <v>404</v>
      </c>
      <c r="C290" s="74">
        <v>13</v>
      </c>
      <c r="D290" s="74">
        <v>3634</v>
      </c>
      <c r="E290" s="89">
        <v>12651996.287224749</v>
      </c>
      <c r="F290" s="74">
        <v>4786070.2783230059</v>
      </c>
      <c r="G290" s="74">
        <v>748069.12740000011</v>
      </c>
      <c r="H290" s="74">
        <v>518018.5232</v>
      </c>
      <c r="I290" s="74">
        <v>5734125.557826967</v>
      </c>
      <c r="J290" s="74">
        <v>606653.39776543691</v>
      </c>
      <c r="K290" s="74">
        <v>377503.70580947527</v>
      </c>
      <c r="L290" s="74">
        <v>-623488</v>
      </c>
      <c r="M290" s="75">
        <v>77300</v>
      </c>
      <c r="N290" s="75">
        <v>28674.340168933253</v>
      </c>
      <c r="O290" s="178">
        <f t="shared" si="125"/>
        <v>-399069.35673093051</v>
      </c>
      <c r="P290" s="179">
        <f t="shared" si="126"/>
        <v>-109.81545314555049</v>
      </c>
      <c r="Q290" s="74"/>
      <c r="R290" s="89">
        <v>23732150</v>
      </c>
      <c r="S290" s="74">
        <v>10995833.886947373</v>
      </c>
      <c r="T290" s="74">
        <v>777027.78480000002</v>
      </c>
      <c r="U290" s="74">
        <v>9450434.8282212391</v>
      </c>
      <c r="V290" s="74">
        <v>2023271.0617366163</v>
      </c>
      <c r="W290" s="74">
        <v>201881.12740000011</v>
      </c>
      <c r="X290" s="178">
        <f t="shared" si="127"/>
        <v>-283701.31089477241</v>
      </c>
      <c r="Y290" s="179">
        <f t="shared" si="128"/>
        <v>-78.068605089370507</v>
      </c>
      <c r="Z290" s="74"/>
      <c r="AA290" s="84">
        <f t="shared" si="129"/>
        <v>-115368.0458361581</v>
      </c>
      <c r="AB290" s="132">
        <f t="shared" si="130"/>
        <v>-31.746848056179992</v>
      </c>
      <c r="AD290" s="180">
        <v>130506.25360763176</v>
      </c>
      <c r="AE290" s="187">
        <v>71287.480302834461</v>
      </c>
      <c r="AF290" s="187">
        <v>12821.265773065974</v>
      </c>
      <c r="AG290" s="187">
        <v>2147.8914399598693</v>
      </c>
      <c r="AH290" s="188">
        <v>-1399.6162958017167</v>
      </c>
      <c r="AJ290" s="74">
        <f t="shared" si="131"/>
        <v>6209763.608624367</v>
      </c>
      <c r="AK290" s="74">
        <f t="shared" si="132"/>
        <v>259009.26160000003</v>
      </c>
      <c r="AL290" s="74">
        <f t="shared" si="133"/>
        <v>3716309.2703942722</v>
      </c>
      <c r="AM290" s="74">
        <f t="shared" si="134"/>
        <v>11080153.712775251</v>
      </c>
      <c r="AN290" s="74">
        <f t="shared" si="135"/>
        <v>130506.25360763176</v>
      </c>
      <c r="AO290" s="74">
        <f t="shared" si="136"/>
        <v>71287.480302834461</v>
      </c>
      <c r="AP290" s="74">
        <f t="shared" si="137"/>
        <v>12821.265773065974</v>
      </c>
      <c r="AQ290" s="74">
        <f t="shared" si="138"/>
        <v>2147.8914399598693</v>
      </c>
      <c r="AR290" s="74">
        <f t="shared" si="139"/>
        <v>-1399.6162958017167</v>
      </c>
      <c r="AS290" s="75">
        <v>1323</v>
      </c>
      <c r="AT290" s="75"/>
      <c r="AU290" s="75"/>
      <c r="AV290" s="75">
        <v>5</v>
      </c>
      <c r="AW290" s="75">
        <v>2085.1873627662362</v>
      </c>
      <c r="AX290" s="75">
        <v>-1768.9996122588213</v>
      </c>
      <c r="AY290" s="75">
        <v>1416.6176639711794</v>
      </c>
      <c r="AZ290" s="316"/>
      <c r="BA290" s="74"/>
      <c r="BB290" s="74"/>
      <c r="BC290" s="74"/>
      <c r="BD290" s="74"/>
      <c r="BE290" s="74"/>
      <c r="BF290" s="74"/>
      <c r="BG290" s="74"/>
      <c r="BM290" s="316"/>
      <c r="BN290" s="74">
        <v>12651996.287224749</v>
      </c>
      <c r="BO290" s="74">
        <v>9798950.6300000008</v>
      </c>
      <c r="BP290" s="74">
        <v>11037000</v>
      </c>
      <c r="BQ290" s="74">
        <v>336122.96</v>
      </c>
      <c r="BR290" s="74">
        <v>346000</v>
      </c>
      <c r="BS290" s="406">
        <f t="shared" si="140"/>
        <v>0.56473785185093417</v>
      </c>
      <c r="BT290" s="406">
        <f t="shared" si="141"/>
        <v>0.33333333333333337</v>
      </c>
      <c r="BU290" s="74">
        <f t="shared" si="142"/>
        <v>5510430.6401749272</v>
      </c>
      <c r="BV290" s="316"/>
      <c r="BW290" s="74">
        <v>23732150</v>
      </c>
      <c r="BX290" s="74">
        <v>12651996.287224749</v>
      </c>
      <c r="BY290" s="74">
        <v>12520930.799147373</v>
      </c>
      <c r="BZ290" s="74">
        <v>6052157.9289230052</v>
      </c>
      <c r="CA290" s="74">
        <f t="shared" si="143"/>
        <v>377503.7058094737</v>
      </c>
      <c r="CB290" s="74">
        <f t="shared" si="144"/>
        <v>-78.068605089370124</v>
      </c>
      <c r="CC290" s="74">
        <f t="shared" si="145"/>
        <v>-109.81545314555119</v>
      </c>
      <c r="CD290" s="74">
        <f t="shared" si="146"/>
        <v>-31.746848056181065</v>
      </c>
      <c r="CE290" s="74">
        <f t="shared" si="147"/>
        <v>19.616808008486071</v>
      </c>
      <c r="CF290" s="74">
        <f t="shared" si="148"/>
        <v>3.5281413794908913</v>
      </c>
      <c r="CG290" s="74">
        <f t="shared" si="149"/>
        <v>0.59105433130431184</v>
      </c>
      <c r="CH290" s="74">
        <f t="shared" si="150"/>
        <v>-0.38514482548203544</v>
      </c>
      <c r="CI290" s="74">
        <f t="shared" si="151"/>
        <v>71287.480302838376</v>
      </c>
      <c r="CJ290" s="74">
        <f t="shared" si="152"/>
        <v>12821.265773069899</v>
      </c>
      <c r="CK290" s="74">
        <f t="shared" si="153"/>
        <v>2147.8914399598693</v>
      </c>
      <c r="CL290" s="74">
        <f t="shared" si="154"/>
        <v>-1399.6162958017167</v>
      </c>
      <c r="CM290" s="316"/>
      <c r="CN290" s="74">
        <v>11232.058532254861</v>
      </c>
      <c r="CO290" s="74">
        <v>843.28596800000003</v>
      </c>
    </row>
    <row r="291" spans="1:93" x14ac:dyDescent="0.2">
      <c r="A291" s="74">
        <v>893</v>
      </c>
      <c r="B291" s="74" t="s">
        <v>405</v>
      </c>
      <c r="C291" s="74">
        <v>15</v>
      </c>
      <c r="D291" s="74">
        <v>7497</v>
      </c>
      <c r="E291" s="89">
        <v>22284259.271624569</v>
      </c>
      <c r="F291" s="74">
        <v>10103983.085568283</v>
      </c>
      <c r="G291" s="74">
        <v>2915909.3020000001</v>
      </c>
      <c r="H291" s="74">
        <v>1982920.9286000002</v>
      </c>
      <c r="I291" s="74">
        <v>8101529.8510988597</v>
      </c>
      <c r="J291" s="74">
        <v>1487629.6159334928</v>
      </c>
      <c r="K291" s="74">
        <v>-632871.37483209744</v>
      </c>
      <c r="L291" s="74">
        <v>-368958</v>
      </c>
      <c r="M291" s="75">
        <v>270000</v>
      </c>
      <c r="N291" s="75">
        <v>63663.039367357262</v>
      </c>
      <c r="O291" s="178">
        <f t="shared" si="125"/>
        <v>1639547.1761113256</v>
      </c>
      <c r="P291" s="179">
        <f t="shared" si="126"/>
        <v>218.69376765523884</v>
      </c>
      <c r="Q291" s="74"/>
      <c r="R291" s="89">
        <v>52749062.350000001</v>
      </c>
      <c r="S291" s="74">
        <v>23474552.905814048</v>
      </c>
      <c r="T291" s="74">
        <v>2974381.3929000003</v>
      </c>
      <c r="U291" s="74">
        <v>19934989.776236251</v>
      </c>
      <c r="V291" s="74">
        <v>4961445.8001673725</v>
      </c>
      <c r="W291" s="74">
        <v>2816951.3020000001</v>
      </c>
      <c r="X291" s="178">
        <f t="shared" si="127"/>
        <v>1413258.8271176741</v>
      </c>
      <c r="Y291" s="179">
        <f t="shared" si="128"/>
        <v>188.50991424805576</v>
      </c>
      <c r="Z291" s="74"/>
      <c r="AA291" s="84">
        <f t="shared" si="129"/>
        <v>226288.34899365157</v>
      </c>
      <c r="AB291" s="132">
        <f t="shared" si="130"/>
        <v>30.183853407183083</v>
      </c>
      <c r="AD291" s="180">
        <v>-195057.9847496399</v>
      </c>
      <c r="AE291" s="187">
        <v>-92317.259231220931</v>
      </c>
      <c r="AF291" s="187">
        <v>11976.007051202221</v>
      </c>
      <c r="AG291" s="187">
        <v>4431.134321788426</v>
      </c>
      <c r="AH291" s="188">
        <v>-2887.4307566388197</v>
      </c>
      <c r="AJ291" s="74">
        <f t="shared" si="131"/>
        <v>13370569.820245765</v>
      </c>
      <c r="AK291" s="74">
        <f t="shared" si="132"/>
        <v>991460.46430000011</v>
      </c>
      <c r="AL291" s="74">
        <f t="shared" si="133"/>
        <v>11833459.925137391</v>
      </c>
      <c r="AM291" s="74">
        <f t="shared" si="134"/>
        <v>30464803.078375433</v>
      </c>
      <c r="AN291" s="74">
        <f t="shared" si="135"/>
        <v>-195057.9847496399</v>
      </c>
      <c r="AO291" s="74">
        <f t="shared" si="136"/>
        <v>-92317.259231220931</v>
      </c>
      <c r="AP291" s="74">
        <f t="shared" si="137"/>
        <v>11976.007051202221</v>
      </c>
      <c r="AQ291" s="74">
        <f t="shared" si="138"/>
        <v>4431.134321788426</v>
      </c>
      <c r="AR291" s="74">
        <f t="shared" si="139"/>
        <v>-2887.4307566388197</v>
      </c>
      <c r="AS291" s="75">
        <v>2969</v>
      </c>
      <c r="AT291" s="75"/>
      <c r="AU291" s="75"/>
      <c r="AV291" s="75">
        <v>0</v>
      </c>
      <c r="AW291" s="75">
        <v>9035.3853954380902</v>
      </c>
      <c r="AX291" s="75">
        <v>-2605.7012071249046</v>
      </c>
      <c r="AY291" s="75">
        <v>3473.8161842338795</v>
      </c>
      <c r="AZ291" s="316"/>
      <c r="BA291" s="74"/>
      <c r="BB291" s="74"/>
      <c r="BC291" s="74"/>
      <c r="BD291" s="74"/>
      <c r="BE291" s="74"/>
      <c r="BF291" s="74"/>
      <c r="BG291" s="74"/>
      <c r="BM291" s="316"/>
      <c r="BN291" s="74">
        <v>22284259.271624569</v>
      </c>
      <c r="BO291" s="74">
        <v>28218021.390000001</v>
      </c>
      <c r="BP291" s="74">
        <v>29597000</v>
      </c>
      <c r="BQ291" s="74">
        <v>571657.16</v>
      </c>
      <c r="BR291" s="74">
        <v>589000</v>
      </c>
      <c r="BS291" s="406">
        <f t="shared" si="140"/>
        <v>0.5695771874289548</v>
      </c>
      <c r="BT291" s="406">
        <f t="shared" si="141"/>
        <v>0.33333333333333337</v>
      </c>
      <c r="BU291" s="74">
        <f t="shared" si="142"/>
        <v>14674404.734539175</v>
      </c>
      <c r="BV291" s="316"/>
      <c r="BW291" s="74">
        <v>52749062.350000001</v>
      </c>
      <c r="BX291" s="74">
        <v>22284259.271624569</v>
      </c>
      <c r="BY291" s="74">
        <v>29364843.60071405</v>
      </c>
      <c r="BZ291" s="74">
        <v>15002813.316168284</v>
      </c>
      <c r="CA291" s="74">
        <f t="shared" si="143"/>
        <v>-632871.37483210105</v>
      </c>
      <c r="CB291" s="74">
        <f t="shared" si="144"/>
        <v>188.5099142480554</v>
      </c>
      <c r="CC291" s="74">
        <f t="shared" si="145"/>
        <v>218.69376765523859</v>
      </c>
      <c r="CD291" s="74">
        <f t="shared" si="146"/>
        <v>30.183853407183193</v>
      </c>
      <c r="CE291" s="74">
        <f t="shared" si="147"/>
        <v>-12.313893454878189</v>
      </c>
      <c r="CF291" s="74">
        <f t="shared" si="148"/>
        <v>1.5974399161266333</v>
      </c>
      <c r="CG291" s="74">
        <f t="shared" si="149"/>
        <v>0.59105433130431184</v>
      </c>
      <c r="CH291" s="74">
        <f t="shared" si="150"/>
        <v>-0.38514482548203544</v>
      </c>
      <c r="CI291" s="74">
        <f t="shared" si="151"/>
        <v>-92317.259231221775</v>
      </c>
      <c r="CJ291" s="74">
        <f t="shared" si="152"/>
        <v>11976.00705120137</v>
      </c>
      <c r="CK291" s="74">
        <f t="shared" si="153"/>
        <v>4431.134321788426</v>
      </c>
      <c r="CL291" s="74">
        <f t="shared" si="154"/>
        <v>-2887.4307566388197</v>
      </c>
      <c r="CM291" s="316"/>
      <c r="CN291" s="74">
        <v>24238.958255557358</v>
      </c>
      <c r="CO291" s="74">
        <v>3228.0108140000002</v>
      </c>
    </row>
    <row r="292" spans="1:93" x14ac:dyDescent="0.2">
      <c r="A292" s="74">
        <v>895</v>
      </c>
      <c r="B292" s="74" t="s">
        <v>406</v>
      </c>
      <c r="C292" s="74">
        <v>2</v>
      </c>
      <c r="D292" s="74">
        <v>15463</v>
      </c>
      <c r="E292" s="89">
        <v>43077194.752900183</v>
      </c>
      <c r="F292" s="74">
        <v>24199849.404703174</v>
      </c>
      <c r="G292" s="74">
        <v>5465956.4557000007</v>
      </c>
      <c r="H292" s="74">
        <v>3906556.5790000004</v>
      </c>
      <c r="I292" s="74">
        <v>3787097.5432249452</v>
      </c>
      <c r="J292" s="74">
        <v>2544959.376655696</v>
      </c>
      <c r="K292" s="74">
        <v>1087190.5307428802</v>
      </c>
      <c r="L292" s="74">
        <v>-1740885</v>
      </c>
      <c r="M292" s="75">
        <v>398493</v>
      </c>
      <c r="N292" s="75">
        <v>163851.69939304303</v>
      </c>
      <c r="O292" s="178">
        <f t="shared" si="125"/>
        <v>-3264125.1634804457</v>
      </c>
      <c r="P292" s="179">
        <f t="shared" si="126"/>
        <v>-211.09261873378037</v>
      </c>
      <c r="Q292" s="74"/>
      <c r="R292" s="89">
        <v>106511216.2</v>
      </c>
      <c r="S292" s="74">
        <v>59210610.096725322</v>
      </c>
      <c r="T292" s="74">
        <v>5859834.8685000008</v>
      </c>
      <c r="U292" s="74">
        <v>27207371.691499125</v>
      </c>
      <c r="V292" s="74">
        <v>8487783.4345760122</v>
      </c>
      <c r="W292" s="74">
        <v>4123564.4557000007</v>
      </c>
      <c r="X292" s="178">
        <f t="shared" si="127"/>
        <v>-1622051.6529995352</v>
      </c>
      <c r="Y292" s="179">
        <f t="shared" si="128"/>
        <v>-104.89889756189194</v>
      </c>
      <c r="Z292" s="74"/>
      <c r="AA292" s="84">
        <f t="shared" si="129"/>
        <v>-1642073.5104809105</v>
      </c>
      <c r="AB292" s="132">
        <f t="shared" si="130"/>
        <v>-106.19372117188841</v>
      </c>
      <c r="AD292" s="180">
        <v>1706487.95923441</v>
      </c>
      <c r="AE292" s="187">
        <v>1454506.7012233806</v>
      </c>
      <c r="AF292" s="187">
        <v>1205727.649139228</v>
      </c>
      <c r="AG292" s="187">
        <v>955377.98360584688</v>
      </c>
      <c r="AH292" s="188">
        <v>708338.01604445965</v>
      </c>
      <c r="AJ292" s="74">
        <f t="shared" si="131"/>
        <v>35010760.692022145</v>
      </c>
      <c r="AK292" s="74">
        <f t="shared" si="132"/>
        <v>1953278.2895000004</v>
      </c>
      <c r="AL292" s="74">
        <f t="shared" si="133"/>
        <v>23420274.14827418</v>
      </c>
      <c r="AM292" s="74">
        <f t="shared" si="134"/>
        <v>63434021.44709982</v>
      </c>
      <c r="AN292" s="74">
        <f t="shared" si="135"/>
        <v>1706487.95923441</v>
      </c>
      <c r="AO292" s="74">
        <f t="shared" si="136"/>
        <v>1454506.7012233806</v>
      </c>
      <c r="AP292" s="74">
        <f t="shared" si="137"/>
        <v>1205727.649139228</v>
      </c>
      <c r="AQ292" s="74">
        <f t="shared" si="138"/>
        <v>955377.98360584688</v>
      </c>
      <c r="AR292" s="74">
        <f t="shared" si="139"/>
        <v>708338.01604445965</v>
      </c>
      <c r="AS292" s="75">
        <v>7438</v>
      </c>
      <c r="AT292" s="75"/>
      <c r="AU292" s="75"/>
      <c r="AV292" s="75">
        <v>182</v>
      </c>
      <c r="AW292" s="75">
        <v>21940.971922425622</v>
      </c>
      <c r="AX292" s="75">
        <v>-568.73103512426599</v>
      </c>
      <c r="AY292" s="75">
        <v>5942.8240579203166</v>
      </c>
      <c r="AZ292" s="316"/>
      <c r="BA292" s="74"/>
      <c r="BB292" s="74"/>
      <c r="BC292" s="74"/>
      <c r="BD292" s="74"/>
      <c r="BE292" s="74"/>
      <c r="BF292" s="74"/>
      <c r="BG292" s="74"/>
      <c r="BM292" s="316"/>
      <c r="BN292" s="74">
        <v>43077194.752900183</v>
      </c>
      <c r="BO292" s="74">
        <v>59203445.930000007</v>
      </c>
      <c r="BP292" s="74">
        <v>64207000</v>
      </c>
      <c r="BQ292" s="74">
        <v>1140337.43</v>
      </c>
      <c r="BR292" s="74">
        <v>1170000</v>
      </c>
      <c r="BS292" s="406">
        <f t="shared" si="140"/>
        <v>0.59129201058440772</v>
      </c>
      <c r="BT292" s="406">
        <f t="shared" si="141"/>
        <v>0.33333333333333337</v>
      </c>
      <c r="BU292" s="74">
        <f t="shared" si="142"/>
        <v>30450288.73693737</v>
      </c>
      <c r="BV292" s="316"/>
      <c r="BW292" s="74">
        <v>106511216.2</v>
      </c>
      <c r="BX292" s="74">
        <v>43077194.752900183</v>
      </c>
      <c r="BY292" s="74">
        <v>70536401.420925319</v>
      </c>
      <c r="BZ292" s="74">
        <v>33572362.439403176</v>
      </c>
      <c r="CA292" s="74">
        <f t="shared" si="143"/>
        <v>1087190.5307428716</v>
      </c>
      <c r="CB292" s="74">
        <f t="shared" si="144"/>
        <v>-104.89889756189231</v>
      </c>
      <c r="CC292" s="74">
        <f t="shared" si="145"/>
        <v>-211.09261873378082</v>
      </c>
      <c r="CD292" s="74">
        <f t="shared" si="146"/>
        <v>-106.19372117188851</v>
      </c>
      <c r="CE292" s="74">
        <f t="shared" si="147"/>
        <v>94.063681124193522</v>
      </c>
      <c r="CF292" s="74">
        <f t="shared" si="148"/>
        <v>77.975014495198337</v>
      </c>
      <c r="CG292" s="74">
        <f t="shared" si="149"/>
        <v>61.784775503192826</v>
      </c>
      <c r="CH292" s="74">
        <f t="shared" si="150"/>
        <v>45.808576346406475</v>
      </c>
      <c r="CI292" s="74">
        <f t="shared" si="151"/>
        <v>1454506.7012234044</v>
      </c>
      <c r="CJ292" s="74">
        <f t="shared" si="152"/>
        <v>1205727.6491392518</v>
      </c>
      <c r="CK292" s="74">
        <f t="shared" si="153"/>
        <v>955377.98360587063</v>
      </c>
      <c r="CL292" s="74">
        <f t="shared" si="154"/>
        <v>708338.01604448329</v>
      </c>
      <c r="CM292" s="316"/>
      <c r="CN292" s="74">
        <v>59917.676296624151</v>
      </c>
      <c r="CO292" s="74">
        <v>6359.5107100000005</v>
      </c>
    </row>
    <row r="293" spans="1:93" x14ac:dyDescent="0.2">
      <c r="A293" s="74">
        <v>905</v>
      </c>
      <c r="B293" s="74" t="s">
        <v>408</v>
      </c>
      <c r="C293" s="74">
        <v>15</v>
      </c>
      <c r="D293" s="74">
        <v>67615</v>
      </c>
      <c r="E293" s="89">
        <v>197275443.92836481</v>
      </c>
      <c r="F293" s="74">
        <v>108979450.51484138</v>
      </c>
      <c r="G293" s="74">
        <v>26897410.751000002</v>
      </c>
      <c r="H293" s="74">
        <v>19917367.507599998</v>
      </c>
      <c r="I293" s="74">
        <v>24744048.598899622</v>
      </c>
      <c r="J293" s="74">
        <v>10202960.31406093</v>
      </c>
      <c r="K293" s="74">
        <v>-9982524.3593746722</v>
      </c>
      <c r="L293" s="74">
        <v>26585586</v>
      </c>
      <c r="M293" s="75">
        <v>10331000</v>
      </c>
      <c r="N293" s="75">
        <v>736847.71414718754</v>
      </c>
      <c r="O293" s="178">
        <f t="shared" si="125"/>
        <v>21136703.112809628</v>
      </c>
      <c r="P293" s="179">
        <f t="shared" si="126"/>
        <v>312.60375823130414</v>
      </c>
      <c r="Q293" s="74"/>
      <c r="R293" s="89">
        <v>454866900</v>
      </c>
      <c r="S293" s="74">
        <v>265249543.94233301</v>
      </c>
      <c r="T293" s="74">
        <v>29876051.261399999</v>
      </c>
      <c r="U293" s="74">
        <v>78580626.972830459</v>
      </c>
      <c r="V293" s="74">
        <v>34028251.42581398</v>
      </c>
      <c r="W293" s="74">
        <v>63813996.751000002</v>
      </c>
      <c r="X293" s="178">
        <f t="shared" si="127"/>
        <v>16681570.353377461</v>
      </c>
      <c r="Y293" s="179">
        <f t="shared" si="128"/>
        <v>246.71404796831268</v>
      </c>
      <c r="Z293" s="74"/>
      <c r="AA293" s="84">
        <f t="shared" si="129"/>
        <v>4455132.7594321668</v>
      </c>
      <c r="AB293" s="132">
        <f t="shared" si="130"/>
        <v>65.889710262991443</v>
      </c>
      <c r="AD293" s="180">
        <v>-4173467.9497271059</v>
      </c>
      <c r="AE293" s="187">
        <v>-3246855.4172570645</v>
      </c>
      <c r="AF293" s="187">
        <v>-2306240.6113765733</v>
      </c>
      <c r="AG293" s="187">
        <v>-1372493.6208210262</v>
      </c>
      <c r="AH293" s="188">
        <v>-424274.32680713519</v>
      </c>
      <c r="AJ293" s="74">
        <f t="shared" si="131"/>
        <v>156270093.42749164</v>
      </c>
      <c r="AK293" s="74">
        <f t="shared" si="132"/>
        <v>9958683.753800001</v>
      </c>
      <c r="AL293" s="74">
        <f t="shared" si="133"/>
        <v>53836578.373930842</v>
      </c>
      <c r="AM293" s="74">
        <f t="shared" si="134"/>
        <v>257591456.07163519</v>
      </c>
      <c r="AN293" s="74">
        <f t="shared" si="135"/>
        <v>-4173467.9497271059</v>
      </c>
      <c r="AO293" s="74">
        <f t="shared" si="136"/>
        <v>-3246855.4172570645</v>
      </c>
      <c r="AP293" s="74">
        <f t="shared" si="137"/>
        <v>-2306240.6113765733</v>
      </c>
      <c r="AQ293" s="74">
        <f t="shared" si="138"/>
        <v>-1372493.6208210262</v>
      </c>
      <c r="AR293" s="74">
        <f t="shared" si="139"/>
        <v>-424274.32680713519</v>
      </c>
      <c r="AS293" s="75">
        <v>64043</v>
      </c>
      <c r="AT293" s="75"/>
      <c r="AU293" s="75"/>
      <c r="AV293" s="75">
        <v>1981</v>
      </c>
      <c r="AW293" s="75">
        <v>53302.526273790834</v>
      </c>
      <c r="AX293" s="75">
        <v>1636.4965683385644</v>
      </c>
      <c r="AY293" s="75">
        <v>23825.291111753049</v>
      </c>
      <c r="AZ293" s="316"/>
      <c r="BA293" s="74"/>
      <c r="BB293" s="74"/>
      <c r="BC293" s="74"/>
      <c r="BD293" s="74"/>
      <c r="BE293" s="74"/>
      <c r="BF293" s="74"/>
      <c r="BG293" s="74"/>
      <c r="BM293" s="316"/>
      <c r="BN293" s="74">
        <v>197275443.92836481</v>
      </c>
      <c r="BO293" s="74">
        <v>251311849.6500001</v>
      </c>
      <c r="BP293" s="74">
        <v>257478000</v>
      </c>
      <c r="BQ293" s="74">
        <v>6840855</v>
      </c>
      <c r="BR293" s="74">
        <v>4862000</v>
      </c>
      <c r="BS293" s="406">
        <f t="shared" si="140"/>
        <v>0.58914368373604353</v>
      </c>
      <c r="BT293" s="406">
        <f t="shared" si="141"/>
        <v>0.33333333333333337</v>
      </c>
      <c r="BU293" s="74">
        <f t="shared" si="142"/>
        <v>67679345.126309216</v>
      </c>
      <c r="BV293" s="316"/>
      <c r="BW293" s="74">
        <v>454866900</v>
      </c>
      <c r="BX293" s="74">
        <v>197275443.92836481</v>
      </c>
      <c r="BY293" s="74">
        <v>322023005.95473301</v>
      </c>
      <c r="BZ293" s="74">
        <v>155794228.77344137</v>
      </c>
      <c r="CA293" s="74">
        <f t="shared" si="143"/>
        <v>-9982524.3593747001</v>
      </c>
      <c r="CB293" s="74">
        <f t="shared" si="144"/>
        <v>246.7140479683128</v>
      </c>
      <c r="CC293" s="74">
        <f t="shared" si="145"/>
        <v>312.60375823130369</v>
      </c>
      <c r="CD293" s="74">
        <f t="shared" si="146"/>
        <v>65.889710262990889</v>
      </c>
      <c r="CE293" s="74">
        <f t="shared" si="147"/>
        <v>-48.019750310685886</v>
      </c>
      <c r="CF293" s="74">
        <f t="shared" si="148"/>
        <v>-34.108416939681064</v>
      </c>
      <c r="CG293" s="74">
        <f t="shared" si="149"/>
        <v>-20.298655931686575</v>
      </c>
      <c r="CH293" s="74">
        <f t="shared" si="150"/>
        <v>-6.2748550884729237</v>
      </c>
      <c r="CI293" s="74">
        <f t="shared" si="151"/>
        <v>-3246855.4172570263</v>
      </c>
      <c r="CJ293" s="74">
        <f t="shared" si="152"/>
        <v>-2306240.6113765351</v>
      </c>
      <c r="CK293" s="74">
        <f t="shared" si="153"/>
        <v>-1372493.6208209877</v>
      </c>
      <c r="CL293" s="74">
        <f t="shared" si="154"/>
        <v>-424274.32680709672</v>
      </c>
      <c r="CM293" s="316"/>
      <c r="CN293" s="74">
        <v>273119.61398334004</v>
      </c>
      <c r="CO293" s="74">
        <v>32423.621523999998</v>
      </c>
    </row>
    <row r="294" spans="1:93" x14ac:dyDescent="0.2">
      <c r="A294" s="74">
        <v>908</v>
      </c>
      <c r="B294" s="74" t="s">
        <v>409</v>
      </c>
      <c r="C294" s="74">
        <v>6</v>
      </c>
      <c r="D294" s="74">
        <v>20695</v>
      </c>
      <c r="E294" s="89">
        <v>52047589.75822188</v>
      </c>
      <c r="F294" s="74">
        <v>30634175.60199571</v>
      </c>
      <c r="G294" s="74">
        <v>5981980.7499999991</v>
      </c>
      <c r="H294" s="74">
        <v>4067253.7796000005</v>
      </c>
      <c r="I294" s="74">
        <v>8181597.7160029821</v>
      </c>
      <c r="J294" s="74">
        <v>2872616.7776780641</v>
      </c>
      <c r="K294" s="74">
        <v>-196172.36368123142</v>
      </c>
      <c r="L294" s="74">
        <v>883573</v>
      </c>
      <c r="M294" s="75">
        <v>2102511</v>
      </c>
      <c r="N294" s="75">
        <v>223910.53737224621</v>
      </c>
      <c r="O294" s="178">
        <f t="shared" si="125"/>
        <v>2703857.0407458916</v>
      </c>
      <c r="P294" s="179">
        <f t="shared" si="126"/>
        <v>130.65267169586332</v>
      </c>
      <c r="Q294" s="74"/>
      <c r="R294" s="89">
        <v>137074113</v>
      </c>
      <c r="S294" s="74">
        <v>79113530.038971603</v>
      </c>
      <c r="T294" s="74">
        <v>6100880.6694</v>
      </c>
      <c r="U294" s="74">
        <v>36190069.359767623</v>
      </c>
      <c r="V294" s="74">
        <v>9580565.1450127736</v>
      </c>
      <c r="W294" s="74">
        <v>8968064.75</v>
      </c>
      <c r="X294" s="178">
        <f t="shared" si="127"/>
        <v>2878996.9631519914</v>
      </c>
      <c r="Y294" s="179">
        <f t="shared" si="128"/>
        <v>139.11558169374203</v>
      </c>
      <c r="Z294" s="74"/>
      <c r="AA294" s="84">
        <f t="shared" si="129"/>
        <v>-175139.92240609974</v>
      </c>
      <c r="AB294" s="132">
        <f t="shared" si="130"/>
        <v>-8.4629099978787021</v>
      </c>
      <c r="AD294" s="180">
        <v>261349.39126429305</v>
      </c>
      <c r="AE294" s="187">
        <v>59393.821212952076</v>
      </c>
      <c r="AF294" s="187">
        <v>36863.865325896855</v>
      </c>
      <c r="AG294" s="187">
        <v>12231.869386342734</v>
      </c>
      <c r="AH294" s="188">
        <v>-7970.5721633507237</v>
      </c>
      <c r="AJ294" s="74">
        <f t="shared" si="131"/>
        <v>48479354.436975896</v>
      </c>
      <c r="AK294" s="74">
        <f t="shared" si="132"/>
        <v>2033626.8897999995</v>
      </c>
      <c r="AL294" s="74">
        <f t="shared" si="133"/>
        <v>28008471.643764641</v>
      </c>
      <c r="AM294" s="74">
        <f t="shared" si="134"/>
        <v>85026523.24177812</v>
      </c>
      <c r="AN294" s="74">
        <f t="shared" si="135"/>
        <v>261349.39126429305</v>
      </c>
      <c r="AO294" s="74">
        <f t="shared" si="136"/>
        <v>59393.821212952076</v>
      </c>
      <c r="AP294" s="74">
        <f t="shared" si="137"/>
        <v>36863.865325896855</v>
      </c>
      <c r="AQ294" s="74">
        <f t="shared" si="138"/>
        <v>12231.869386342734</v>
      </c>
      <c r="AR294" s="74">
        <f t="shared" si="139"/>
        <v>-7970.5721633507237</v>
      </c>
      <c r="AS294" s="75">
        <v>9178</v>
      </c>
      <c r="AT294" s="75"/>
      <c r="AU294" s="75"/>
      <c r="AV294" s="75">
        <v>60</v>
      </c>
      <c r="AW294" s="75">
        <v>27408.918910951921</v>
      </c>
      <c r="AX294" s="75">
        <v>-302.60977381248796</v>
      </c>
      <c r="AY294" s="75">
        <v>6707.9483673347095</v>
      </c>
      <c r="AZ294" s="316"/>
      <c r="BA294" s="74"/>
      <c r="BB294" s="74"/>
      <c r="BC294" s="74"/>
      <c r="BD294" s="74"/>
      <c r="BE294" s="74"/>
      <c r="BF294" s="74"/>
      <c r="BG294" s="74"/>
      <c r="BM294" s="316"/>
      <c r="BN294" s="74">
        <v>52047589.75822188</v>
      </c>
      <c r="BO294" s="74">
        <v>80792897.64000003</v>
      </c>
      <c r="BP294" s="74">
        <v>88907000</v>
      </c>
      <c r="BQ294" s="74">
        <v>1631400.25</v>
      </c>
      <c r="BR294" s="74">
        <v>1554000</v>
      </c>
      <c r="BS294" s="406">
        <f t="shared" si="140"/>
        <v>0.61278209192656163</v>
      </c>
      <c r="BT294" s="406">
        <f t="shared" si="141"/>
        <v>0.33333333333333326</v>
      </c>
      <c r="BU294" s="74">
        <f t="shared" si="142"/>
        <v>34520247.647418119</v>
      </c>
      <c r="BV294" s="316"/>
      <c r="BW294" s="74">
        <v>137074113</v>
      </c>
      <c r="BX294" s="74">
        <v>52047589.75822188</v>
      </c>
      <c r="BY294" s="74">
        <v>91196391.458371609</v>
      </c>
      <c r="BZ294" s="74">
        <v>40683410.131595708</v>
      </c>
      <c r="CA294" s="74">
        <f t="shared" si="143"/>
        <v>-196172.36368124196</v>
      </c>
      <c r="CB294" s="74">
        <f t="shared" si="144"/>
        <v>139.1155816937424</v>
      </c>
      <c r="CC294" s="74">
        <f t="shared" si="145"/>
        <v>130.65267169586284</v>
      </c>
      <c r="CD294" s="74">
        <f t="shared" si="146"/>
        <v>-8.4629099978795637</v>
      </c>
      <c r="CE294" s="74">
        <f t="shared" si="147"/>
        <v>2.8699599523050048</v>
      </c>
      <c r="CF294" s="74">
        <f t="shared" si="148"/>
        <v>1.7812933233098263</v>
      </c>
      <c r="CG294" s="74">
        <f t="shared" si="149"/>
        <v>0.59105433130431184</v>
      </c>
      <c r="CH294" s="74">
        <f t="shared" si="150"/>
        <v>-0.38514482548203544</v>
      </c>
      <c r="CI294" s="74">
        <f t="shared" si="151"/>
        <v>59393.821212952076</v>
      </c>
      <c r="CJ294" s="74">
        <f t="shared" si="152"/>
        <v>36863.865325896855</v>
      </c>
      <c r="CK294" s="74">
        <f t="shared" si="153"/>
        <v>12231.869386342734</v>
      </c>
      <c r="CL294" s="74">
        <f t="shared" si="154"/>
        <v>-7970.5721633507237</v>
      </c>
      <c r="CM294" s="316"/>
      <c r="CN294" s="74">
        <v>79726.930112696296</v>
      </c>
      <c r="CO294" s="74">
        <v>6621.1108040000008</v>
      </c>
    </row>
    <row r="295" spans="1:93" x14ac:dyDescent="0.2">
      <c r="A295" s="74">
        <v>915</v>
      </c>
      <c r="B295" s="74" t="s">
        <v>412</v>
      </c>
      <c r="C295" s="74">
        <v>11</v>
      </c>
      <c r="D295" s="74">
        <v>19973</v>
      </c>
      <c r="E295" s="89">
        <v>50707864.480620921</v>
      </c>
      <c r="F295" s="74">
        <v>30634451.297603678</v>
      </c>
      <c r="G295" s="74">
        <v>6615495.807</v>
      </c>
      <c r="H295" s="74">
        <v>3413946.1021999996</v>
      </c>
      <c r="I295" s="74">
        <v>3792008.9129902511</v>
      </c>
      <c r="J295" s="74">
        <v>3288781.5967686083</v>
      </c>
      <c r="K295" s="74">
        <v>773633.93252304895</v>
      </c>
      <c r="L295" s="74">
        <v>-2392541</v>
      </c>
      <c r="M295" s="75">
        <v>2000000</v>
      </c>
      <c r="N295" s="75">
        <v>201965.90171755292</v>
      </c>
      <c r="O295" s="178">
        <f t="shared" si="125"/>
        <v>-2380121.9298177809</v>
      </c>
      <c r="P295" s="179">
        <f t="shared" si="126"/>
        <v>-119.16697190295804</v>
      </c>
      <c r="Q295" s="74"/>
      <c r="R295" s="89">
        <v>148891704</v>
      </c>
      <c r="S295" s="74">
        <v>74489870.895956248</v>
      </c>
      <c r="T295" s="74">
        <v>5120919.1532999994</v>
      </c>
      <c r="U295" s="74">
        <v>50659517.332217485</v>
      </c>
      <c r="V295" s="74">
        <v>10968531.055168804</v>
      </c>
      <c r="W295" s="74">
        <v>6222954.807</v>
      </c>
      <c r="X295" s="178">
        <f t="shared" si="127"/>
        <v>-1429910.7563574612</v>
      </c>
      <c r="Y295" s="179">
        <f t="shared" si="128"/>
        <v>-71.592187270688484</v>
      </c>
      <c r="Z295" s="74"/>
      <c r="AA295" s="84">
        <f t="shared" si="129"/>
        <v>-950211.17346031964</v>
      </c>
      <c r="AB295" s="132">
        <f t="shared" si="130"/>
        <v>-47.574784632269548</v>
      </c>
      <c r="AD295" s="180">
        <v>1033412.9961954998</v>
      </c>
      <c r="AE295" s="187">
        <v>707937.88358770765</v>
      </c>
      <c r="AF295" s="187">
        <v>386598.94500678696</v>
      </c>
      <c r="AG295" s="187">
        <v>63231.301619460843</v>
      </c>
      <c r="AH295" s="188">
        <v>-7692.4975993526941</v>
      </c>
      <c r="AJ295" s="74">
        <f t="shared" si="131"/>
        <v>43855419.598352566</v>
      </c>
      <c r="AK295" s="74">
        <f t="shared" si="132"/>
        <v>1706973.0510999998</v>
      </c>
      <c r="AL295" s="74">
        <f t="shared" si="133"/>
        <v>46867508.419227235</v>
      </c>
      <c r="AM295" s="74">
        <f t="shared" si="134"/>
        <v>98183839.519379079</v>
      </c>
      <c r="AN295" s="74">
        <f t="shared" si="135"/>
        <v>1033412.9961954998</v>
      </c>
      <c r="AO295" s="74">
        <f t="shared" si="136"/>
        <v>707937.88358770765</v>
      </c>
      <c r="AP295" s="74">
        <f t="shared" si="137"/>
        <v>386598.94500678696</v>
      </c>
      <c r="AQ295" s="74">
        <f t="shared" si="138"/>
        <v>63231.301619460843</v>
      </c>
      <c r="AR295" s="74">
        <f t="shared" si="139"/>
        <v>-7692.4975993526941</v>
      </c>
      <c r="AS295" s="75">
        <v>10427</v>
      </c>
      <c r="AT295" s="75"/>
      <c r="AU295" s="75"/>
      <c r="AV295" s="75">
        <v>107</v>
      </c>
      <c r="AW295" s="75">
        <v>43649.570278991989</v>
      </c>
      <c r="AX295" s="75">
        <v>-2792.148220814664</v>
      </c>
      <c r="AY295" s="75">
        <v>7679.7494584001952</v>
      </c>
      <c r="AZ295" s="316"/>
      <c r="BA295" s="74"/>
      <c r="BB295" s="74"/>
      <c r="BC295" s="74"/>
      <c r="BD295" s="74"/>
      <c r="BE295" s="74"/>
      <c r="BF295" s="74"/>
      <c r="BG295" s="74"/>
      <c r="BM295" s="316"/>
      <c r="BN295" s="74">
        <v>50707864.480620921</v>
      </c>
      <c r="BO295" s="74">
        <v>90147666.799999967</v>
      </c>
      <c r="BP295" s="74">
        <v>99476000</v>
      </c>
      <c r="BQ295" s="74">
        <v>2780196.29</v>
      </c>
      <c r="BR295" s="74">
        <v>2809000</v>
      </c>
      <c r="BS295" s="406">
        <f t="shared" si="140"/>
        <v>0.58874339652981333</v>
      </c>
      <c r="BT295" s="406">
        <f t="shared" si="141"/>
        <v>0.33333333333333337</v>
      </c>
      <c r="BU295" s="74">
        <f t="shared" si="142"/>
        <v>55320891.810150482</v>
      </c>
      <c r="BV295" s="316"/>
      <c r="BW295" s="74">
        <v>148891704</v>
      </c>
      <c r="BX295" s="74">
        <v>50707864.480620921</v>
      </c>
      <c r="BY295" s="74">
        <v>86226285.856256247</v>
      </c>
      <c r="BZ295" s="74">
        <v>40663893.206803679</v>
      </c>
      <c r="CA295" s="74">
        <f t="shared" si="143"/>
        <v>773633.93252303905</v>
      </c>
      <c r="CB295" s="74">
        <f t="shared" si="144"/>
        <v>-71.592187270688484</v>
      </c>
      <c r="CC295" s="74">
        <f t="shared" si="145"/>
        <v>-119.16697190295855</v>
      </c>
      <c r="CD295" s="74">
        <f t="shared" si="146"/>
        <v>-47.574784632270067</v>
      </c>
      <c r="CE295" s="74">
        <f t="shared" si="147"/>
        <v>35.444744584575069</v>
      </c>
      <c r="CF295" s="74">
        <f t="shared" si="148"/>
        <v>19.356077955579892</v>
      </c>
      <c r="CG295" s="74">
        <f t="shared" si="149"/>
        <v>3.1658389635743784</v>
      </c>
      <c r="CH295" s="74">
        <f t="shared" si="150"/>
        <v>-0.38514482548203544</v>
      </c>
      <c r="CI295" s="74">
        <f t="shared" si="151"/>
        <v>707937.88358771789</v>
      </c>
      <c r="CJ295" s="74">
        <f t="shared" si="152"/>
        <v>386598.94500679715</v>
      </c>
      <c r="CK295" s="74">
        <f t="shared" si="153"/>
        <v>63231.301619471058</v>
      </c>
      <c r="CL295" s="74">
        <f t="shared" si="154"/>
        <v>-7692.4975993526941</v>
      </c>
      <c r="CM295" s="316"/>
      <c r="CN295" s="74">
        <v>74411.121725622128</v>
      </c>
      <c r="CO295" s="74">
        <v>5557.5866779999997</v>
      </c>
    </row>
    <row r="296" spans="1:93" x14ac:dyDescent="0.2">
      <c r="A296" s="74">
        <v>918</v>
      </c>
      <c r="B296" s="74" t="s">
        <v>413</v>
      </c>
      <c r="C296" s="74">
        <v>2</v>
      </c>
      <c r="D296" s="74">
        <v>2271</v>
      </c>
      <c r="E296" s="89">
        <v>5573984.0734606907</v>
      </c>
      <c r="F296" s="74">
        <v>3509616.6644273247</v>
      </c>
      <c r="G296" s="74">
        <v>949601.76399999997</v>
      </c>
      <c r="H296" s="74">
        <v>463325.76540000003</v>
      </c>
      <c r="I296" s="74">
        <v>921209.52431897994</v>
      </c>
      <c r="J296" s="74">
        <v>509875.88004514156</v>
      </c>
      <c r="K296" s="74">
        <v>-60287.279328028912</v>
      </c>
      <c r="L296" s="74">
        <v>-498641</v>
      </c>
      <c r="M296" s="75">
        <v>-96436</v>
      </c>
      <c r="N296" s="75">
        <v>19378.147413076451</v>
      </c>
      <c r="O296" s="178">
        <f t="shared" si="125"/>
        <v>143659.39281580318</v>
      </c>
      <c r="P296" s="179">
        <f t="shared" si="126"/>
        <v>63.25820907785257</v>
      </c>
      <c r="Q296" s="74"/>
      <c r="R296" s="89">
        <v>15564909</v>
      </c>
      <c r="S296" s="74">
        <v>7649556.8778197998</v>
      </c>
      <c r="T296" s="74">
        <v>694988.64809999999</v>
      </c>
      <c r="U296" s="74">
        <v>5279439.819993658</v>
      </c>
      <c r="V296" s="74">
        <v>1700504.962096497</v>
      </c>
      <c r="W296" s="74">
        <v>354524.76399999997</v>
      </c>
      <c r="X296" s="178">
        <f t="shared" si="127"/>
        <v>114106.0720099546</v>
      </c>
      <c r="Y296" s="179">
        <f t="shared" si="128"/>
        <v>50.244857776290004</v>
      </c>
      <c r="Z296" s="74"/>
      <c r="AA296" s="84">
        <f t="shared" si="129"/>
        <v>29553.320805848576</v>
      </c>
      <c r="AB296" s="132">
        <f t="shared" si="130"/>
        <v>13.013351301562562</v>
      </c>
      <c r="AD296" s="180">
        <v>-20092.982377388606</v>
      </c>
      <c r="AE296" s="187">
        <v>6517.6790516846659</v>
      </c>
      <c r="AF296" s="187">
        <v>4045.3171372366155</v>
      </c>
      <c r="AG296" s="187">
        <v>1342.2843863920923</v>
      </c>
      <c r="AH296" s="188">
        <v>-874.66389866970246</v>
      </c>
      <c r="AJ296" s="74">
        <f t="shared" si="131"/>
        <v>4139940.2133924752</v>
      </c>
      <c r="AK296" s="74">
        <f t="shared" si="132"/>
        <v>231662.88269999996</v>
      </c>
      <c r="AL296" s="74">
        <f t="shared" si="133"/>
        <v>4358230.2956746779</v>
      </c>
      <c r="AM296" s="74">
        <f t="shared" si="134"/>
        <v>9990924.9265393093</v>
      </c>
      <c r="AN296" s="74">
        <f t="shared" si="135"/>
        <v>-20092.982377388606</v>
      </c>
      <c r="AO296" s="74">
        <f t="shared" si="136"/>
        <v>6517.6790516846659</v>
      </c>
      <c r="AP296" s="74">
        <f t="shared" si="137"/>
        <v>4045.3171372366155</v>
      </c>
      <c r="AQ296" s="74">
        <f t="shared" si="138"/>
        <v>1342.2843863920923</v>
      </c>
      <c r="AR296" s="74">
        <f t="shared" si="139"/>
        <v>-874.66389866970246</v>
      </c>
      <c r="AS296" s="75">
        <v>718</v>
      </c>
      <c r="AT296" s="75"/>
      <c r="AU296" s="75"/>
      <c r="AV296" s="75">
        <v>13</v>
      </c>
      <c r="AW296" s="75">
        <v>3645.8511794867077</v>
      </c>
      <c r="AX296" s="75">
        <v>-702.72619226703148</v>
      </c>
      <c r="AY296" s="75">
        <v>1190.6290820513555</v>
      </c>
      <c r="AZ296" s="316"/>
      <c r="BA296" s="74"/>
      <c r="BB296" s="74"/>
      <c r="BC296" s="74"/>
      <c r="BD296" s="74"/>
      <c r="BE296" s="74"/>
      <c r="BF296" s="74"/>
      <c r="BG296" s="74"/>
      <c r="BM296" s="316"/>
      <c r="BN296" s="74">
        <v>5573984.0734606907</v>
      </c>
      <c r="BO296" s="74">
        <v>9252658.540000001</v>
      </c>
      <c r="BP296" s="74">
        <v>9697000</v>
      </c>
      <c r="BQ296" s="74">
        <v>161127.15000000002</v>
      </c>
      <c r="BR296" s="74">
        <v>165000</v>
      </c>
      <c r="BS296" s="406">
        <f t="shared" si="140"/>
        <v>0.54120000406773883</v>
      </c>
      <c r="BT296" s="406">
        <f t="shared" si="141"/>
        <v>0.33333333333333326</v>
      </c>
      <c r="BU296" s="74">
        <f t="shared" si="142"/>
        <v>5488572.0983980047</v>
      </c>
      <c r="BV296" s="316"/>
      <c r="BW296" s="74">
        <v>15564909</v>
      </c>
      <c r="BX296" s="74">
        <v>5573984.0734606907</v>
      </c>
      <c r="BY296" s="74">
        <v>9294147.2899197992</v>
      </c>
      <c r="BZ296" s="74">
        <v>4922544.1938273245</v>
      </c>
      <c r="CA296" s="74">
        <f t="shared" si="143"/>
        <v>-60287.279328029523</v>
      </c>
      <c r="CB296" s="74">
        <f t="shared" si="144"/>
        <v>50.244857776290004</v>
      </c>
      <c r="CC296" s="74">
        <f t="shared" si="145"/>
        <v>63.258209077852236</v>
      </c>
      <c r="CD296" s="74">
        <f t="shared" si="146"/>
        <v>13.013351301562231</v>
      </c>
      <c r="CE296" s="74">
        <f t="shared" si="147"/>
        <v>2.8699599523050048</v>
      </c>
      <c r="CF296" s="74">
        <f t="shared" si="148"/>
        <v>1.7812933233098263</v>
      </c>
      <c r="CG296" s="74">
        <f t="shared" si="149"/>
        <v>0.59105433130431184</v>
      </c>
      <c r="CH296" s="74">
        <f t="shared" si="150"/>
        <v>-0.38514482548203544</v>
      </c>
      <c r="CI296" s="74">
        <f t="shared" si="151"/>
        <v>6517.6790516846659</v>
      </c>
      <c r="CJ296" s="74">
        <f t="shared" si="152"/>
        <v>4045.3171372366155</v>
      </c>
      <c r="CK296" s="74">
        <f t="shared" si="153"/>
        <v>1342.2843863920923</v>
      </c>
      <c r="CL296" s="74">
        <f t="shared" si="154"/>
        <v>-874.66389866970246</v>
      </c>
      <c r="CM296" s="316"/>
      <c r="CN296" s="74">
        <v>7769.0666323487003</v>
      </c>
      <c r="CO296" s="74">
        <v>754.25124600000004</v>
      </c>
    </row>
    <row r="297" spans="1:93" x14ac:dyDescent="0.2">
      <c r="A297" s="74">
        <v>921</v>
      </c>
      <c r="B297" s="74" t="s">
        <v>414</v>
      </c>
      <c r="C297" s="74">
        <v>11</v>
      </c>
      <c r="D297" s="74">
        <v>1941</v>
      </c>
      <c r="E297" s="89">
        <v>6018332.0564791542</v>
      </c>
      <c r="F297" s="74">
        <v>2429974.6189982747</v>
      </c>
      <c r="G297" s="74">
        <v>799484.54950000008</v>
      </c>
      <c r="H297" s="74">
        <v>471334.32620000001</v>
      </c>
      <c r="I297" s="74">
        <v>1129994.0387829703</v>
      </c>
      <c r="J297" s="74">
        <v>481399.45580642624</v>
      </c>
      <c r="K297" s="74">
        <v>750034.47577336105</v>
      </c>
      <c r="L297" s="74">
        <v>291320</v>
      </c>
      <c r="M297" s="75">
        <v>140050</v>
      </c>
      <c r="N297" s="75">
        <v>14506.868706462226</v>
      </c>
      <c r="O297" s="178">
        <f t="shared" si="125"/>
        <v>489766.27728834003</v>
      </c>
      <c r="P297" s="179">
        <f t="shared" si="126"/>
        <v>252.32677861326121</v>
      </c>
      <c r="Q297" s="74"/>
      <c r="R297" s="89">
        <v>17932080</v>
      </c>
      <c r="S297" s="74">
        <v>5466976.9634582391</v>
      </c>
      <c r="T297" s="74">
        <v>707001.48930000002</v>
      </c>
      <c r="U297" s="74">
        <v>9518236.4415020589</v>
      </c>
      <c r="V297" s="74">
        <v>1605532.2390949435</v>
      </c>
      <c r="W297" s="74">
        <v>1230854.5495000002</v>
      </c>
      <c r="X297" s="178">
        <f t="shared" si="127"/>
        <v>596521.682855241</v>
      </c>
      <c r="Y297" s="179">
        <f t="shared" si="128"/>
        <v>307.32698756065997</v>
      </c>
      <c r="Z297" s="74"/>
      <c r="AA297" s="84">
        <f t="shared" si="129"/>
        <v>-106755.40556690097</v>
      </c>
      <c r="AB297" s="132">
        <f t="shared" si="130"/>
        <v>-55.000208947398747</v>
      </c>
      <c r="AD297" s="180">
        <v>114841.05809426309</v>
      </c>
      <c r="AE297" s="187">
        <v>83210.997834325943</v>
      </c>
      <c r="AF297" s="187">
        <v>51982.895907446306</v>
      </c>
      <c r="AG297" s="187">
        <v>20557.642023963603</v>
      </c>
      <c r="AH297" s="188">
        <v>-747.56610626063082</v>
      </c>
      <c r="AJ297" s="74">
        <f t="shared" si="131"/>
        <v>3037002.3444599644</v>
      </c>
      <c r="AK297" s="74">
        <f t="shared" si="132"/>
        <v>235667.16310000001</v>
      </c>
      <c r="AL297" s="74">
        <f t="shared" si="133"/>
        <v>8388242.4027190888</v>
      </c>
      <c r="AM297" s="74">
        <f t="shared" si="134"/>
        <v>11913747.943520846</v>
      </c>
      <c r="AN297" s="74">
        <f t="shared" si="135"/>
        <v>114841.05809426309</v>
      </c>
      <c r="AO297" s="74">
        <f t="shared" si="136"/>
        <v>83210.997834325943</v>
      </c>
      <c r="AP297" s="74">
        <f t="shared" si="137"/>
        <v>51982.895907446306</v>
      </c>
      <c r="AQ297" s="74">
        <f t="shared" si="138"/>
        <v>20557.642023963603</v>
      </c>
      <c r="AR297" s="74">
        <f t="shared" si="139"/>
        <v>-747.56610626063082</v>
      </c>
      <c r="AS297" s="75">
        <v>725</v>
      </c>
      <c r="AT297" s="75"/>
      <c r="AU297" s="75"/>
      <c r="AV297" s="75">
        <v>197</v>
      </c>
      <c r="AW297" s="75">
        <v>7637.3049902867706</v>
      </c>
      <c r="AX297" s="75">
        <v>-1145.0470948251893</v>
      </c>
      <c r="AY297" s="75">
        <v>1124.1327832885172</v>
      </c>
      <c r="AZ297" s="316"/>
      <c r="BA297" s="74"/>
      <c r="BB297" s="74"/>
      <c r="BC297" s="74"/>
      <c r="BD297" s="74"/>
      <c r="BE297" s="74"/>
      <c r="BF297" s="74"/>
      <c r="BG297" s="74"/>
      <c r="BM297" s="316"/>
      <c r="BN297" s="74">
        <v>6018332.0564791542</v>
      </c>
      <c r="BO297" s="74">
        <v>10810945.599999998</v>
      </c>
      <c r="BP297" s="74">
        <v>12080000</v>
      </c>
      <c r="BQ297" s="74">
        <v>253217.44</v>
      </c>
      <c r="BR297" s="74">
        <v>257000</v>
      </c>
      <c r="BS297" s="406">
        <f t="shared" si="140"/>
        <v>0.5555176772756788</v>
      </c>
      <c r="BT297" s="406">
        <f t="shared" si="141"/>
        <v>0.33333333333333337</v>
      </c>
      <c r="BU297" s="74">
        <f t="shared" si="142"/>
        <v>10262409.661780966</v>
      </c>
      <c r="BV297" s="316"/>
      <c r="BW297" s="74">
        <v>17932080</v>
      </c>
      <c r="BX297" s="74">
        <v>6018332.0564791542</v>
      </c>
      <c r="BY297" s="74">
        <v>6973463.0022582393</v>
      </c>
      <c r="BZ297" s="74">
        <v>3700793.4946982749</v>
      </c>
      <c r="CA297" s="74">
        <f t="shared" si="143"/>
        <v>750034.47577336</v>
      </c>
      <c r="CB297" s="74">
        <f t="shared" si="144"/>
        <v>307.32698756066054</v>
      </c>
      <c r="CC297" s="74">
        <f t="shared" si="145"/>
        <v>252.32677861326093</v>
      </c>
      <c r="CD297" s="74">
        <f t="shared" si="146"/>
        <v>-55.000208947399614</v>
      </c>
      <c r="CE297" s="74">
        <f t="shared" si="147"/>
        <v>42.870168899704616</v>
      </c>
      <c r="CF297" s="74">
        <f t="shared" si="148"/>
        <v>26.781502270709439</v>
      </c>
      <c r="CG297" s="74">
        <f t="shared" si="149"/>
        <v>10.591263278703925</v>
      </c>
      <c r="CH297" s="74">
        <f t="shared" si="150"/>
        <v>-0.38514482548203544</v>
      </c>
      <c r="CI297" s="74">
        <f t="shared" si="151"/>
        <v>83210.997834326656</v>
      </c>
      <c r="CJ297" s="74">
        <f t="shared" si="152"/>
        <v>51982.895907447019</v>
      </c>
      <c r="CK297" s="74">
        <f t="shared" si="153"/>
        <v>20557.642023964319</v>
      </c>
      <c r="CL297" s="74">
        <f t="shared" si="154"/>
        <v>-747.56610626063082</v>
      </c>
      <c r="CM297" s="316"/>
      <c r="CN297" s="74">
        <v>5304.2541252767733</v>
      </c>
      <c r="CO297" s="74">
        <v>767.28843800000004</v>
      </c>
    </row>
    <row r="298" spans="1:93" x14ac:dyDescent="0.2">
      <c r="A298" s="74">
        <v>922</v>
      </c>
      <c r="B298" s="74" t="s">
        <v>415</v>
      </c>
      <c r="C298" s="74">
        <v>6</v>
      </c>
      <c r="D298" s="74">
        <v>4444</v>
      </c>
      <c r="E298" s="89">
        <v>13471180.303802265</v>
      </c>
      <c r="F298" s="74">
        <v>7572065.6925789854</v>
      </c>
      <c r="G298" s="74">
        <v>1357549.2295000001</v>
      </c>
      <c r="H298" s="74">
        <v>478926.05359999998</v>
      </c>
      <c r="I298" s="74">
        <v>3890735.7296556365</v>
      </c>
      <c r="J298" s="74">
        <v>731784.71560404473</v>
      </c>
      <c r="K298" s="74">
        <v>-317848.16307317681</v>
      </c>
      <c r="L298" s="74">
        <v>-1009067</v>
      </c>
      <c r="M298" s="75">
        <v>-102216</v>
      </c>
      <c r="N298" s="75">
        <v>43813.253954310545</v>
      </c>
      <c r="O298" s="178">
        <f t="shared" si="125"/>
        <v>-825436.79198246449</v>
      </c>
      <c r="P298" s="179">
        <f t="shared" si="126"/>
        <v>-185.74185238129263</v>
      </c>
      <c r="Q298" s="74"/>
      <c r="R298" s="89">
        <v>28321535</v>
      </c>
      <c r="S298" s="74">
        <v>17216630.924708519</v>
      </c>
      <c r="T298" s="74">
        <v>718389.08039999998</v>
      </c>
      <c r="U298" s="74">
        <v>6519476.5543413125</v>
      </c>
      <c r="V298" s="74">
        <v>2440600.9163659192</v>
      </c>
      <c r="W298" s="74">
        <v>246266.22950000013</v>
      </c>
      <c r="X298" s="178">
        <f t="shared" si="127"/>
        <v>-1180171.2946842499</v>
      </c>
      <c r="Y298" s="179">
        <f t="shared" si="128"/>
        <v>-265.56509781373762</v>
      </c>
      <c r="Z298" s="74"/>
      <c r="AA298" s="84">
        <f t="shared" si="129"/>
        <v>354734.50270178542</v>
      </c>
      <c r="AB298" s="132">
        <f t="shared" si="130"/>
        <v>79.823245432444963</v>
      </c>
      <c r="AD298" s="180">
        <v>-336222.06590034661</v>
      </c>
      <c r="AE298" s="187">
        <v>-275320.40067374212</v>
      </c>
      <c r="AF298" s="187">
        <v>-213498.43517299669</v>
      </c>
      <c r="AG298" s="187">
        <v>-152127.85725346918</v>
      </c>
      <c r="AH298" s="188">
        <v>-89806.08630622772</v>
      </c>
      <c r="AJ298" s="74">
        <f t="shared" si="131"/>
        <v>9644565.2321295328</v>
      </c>
      <c r="AK298" s="74">
        <f t="shared" si="132"/>
        <v>239463.02679999999</v>
      </c>
      <c r="AL298" s="74">
        <f t="shared" si="133"/>
        <v>2628740.824685676</v>
      </c>
      <c r="AM298" s="74">
        <f t="shared" si="134"/>
        <v>14850354.696197735</v>
      </c>
      <c r="AN298" s="74">
        <f t="shared" si="135"/>
        <v>-336222.06590034661</v>
      </c>
      <c r="AO298" s="74">
        <f t="shared" si="136"/>
        <v>-275320.40067374212</v>
      </c>
      <c r="AP298" s="74">
        <f t="shared" si="137"/>
        <v>-213498.43517299669</v>
      </c>
      <c r="AQ298" s="74">
        <f t="shared" si="138"/>
        <v>-152127.85725346918</v>
      </c>
      <c r="AR298" s="74">
        <f t="shared" si="139"/>
        <v>-89806.08630622772</v>
      </c>
      <c r="AS298" s="75">
        <v>1481</v>
      </c>
      <c r="AT298" s="75"/>
      <c r="AU298" s="75"/>
      <c r="AV298" s="75">
        <v>0</v>
      </c>
      <c r="AW298" s="75">
        <v>2266.50785558898</v>
      </c>
      <c r="AX298" s="75">
        <v>-506.99672870316408</v>
      </c>
      <c r="AY298" s="75">
        <v>1708.8162007618744</v>
      </c>
      <c r="AZ298" s="316"/>
      <c r="BA298" s="74"/>
      <c r="BB298" s="74"/>
      <c r="BC298" s="74"/>
      <c r="BD298" s="74"/>
      <c r="BE298" s="74"/>
      <c r="BF298" s="74"/>
      <c r="BG298" s="74"/>
      <c r="BM298" s="316"/>
      <c r="BN298" s="74">
        <v>13471180.303802265</v>
      </c>
      <c r="BO298" s="74">
        <v>13698854.449999997</v>
      </c>
      <c r="BP298" s="74">
        <v>15043000</v>
      </c>
      <c r="BQ298" s="74">
        <v>327567.95</v>
      </c>
      <c r="BR298" s="74">
        <v>333000</v>
      </c>
      <c r="BS298" s="406">
        <f t="shared" si="140"/>
        <v>0.56018888215162321</v>
      </c>
      <c r="BT298" s="406">
        <f t="shared" si="141"/>
        <v>0.33333333333333337</v>
      </c>
      <c r="BU298" s="74">
        <f t="shared" si="142"/>
        <v>4019708.8623743742</v>
      </c>
      <c r="BV298" s="316"/>
      <c r="BW298" s="74">
        <v>28321535</v>
      </c>
      <c r="BX298" s="74">
        <v>13471180.303802265</v>
      </c>
      <c r="BY298" s="74">
        <v>19292569.23460852</v>
      </c>
      <c r="BZ298" s="74">
        <v>9408540.9756789859</v>
      </c>
      <c r="CA298" s="74">
        <f t="shared" si="143"/>
        <v>-317848.16307317826</v>
      </c>
      <c r="CB298" s="74">
        <f t="shared" si="144"/>
        <v>-265.56509781373757</v>
      </c>
      <c r="CC298" s="74">
        <f t="shared" si="145"/>
        <v>-185.74185238129286</v>
      </c>
      <c r="CD298" s="74">
        <f t="shared" si="146"/>
        <v>79.823245432444708</v>
      </c>
      <c r="CE298" s="74">
        <f t="shared" si="147"/>
        <v>-61.953285480139705</v>
      </c>
      <c r="CF298" s="74">
        <f t="shared" si="148"/>
        <v>-48.041952109134883</v>
      </c>
      <c r="CG298" s="74">
        <f t="shared" si="149"/>
        <v>-34.232191101140394</v>
      </c>
      <c r="CH298" s="74">
        <f t="shared" si="150"/>
        <v>-20.208390257926744</v>
      </c>
      <c r="CI298" s="74">
        <f t="shared" si="151"/>
        <v>-275320.40067374083</v>
      </c>
      <c r="CJ298" s="74">
        <f t="shared" si="152"/>
        <v>-213498.43517299541</v>
      </c>
      <c r="CK298" s="74">
        <f t="shared" si="153"/>
        <v>-152127.8572534679</v>
      </c>
      <c r="CL298" s="74">
        <f t="shared" si="154"/>
        <v>-89806.086306226454</v>
      </c>
      <c r="CM298" s="316"/>
      <c r="CN298" s="74">
        <v>18379.946397398777</v>
      </c>
      <c r="CO298" s="74">
        <v>779.647064</v>
      </c>
    </row>
    <row r="299" spans="1:93" x14ac:dyDescent="0.2">
      <c r="A299" s="74">
        <v>924</v>
      </c>
      <c r="B299" s="74" t="s">
        <v>416</v>
      </c>
      <c r="C299" s="74">
        <v>16</v>
      </c>
      <c r="D299" s="74">
        <v>3004</v>
      </c>
      <c r="E299" s="89">
        <v>8965165.6015256457</v>
      </c>
      <c r="F299" s="74">
        <v>4498400.5695991237</v>
      </c>
      <c r="G299" s="74">
        <v>809217.83949999989</v>
      </c>
      <c r="H299" s="74">
        <v>550211.75459999999</v>
      </c>
      <c r="I299" s="74">
        <v>2624229.8943772856</v>
      </c>
      <c r="J299" s="74">
        <v>701347.35795923951</v>
      </c>
      <c r="K299" s="74">
        <v>-112246.7554178655</v>
      </c>
      <c r="L299" s="74">
        <v>51531</v>
      </c>
      <c r="M299" s="75">
        <v>153569</v>
      </c>
      <c r="N299" s="75">
        <v>23864.936840562681</v>
      </c>
      <c r="O299" s="178">
        <f t="shared" si="125"/>
        <v>334959.99593270011</v>
      </c>
      <c r="P299" s="179">
        <f t="shared" si="126"/>
        <v>111.50465909876834</v>
      </c>
      <c r="Q299" s="74"/>
      <c r="R299" s="89">
        <v>23502368</v>
      </c>
      <c r="S299" s="74">
        <v>9607092.7177932542</v>
      </c>
      <c r="T299" s="74">
        <v>825317.63190000004</v>
      </c>
      <c r="U299" s="74">
        <v>9732113.1617573351</v>
      </c>
      <c r="V299" s="74">
        <v>2339088.2154640555</v>
      </c>
      <c r="W299" s="74">
        <v>1014317.8394999999</v>
      </c>
      <c r="X299" s="178">
        <f t="shared" si="127"/>
        <v>15561.566414643079</v>
      </c>
      <c r="Y299" s="179">
        <f t="shared" si="128"/>
        <v>5.1802817625309849</v>
      </c>
      <c r="Z299" s="74"/>
      <c r="AA299" s="84">
        <f t="shared" si="129"/>
        <v>319398.42951805703</v>
      </c>
      <c r="AB299" s="132">
        <f t="shared" si="130"/>
        <v>106.32437733623736</v>
      </c>
      <c r="AD299" s="180">
        <v>-306884.62210322113</v>
      </c>
      <c r="AE299" s="187">
        <v>-265717.06982133095</v>
      </c>
      <c r="AF299" s="187">
        <v>-223927.42437483248</v>
      </c>
      <c r="AG299" s="187">
        <v>-182442.90230681704</v>
      </c>
      <c r="AH299" s="188">
        <v>-140315.40457380324</v>
      </c>
      <c r="AJ299" s="74">
        <f t="shared" si="131"/>
        <v>5108692.1481941305</v>
      </c>
      <c r="AK299" s="74">
        <f t="shared" si="132"/>
        <v>275105.87730000005</v>
      </c>
      <c r="AL299" s="74">
        <f t="shared" si="133"/>
        <v>7107883.2673800495</v>
      </c>
      <c r="AM299" s="74">
        <f t="shared" si="134"/>
        <v>14537202.398474354</v>
      </c>
      <c r="AN299" s="74">
        <f t="shared" si="135"/>
        <v>-306884.62210322113</v>
      </c>
      <c r="AO299" s="74">
        <f t="shared" si="136"/>
        <v>-265717.06982133095</v>
      </c>
      <c r="AP299" s="74">
        <f t="shared" si="137"/>
        <v>-223927.42437483248</v>
      </c>
      <c r="AQ299" s="74">
        <f t="shared" si="138"/>
        <v>-182442.90230681704</v>
      </c>
      <c r="AR299" s="74">
        <f t="shared" si="139"/>
        <v>-140315.40457380324</v>
      </c>
      <c r="AS299" s="75">
        <v>1019</v>
      </c>
      <c r="AT299" s="75"/>
      <c r="AU299" s="75"/>
      <c r="AV299" s="75">
        <v>17</v>
      </c>
      <c r="AW299" s="75">
        <v>5845.5067790679886</v>
      </c>
      <c r="AX299" s="75">
        <v>-1508.2470349029236</v>
      </c>
      <c r="AY299" s="75">
        <v>1637.7408575048159</v>
      </c>
      <c r="AZ299" s="316"/>
      <c r="BA299" s="74"/>
      <c r="BB299" s="74"/>
      <c r="BC299" s="74"/>
      <c r="BD299" s="74"/>
      <c r="BE299" s="74"/>
      <c r="BF299" s="74"/>
      <c r="BG299" s="74"/>
      <c r="BM299" s="316"/>
      <c r="BN299" s="74">
        <v>8965165.6015256457</v>
      </c>
      <c r="BO299" s="74">
        <v>13419057.41</v>
      </c>
      <c r="BP299" s="74">
        <v>13510000</v>
      </c>
      <c r="BQ299" s="74">
        <v>338870.25</v>
      </c>
      <c r="BR299" s="74">
        <v>362000</v>
      </c>
      <c r="BS299" s="406">
        <f t="shared" si="140"/>
        <v>0.53176255275774986</v>
      </c>
      <c r="BT299" s="406">
        <f t="shared" si="141"/>
        <v>0.33333333333333337</v>
      </c>
      <c r="BU299" s="74">
        <f t="shared" si="142"/>
        <v>8633377.3694670014</v>
      </c>
      <c r="BV299" s="316"/>
      <c r="BW299" s="74">
        <v>23502368</v>
      </c>
      <c r="BX299" s="74">
        <v>8965165.6015256457</v>
      </c>
      <c r="BY299" s="74">
        <v>11241628.189193254</v>
      </c>
      <c r="BZ299" s="74">
        <v>5857830.1636991231</v>
      </c>
      <c r="CA299" s="74">
        <f t="shared" si="143"/>
        <v>-112246.75541786657</v>
      </c>
      <c r="CB299" s="74">
        <f t="shared" si="144"/>
        <v>5.180281762531334</v>
      </c>
      <c r="CC299" s="74">
        <f t="shared" si="145"/>
        <v>111.504659098768</v>
      </c>
      <c r="CD299" s="74">
        <f t="shared" si="146"/>
        <v>106.32437733623667</v>
      </c>
      <c r="CE299" s="74">
        <f t="shared" si="147"/>
        <v>-88.454417383931656</v>
      </c>
      <c r="CF299" s="74">
        <f t="shared" si="148"/>
        <v>-74.54308401292684</v>
      </c>
      <c r="CG299" s="74">
        <f t="shared" si="149"/>
        <v>-60.733323004932352</v>
      </c>
      <c r="CH299" s="74">
        <f t="shared" si="150"/>
        <v>-46.709522161718702</v>
      </c>
      <c r="CI299" s="74">
        <f t="shared" si="151"/>
        <v>-265717.06982133072</v>
      </c>
      <c r="CJ299" s="74">
        <f t="shared" si="152"/>
        <v>-223927.42437483222</v>
      </c>
      <c r="CK299" s="74">
        <f t="shared" si="153"/>
        <v>-182442.90230681677</v>
      </c>
      <c r="CL299" s="74">
        <f t="shared" si="154"/>
        <v>-140315.40457380298</v>
      </c>
      <c r="CM299" s="316"/>
      <c r="CN299" s="74">
        <v>9609.6801083091905</v>
      </c>
      <c r="CO299" s="74">
        <v>895.69355400000006</v>
      </c>
    </row>
    <row r="300" spans="1:93" x14ac:dyDescent="0.2">
      <c r="A300" s="74">
        <v>925</v>
      </c>
      <c r="B300" s="74" t="s">
        <v>417</v>
      </c>
      <c r="C300" s="74">
        <v>11</v>
      </c>
      <c r="D300" s="74">
        <v>3490</v>
      </c>
      <c r="E300" s="89">
        <v>12010806.808826569</v>
      </c>
      <c r="F300" s="74">
        <v>4341593.9641359542</v>
      </c>
      <c r="G300" s="74">
        <v>1107815.5806</v>
      </c>
      <c r="H300" s="74">
        <v>2416952.3419999997</v>
      </c>
      <c r="I300" s="74">
        <v>1325486.1878372126</v>
      </c>
      <c r="J300" s="74">
        <v>779008.44514984568</v>
      </c>
      <c r="K300" s="74">
        <v>1179051.7818548291</v>
      </c>
      <c r="L300" s="74">
        <v>61098</v>
      </c>
      <c r="M300" s="75">
        <v>260000</v>
      </c>
      <c r="N300" s="75">
        <v>31307.000503291987</v>
      </c>
      <c r="O300" s="178">
        <f t="shared" si="125"/>
        <v>-508493.5067454353</v>
      </c>
      <c r="P300" s="179">
        <f t="shared" si="126"/>
        <v>-145.70014519926514</v>
      </c>
      <c r="Q300" s="74"/>
      <c r="R300" s="89">
        <v>26222735.739999998</v>
      </c>
      <c r="S300" s="74">
        <v>10195804.30346795</v>
      </c>
      <c r="T300" s="74">
        <v>3625428.5129999998</v>
      </c>
      <c r="U300" s="74">
        <v>8750702.5840404592</v>
      </c>
      <c r="V300" s="74">
        <v>2598098.4359862385</v>
      </c>
      <c r="W300" s="74">
        <v>1428913.5806</v>
      </c>
      <c r="X300" s="178">
        <f t="shared" si="127"/>
        <v>376211.67709464952</v>
      </c>
      <c r="Y300" s="179">
        <f t="shared" si="128"/>
        <v>107.79704214746404</v>
      </c>
      <c r="Z300" s="74"/>
      <c r="AA300" s="84">
        <f t="shared" si="129"/>
        <v>-884705.18384008482</v>
      </c>
      <c r="AB300" s="132">
        <f t="shared" si="130"/>
        <v>-253.49718734672916</v>
      </c>
      <c r="AD300" s="180">
        <v>899243.5286729018</v>
      </c>
      <c r="AE300" s="187">
        <v>842371.34407363308</v>
      </c>
      <c r="AF300" s="187">
        <v>786221.89753843984</v>
      </c>
      <c r="AG300" s="187">
        <v>729717.9634563406</v>
      </c>
      <c r="AH300" s="188">
        <v>673961.02839915629</v>
      </c>
      <c r="AJ300" s="74">
        <f t="shared" si="131"/>
        <v>5854210.3393319957</v>
      </c>
      <c r="AK300" s="74">
        <f t="shared" si="132"/>
        <v>1208476.1710000001</v>
      </c>
      <c r="AL300" s="74">
        <f t="shared" si="133"/>
        <v>7425216.3962032469</v>
      </c>
      <c r="AM300" s="74">
        <f t="shared" si="134"/>
        <v>14211928.931173429</v>
      </c>
      <c r="AN300" s="74">
        <f t="shared" si="135"/>
        <v>899243.5286729018</v>
      </c>
      <c r="AO300" s="74">
        <f t="shared" si="136"/>
        <v>842371.34407363308</v>
      </c>
      <c r="AP300" s="74">
        <f t="shared" si="137"/>
        <v>786221.89753843984</v>
      </c>
      <c r="AQ300" s="74">
        <f t="shared" si="138"/>
        <v>729717.9634563406</v>
      </c>
      <c r="AR300" s="74">
        <f t="shared" si="139"/>
        <v>673961.02839915629</v>
      </c>
      <c r="AS300" s="75">
        <v>1061</v>
      </c>
      <c r="AT300" s="75"/>
      <c r="AU300" s="75"/>
      <c r="AV300" s="75">
        <v>0</v>
      </c>
      <c r="AW300" s="75">
        <v>6682.2828458652457</v>
      </c>
      <c r="AX300" s="75">
        <v>-645.77702650155436</v>
      </c>
      <c r="AY300" s="75">
        <v>1819.0899908363929</v>
      </c>
      <c r="AZ300" s="316"/>
      <c r="BA300" s="74"/>
      <c r="BB300" s="74"/>
      <c r="BC300" s="74"/>
      <c r="BD300" s="74"/>
      <c r="BE300" s="74"/>
      <c r="BF300" s="74"/>
      <c r="BG300" s="74"/>
      <c r="BM300" s="316"/>
      <c r="BN300" s="74">
        <v>12010806.808826569</v>
      </c>
      <c r="BO300" s="74">
        <v>12943641.399999997</v>
      </c>
      <c r="BP300" s="74">
        <v>14312000</v>
      </c>
      <c r="BQ300" s="74">
        <v>486559.83</v>
      </c>
      <c r="BR300" s="74">
        <v>383000</v>
      </c>
      <c r="BS300" s="406">
        <f t="shared" si="140"/>
        <v>0.57417837426918572</v>
      </c>
      <c r="BT300" s="406">
        <f t="shared" si="141"/>
        <v>0.33333333333333337</v>
      </c>
      <c r="BU300" s="74">
        <f t="shared" si="142"/>
        <v>10423358.16889447</v>
      </c>
      <c r="BV300" s="316"/>
      <c r="BW300" s="74">
        <v>26222735.739999998</v>
      </c>
      <c r="BX300" s="74">
        <v>12010806.808826569</v>
      </c>
      <c r="BY300" s="74">
        <v>14929048.397067949</v>
      </c>
      <c r="BZ300" s="74">
        <v>7866361.8867359534</v>
      </c>
      <c r="CA300" s="74">
        <f t="shared" si="143"/>
        <v>1179051.7818548267</v>
      </c>
      <c r="CB300" s="74">
        <f t="shared" si="144"/>
        <v>107.79704214746404</v>
      </c>
      <c r="CC300" s="74">
        <f t="shared" si="145"/>
        <v>-145.70014519926602</v>
      </c>
      <c r="CD300" s="74">
        <f t="shared" si="146"/>
        <v>-253.49718734673007</v>
      </c>
      <c r="CE300" s="74">
        <f t="shared" si="147"/>
        <v>241.36714729903508</v>
      </c>
      <c r="CF300" s="74">
        <f t="shared" si="148"/>
        <v>225.2784806700399</v>
      </c>
      <c r="CG300" s="74">
        <f t="shared" si="149"/>
        <v>209.08824167803439</v>
      </c>
      <c r="CH300" s="74">
        <f t="shared" si="150"/>
        <v>193.11204252124804</v>
      </c>
      <c r="CI300" s="74">
        <f t="shared" si="151"/>
        <v>842371.34407363238</v>
      </c>
      <c r="CJ300" s="74">
        <f t="shared" si="152"/>
        <v>786221.89753843925</v>
      </c>
      <c r="CK300" s="74">
        <f t="shared" si="153"/>
        <v>729717.96345634002</v>
      </c>
      <c r="CL300" s="74">
        <f t="shared" si="154"/>
        <v>673961.02839915571</v>
      </c>
      <c r="CM300" s="316"/>
      <c r="CN300" s="74">
        <v>10509.316699988118</v>
      </c>
      <c r="CO300" s="74">
        <v>3934.5735799999998</v>
      </c>
    </row>
    <row r="301" spans="1:93" x14ac:dyDescent="0.2">
      <c r="A301" s="74">
        <v>927</v>
      </c>
      <c r="B301" s="74" t="s">
        <v>418</v>
      </c>
      <c r="C301" s="74">
        <v>33</v>
      </c>
      <c r="D301" s="74">
        <v>29239</v>
      </c>
      <c r="E301" s="89">
        <v>76839733.500607997</v>
      </c>
      <c r="F301" s="74">
        <v>49980519.350972958</v>
      </c>
      <c r="G301" s="74">
        <v>7475449.0969999991</v>
      </c>
      <c r="H301" s="74">
        <v>3256253.6641999995</v>
      </c>
      <c r="I301" s="74">
        <v>16123361.298877839</v>
      </c>
      <c r="J301" s="74">
        <v>4070795.5752173308</v>
      </c>
      <c r="K301" s="74">
        <v>-5557.1046756499763</v>
      </c>
      <c r="L301" s="74">
        <v>-3174515</v>
      </c>
      <c r="M301" s="75">
        <v>-282174</v>
      </c>
      <c r="N301" s="75">
        <v>347801.51389172359</v>
      </c>
      <c r="O301" s="178">
        <f t="shared" si="125"/>
        <v>952200.89487621188</v>
      </c>
      <c r="P301" s="179">
        <f t="shared" si="126"/>
        <v>32.566123837210981</v>
      </c>
      <c r="Q301" s="74"/>
      <c r="R301" s="89">
        <v>173221659.74000001</v>
      </c>
      <c r="S301" s="74">
        <v>126814494.31549273</v>
      </c>
      <c r="T301" s="74">
        <v>4884380.4962999998</v>
      </c>
      <c r="U301" s="74">
        <v>25646613.24895731</v>
      </c>
      <c r="V301" s="74">
        <v>13576653.350859944</v>
      </c>
      <c r="W301" s="74">
        <v>4018760.0969999991</v>
      </c>
      <c r="X301" s="178">
        <f t="shared" si="127"/>
        <v>1719241.7686099708</v>
      </c>
      <c r="Y301" s="179">
        <f t="shared" si="128"/>
        <v>58.799609036217753</v>
      </c>
      <c r="Z301" s="74"/>
      <c r="AA301" s="84">
        <f t="shared" si="129"/>
        <v>-767040.87373375893</v>
      </c>
      <c r="AB301" s="132">
        <f t="shared" si="130"/>
        <v>-26.233485199006768</v>
      </c>
      <c r="AD301" s="180">
        <v>888842.21028580063</v>
      </c>
      <c r="AE301" s="187">
        <v>412370.63277920504</v>
      </c>
      <c r="AF301" s="187">
        <v>52083.235480256008</v>
      </c>
      <c r="AG301" s="187">
        <v>17281.837593006774</v>
      </c>
      <c r="AH301" s="188">
        <v>-11261.249552269233</v>
      </c>
      <c r="AJ301" s="74">
        <f t="shared" si="131"/>
        <v>76833974.964519769</v>
      </c>
      <c r="AK301" s="74">
        <f t="shared" si="132"/>
        <v>1628126.8321000002</v>
      </c>
      <c r="AL301" s="74">
        <f t="shared" si="133"/>
        <v>9523251.9500794709</v>
      </c>
      <c r="AM301" s="74">
        <f t="shared" si="134"/>
        <v>96381926.239392012</v>
      </c>
      <c r="AN301" s="74">
        <f t="shared" si="135"/>
        <v>888842.21028580063</v>
      </c>
      <c r="AO301" s="74">
        <f t="shared" si="136"/>
        <v>412370.63277920504</v>
      </c>
      <c r="AP301" s="74">
        <f t="shared" si="137"/>
        <v>52083.235480256008</v>
      </c>
      <c r="AQ301" s="74">
        <f t="shared" si="138"/>
        <v>17281.837593006774</v>
      </c>
      <c r="AR301" s="74">
        <f t="shared" si="139"/>
        <v>-11261.249552269233</v>
      </c>
      <c r="AS301" s="75">
        <v>11809</v>
      </c>
      <c r="AT301" s="75"/>
      <c r="AU301" s="75"/>
      <c r="AV301" s="75">
        <v>8</v>
      </c>
      <c r="AW301" s="75">
        <v>13109.74423634198</v>
      </c>
      <c r="AX301" s="75">
        <v>4344.5525373031896</v>
      </c>
      <c r="AY301" s="75">
        <v>9505.857775642613</v>
      </c>
      <c r="AZ301" s="316"/>
      <c r="BA301" s="74"/>
      <c r="BB301" s="74"/>
      <c r="BC301" s="74"/>
      <c r="BD301" s="74"/>
      <c r="BE301" s="74"/>
      <c r="BF301" s="74"/>
      <c r="BG301" s="74"/>
      <c r="BM301" s="316"/>
      <c r="BN301" s="74">
        <v>76839733.500607997</v>
      </c>
      <c r="BO301" s="74">
        <v>90062436</v>
      </c>
      <c r="BP301" s="74">
        <v>95196000</v>
      </c>
      <c r="BQ301" s="74">
        <v>2041235.61</v>
      </c>
      <c r="BR301" s="74">
        <v>2114000</v>
      </c>
      <c r="BS301" s="406">
        <f t="shared" si="140"/>
        <v>0.60587691792840337</v>
      </c>
      <c r="BT301" s="406">
        <f t="shared" si="141"/>
        <v>0.33333333333333337</v>
      </c>
      <c r="BU301" s="74">
        <f t="shared" si="142"/>
        <v>19023552.621046431</v>
      </c>
      <c r="BV301" s="316"/>
      <c r="BW301" s="74">
        <v>173221659.74000001</v>
      </c>
      <c r="BX301" s="74">
        <v>76839733.500607997</v>
      </c>
      <c r="BY301" s="74">
        <v>139174323.90879273</v>
      </c>
      <c r="BZ301" s="74">
        <v>60712222.112172954</v>
      </c>
      <c r="CA301" s="74">
        <f t="shared" si="143"/>
        <v>-5557.1046756597043</v>
      </c>
      <c r="CB301" s="74">
        <f t="shared" si="144"/>
        <v>58.79960903621788</v>
      </c>
      <c r="CC301" s="74">
        <f t="shared" si="145"/>
        <v>32.56612383721037</v>
      </c>
      <c r="CD301" s="74">
        <f t="shared" si="146"/>
        <v>-26.233485199007511</v>
      </c>
      <c r="CE301" s="74">
        <f t="shared" si="147"/>
        <v>14.103445151312515</v>
      </c>
      <c r="CF301" s="74">
        <f t="shared" si="148"/>
        <v>1.7812933233098263</v>
      </c>
      <c r="CG301" s="74">
        <f t="shared" si="149"/>
        <v>0.59105433130431184</v>
      </c>
      <c r="CH301" s="74">
        <f t="shared" si="150"/>
        <v>-0.38514482548203544</v>
      </c>
      <c r="CI301" s="74">
        <f t="shared" si="151"/>
        <v>412370.63277922664</v>
      </c>
      <c r="CJ301" s="74">
        <f t="shared" si="152"/>
        <v>52083.235480256008</v>
      </c>
      <c r="CK301" s="74">
        <f t="shared" si="153"/>
        <v>17281.837593006774</v>
      </c>
      <c r="CL301" s="74">
        <f t="shared" si="154"/>
        <v>-11261.249552269233</v>
      </c>
      <c r="CM301" s="316"/>
      <c r="CN301" s="74">
        <v>130528.46261746532</v>
      </c>
      <c r="CO301" s="74">
        <v>5300.8780579999993</v>
      </c>
    </row>
    <row r="302" spans="1:93" x14ac:dyDescent="0.2">
      <c r="A302" s="74">
        <v>931</v>
      </c>
      <c r="B302" s="74" t="s">
        <v>419</v>
      </c>
      <c r="C302" s="74">
        <v>13</v>
      </c>
      <c r="D302" s="74">
        <v>6070</v>
      </c>
      <c r="E302" s="89">
        <v>20719738.749699775</v>
      </c>
      <c r="F302" s="74">
        <v>7476247.8216455225</v>
      </c>
      <c r="G302" s="74">
        <v>1904392.6967000002</v>
      </c>
      <c r="H302" s="74">
        <v>1829630.1597999998</v>
      </c>
      <c r="I302" s="74">
        <v>2638935.6445645662</v>
      </c>
      <c r="J302" s="74">
        <v>1306703.096794527</v>
      </c>
      <c r="K302" s="74">
        <v>3485528.4450906515</v>
      </c>
      <c r="L302" s="74">
        <v>25026</v>
      </c>
      <c r="M302" s="75">
        <v>59310</v>
      </c>
      <c r="N302" s="75">
        <v>49150.873826545583</v>
      </c>
      <c r="O302" s="178">
        <f t="shared" si="125"/>
        <v>-1944814.0112779625</v>
      </c>
      <c r="P302" s="179">
        <f t="shared" si="126"/>
        <v>-320.39769543294273</v>
      </c>
      <c r="Q302" s="74"/>
      <c r="R302" s="89">
        <v>49664956</v>
      </c>
      <c r="S302" s="74">
        <v>17649598.582138676</v>
      </c>
      <c r="T302" s="74">
        <v>2744445.2396999998</v>
      </c>
      <c r="U302" s="74">
        <v>23369710.188685969</v>
      </c>
      <c r="V302" s="74">
        <v>4358031.409309308</v>
      </c>
      <c r="W302" s="74">
        <v>1988728.6967000002</v>
      </c>
      <c r="X302" s="178">
        <f t="shared" si="127"/>
        <v>445558.11653394997</v>
      </c>
      <c r="Y302" s="179">
        <f t="shared" si="128"/>
        <v>73.403314091260299</v>
      </c>
      <c r="Z302" s="74"/>
      <c r="AA302" s="84">
        <f t="shared" si="129"/>
        <v>-2390372.1278119124</v>
      </c>
      <c r="AB302" s="132">
        <f t="shared" si="130"/>
        <v>-393.80100952420304</v>
      </c>
      <c r="AD302" s="180">
        <v>2415658.0169623927</v>
      </c>
      <c r="AE302" s="187">
        <v>2316742.7847224036</v>
      </c>
      <c r="AF302" s="187">
        <v>2219084.5782844033</v>
      </c>
      <c r="AG302" s="187">
        <v>2120809.8276029294</v>
      </c>
      <c r="AH302" s="188">
        <v>2023834.2987212364</v>
      </c>
      <c r="AJ302" s="74">
        <f t="shared" si="131"/>
        <v>10173350.760493154</v>
      </c>
      <c r="AK302" s="74">
        <f t="shared" si="132"/>
        <v>914815.07990000001</v>
      </c>
      <c r="AL302" s="74">
        <f t="shared" si="133"/>
        <v>20730774.544121403</v>
      </c>
      <c r="AM302" s="74">
        <f t="shared" si="134"/>
        <v>28945217.250300225</v>
      </c>
      <c r="AN302" s="74">
        <f t="shared" si="135"/>
        <v>2415658.0169623927</v>
      </c>
      <c r="AO302" s="74">
        <f t="shared" si="136"/>
        <v>2316742.7847224036</v>
      </c>
      <c r="AP302" s="74">
        <f t="shared" si="137"/>
        <v>2219084.5782844033</v>
      </c>
      <c r="AQ302" s="74">
        <f t="shared" si="138"/>
        <v>2120809.8276029294</v>
      </c>
      <c r="AR302" s="74">
        <f t="shared" si="139"/>
        <v>2023834.2987212364</v>
      </c>
      <c r="AS302" s="75">
        <v>2644</v>
      </c>
      <c r="AT302" s="75"/>
      <c r="AU302" s="75"/>
      <c r="AV302" s="75">
        <v>69</v>
      </c>
      <c r="AW302" s="75">
        <v>17930.290219394039</v>
      </c>
      <c r="AX302" s="75">
        <v>-2736.431300418923</v>
      </c>
      <c r="AY302" s="75">
        <v>3051.3283125147809</v>
      </c>
      <c r="AZ302" s="316"/>
      <c r="BA302" s="74"/>
      <c r="BB302" s="74"/>
      <c r="BC302" s="74"/>
      <c r="BD302" s="74"/>
      <c r="BE302" s="74"/>
      <c r="BF302" s="74"/>
      <c r="BG302" s="74"/>
      <c r="BM302" s="316"/>
      <c r="BN302" s="74">
        <v>20719738.749699775</v>
      </c>
      <c r="BO302" s="74">
        <v>25224205.469999995</v>
      </c>
      <c r="BP302" s="74">
        <v>32906000</v>
      </c>
      <c r="BQ302" s="74">
        <v>604719.84</v>
      </c>
      <c r="BR302" s="74">
        <v>522000</v>
      </c>
      <c r="BS302" s="406">
        <f t="shared" si="140"/>
        <v>0.57640692014313255</v>
      </c>
      <c r="BT302" s="406">
        <f t="shared" si="141"/>
        <v>0.33333333333333337</v>
      </c>
      <c r="BU302" s="74">
        <f t="shared" si="142"/>
        <v>27267631.301726837</v>
      </c>
      <c r="BV302" s="316"/>
      <c r="BW302" s="74">
        <v>49664956</v>
      </c>
      <c r="BX302" s="74">
        <v>20719738.749699775</v>
      </c>
      <c r="BY302" s="74">
        <v>22298436.518538676</v>
      </c>
      <c r="BZ302" s="74">
        <v>11210270.678145524</v>
      </c>
      <c r="CA302" s="74">
        <f t="shared" si="143"/>
        <v>3485528.4450906473</v>
      </c>
      <c r="CB302" s="74">
        <f t="shared" si="144"/>
        <v>73.40331409126091</v>
      </c>
      <c r="CC302" s="74">
        <f t="shared" si="145"/>
        <v>-320.39769543294312</v>
      </c>
      <c r="CD302" s="74">
        <f t="shared" si="146"/>
        <v>-393.80100952420401</v>
      </c>
      <c r="CE302" s="74">
        <f t="shared" si="147"/>
        <v>381.67096947650901</v>
      </c>
      <c r="CF302" s="74">
        <f t="shared" si="148"/>
        <v>365.58230284751386</v>
      </c>
      <c r="CG302" s="74">
        <f t="shared" si="149"/>
        <v>349.3920638555083</v>
      </c>
      <c r="CH302" s="74">
        <f t="shared" si="150"/>
        <v>333.41586469872198</v>
      </c>
      <c r="CI302" s="74">
        <f t="shared" si="151"/>
        <v>2316742.7847224097</v>
      </c>
      <c r="CJ302" s="74">
        <f t="shared" si="152"/>
        <v>2219084.5782844089</v>
      </c>
      <c r="CK302" s="74">
        <f t="shared" si="153"/>
        <v>2120809.8276029355</v>
      </c>
      <c r="CL302" s="74">
        <f t="shared" si="154"/>
        <v>2023834.2987212425</v>
      </c>
      <c r="CM302" s="316"/>
      <c r="CN302" s="74">
        <v>17906.690838342765</v>
      </c>
      <c r="CO302" s="74">
        <v>2978.4677019999995</v>
      </c>
    </row>
    <row r="303" spans="1:93" x14ac:dyDescent="0.2">
      <c r="A303" s="74">
        <v>934</v>
      </c>
      <c r="B303" s="74" t="s">
        <v>420</v>
      </c>
      <c r="C303" s="74">
        <v>14</v>
      </c>
      <c r="D303" s="74">
        <v>2756</v>
      </c>
      <c r="E303" s="89">
        <v>6604661.008358743</v>
      </c>
      <c r="F303" s="74">
        <v>4259298.8782882439</v>
      </c>
      <c r="G303" s="74">
        <v>825338.89950000006</v>
      </c>
      <c r="H303" s="74">
        <v>519270.49400000001</v>
      </c>
      <c r="I303" s="74">
        <v>1790329.7281282251</v>
      </c>
      <c r="J303" s="74">
        <v>550564.77880458138</v>
      </c>
      <c r="K303" s="74">
        <v>336309.764575137</v>
      </c>
      <c r="L303" s="74">
        <v>-757153</v>
      </c>
      <c r="M303" s="75">
        <v>-36224</v>
      </c>
      <c r="N303" s="75">
        <v>24107.880888375876</v>
      </c>
      <c r="O303" s="178">
        <f t="shared" si="125"/>
        <v>907182.41582582053</v>
      </c>
      <c r="P303" s="179">
        <f t="shared" si="126"/>
        <v>329.16633375392615</v>
      </c>
      <c r="Q303" s="74"/>
      <c r="R303" s="89">
        <v>19201609</v>
      </c>
      <c r="S303" s="74">
        <v>9438268.4930066001</v>
      </c>
      <c r="T303" s="74">
        <v>778905.74100000004</v>
      </c>
      <c r="U303" s="74">
        <v>8053908.6197256371</v>
      </c>
      <c r="V303" s="74">
        <v>1836207.9379590608</v>
      </c>
      <c r="W303" s="74">
        <v>31961.899500000058</v>
      </c>
      <c r="X303" s="178">
        <f t="shared" si="127"/>
        <v>937643.69119130075</v>
      </c>
      <c r="Y303" s="179">
        <f t="shared" si="128"/>
        <v>340.21904615068968</v>
      </c>
      <c r="Z303" s="74"/>
      <c r="AA303" s="84">
        <f t="shared" si="129"/>
        <v>-30461.275365480222</v>
      </c>
      <c r="AB303" s="132">
        <f t="shared" si="130"/>
        <v>-11.052712396763505</v>
      </c>
      <c r="AD303" s="180">
        <v>41941.985497061964</v>
      </c>
      <c r="AE303" s="187">
        <v>7909.6096285525928</v>
      </c>
      <c r="AF303" s="187">
        <v>4909.2443990418815</v>
      </c>
      <c r="AG303" s="187">
        <v>1628.9457370746834</v>
      </c>
      <c r="AH303" s="188">
        <v>-1061.4591390284897</v>
      </c>
      <c r="AJ303" s="74">
        <f t="shared" si="131"/>
        <v>5178969.6147183562</v>
      </c>
      <c r="AK303" s="74">
        <f t="shared" si="132"/>
        <v>259635.24700000003</v>
      </c>
      <c r="AL303" s="74">
        <f t="shared" si="133"/>
        <v>6263578.8915974125</v>
      </c>
      <c r="AM303" s="74">
        <f t="shared" si="134"/>
        <v>12596947.991641257</v>
      </c>
      <c r="AN303" s="74">
        <f t="shared" si="135"/>
        <v>41941.985497061964</v>
      </c>
      <c r="AO303" s="74">
        <f t="shared" si="136"/>
        <v>7909.6096285525928</v>
      </c>
      <c r="AP303" s="74">
        <f t="shared" si="137"/>
        <v>4909.2443990418815</v>
      </c>
      <c r="AQ303" s="74">
        <f t="shared" si="138"/>
        <v>1628.9457370746834</v>
      </c>
      <c r="AR303" s="74">
        <f t="shared" si="139"/>
        <v>-1061.4591390284897</v>
      </c>
      <c r="AS303" s="75">
        <v>1068</v>
      </c>
      <c r="AT303" s="75"/>
      <c r="AU303" s="75"/>
      <c r="AV303" s="75">
        <v>0</v>
      </c>
      <c r="AW303" s="75">
        <v>5419.0941078180749</v>
      </c>
      <c r="AX303" s="75">
        <v>-1039.4257105209024</v>
      </c>
      <c r="AY303" s="75">
        <v>1285.6431591544795</v>
      </c>
      <c r="AZ303" s="316"/>
      <c r="BA303" s="74"/>
      <c r="BB303" s="74"/>
      <c r="BC303" s="74"/>
      <c r="BD303" s="74"/>
      <c r="BE303" s="74"/>
      <c r="BF303" s="74"/>
      <c r="BG303" s="74"/>
      <c r="BM303" s="316"/>
      <c r="BN303" s="74">
        <v>6604661.008358743</v>
      </c>
      <c r="BO303" s="74">
        <v>12203690.49</v>
      </c>
      <c r="BP303" s="74">
        <v>11910000</v>
      </c>
      <c r="BQ303" s="74">
        <v>283701.05</v>
      </c>
      <c r="BR303" s="74">
        <v>294000</v>
      </c>
      <c r="BS303" s="406">
        <f t="shared" si="140"/>
        <v>0.548720310145423</v>
      </c>
      <c r="BT303" s="406">
        <f t="shared" si="141"/>
        <v>0.33333333333333337</v>
      </c>
      <c r="BU303" s="74">
        <f t="shared" si="142"/>
        <v>7885531.8153270278</v>
      </c>
      <c r="BV303" s="316"/>
      <c r="BW303" s="74">
        <v>19201609</v>
      </c>
      <c r="BX303" s="74">
        <v>6604661.008358743</v>
      </c>
      <c r="BY303" s="74">
        <v>11042513.1335066</v>
      </c>
      <c r="BZ303" s="74">
        <v>5603908.2717882441</v>
      </c>
      <c r="CA303" s="74">
        <f t="shared" si="143"/>
        <v>336309.76457513531</v>
      </c>
      <c r="CB303" s="74">
        <f t="shared" si="144"/>
        <v>340.21904615068883</v>
      </c>
      <c r="CC303" s="74">
        <f t="shared" si="145"/>
        <v>329.16633375392547</v>
      </c>
      <c r="CD303" s="74">
        <f t="shared" si="146"/>
        <v>-11.052712396763354</v>
      </c>
      <c r="CE303" s="74">
        <f t="shared" si="147"/>
        <v>2.8699599523050048</v>
      </c>
      <c r="CF303" s="74">
        <f t="shared" si="148"/>
        <v>1.7812933233098263</v>
      </c>
      <c r="CG303" s="74">
        <f t="shared" si="149"/>
        <v>0.59105433130431184</v>
      </c>
      <c r="CH303" s="74">
        <f t="shared" si="150"/>
        <v>-0.38514482548203544</v>
      </c>
      <c r="CI303" s="74">
        <f t="shared" si="151"/>
        <v>7909.6096285525928</v>
      </c>
      <c r="CJ303" s="74">
        <f t="shared" si="152"/>
        <v>4909.2443990418815</v>
      </c>
      <c r="CK303" s="74">
        <f t="shared" si="153"/>
        <v>1628.9457370746834</v>
      </c>
      <c r="CL303" s="74">
        <f t="shared" si="154"/>
        <v>-1061.4591390284897</v>
      </c>
      <c r="CM303" s="316"/>
      <c r="CN303" s="74">
        <v>9373.7580498756797</v>
      </c>
      <c r="CO303" s="74">
        <v>845.32405999999992</v>
      </c>
    </row>
    <row r="304" spans="1:93" x14ac:dyDescent="0.2">
      <c r="A304" s="74">
        <v>935</v>
      </c>
      <c r="B304" s="74" t="s">
        <v>421</v>
      </c>
      <c r="C304" s="74">
        <v>8</v>
      </c>
      <c r="D304" s="74">
        <v>3040</v>
      </c>
      <c r="E304" s="89">
        <v>8553478.4873008672</v>
      </c>
      <c r="F304" s="74">
        <v>4187694.0042876462</v>
      </c>
      <c r="G304" s="74">
        <v>1554092.287</v>
      </c>
      <c r="H304" s="74">
        <v>672741.98320000002</v>
      </c>
      <c r="I304" s="74">
        <v>1039870.0705550327</v>
      </c>
      <c r="J304" s="74">
        <v>625918.73563073692</v>
      </c>
      <c r="K304" s="74">
        <v>168608.49134791258</v>
      </c>
      <c r="L304" s="74">
        <v>-83525</v>
      </c>
      <c r="M304" s="75">
        <v>126500</v>
      </c>
      <c r="N304" s="75">
        <v>25898.268284721824</v>
      </c>
      <c r="O304" s="178">
        <f t="shared" si="125"/>
        <v>-235679.64699481707</v>
      </c>
      <c r="P304" s="179">
        <f t="shared" si="126"/>
        <v>-77.526199669347719</v>
      </c>
      <c r="Q304" s="74"/>
      <c r="R304" s="89">
        <v>22630900</v>
      </c>
      <c r="S304" s="74">
        <v>9693829.3887370005</v>
      </c>
      <c r="T304" s="74">
        <v>1009112.9748</v>
      </c>
      <c r="U304" s="74">
        <v>8249605.1626605671</v>
      </c>
      <c r="V304" s="74">
        <v>2087523.5669414282</v>
      </c>
      <c r="W304" s="74">
        <v>1597067.287</v>
      </c>
      <c r="X304" s="178">
        <f t="shared" si="127"/>
        <v>6238.3801389932632</v>
      </c>
      <c r="Y304" s="179">
        <f t="shared" si="128"/>
        <v>2.0520987299319944</v>
      </c>
      <c r="Z304" s="74"/>
      <c r="AA304" s="84">
        <f t="shared" si="129"/>
        <v>-241918.02713381033</v>
      </c>
      <c r="AB304" s="132">
        <f t="shared" si="130"/>
        <v>-79.578298399279717</v>
      </c>
      <c r="AD304" s="180">
        <v>254581.80028331419</v>
      </c>
      <c r="AE304" s="187">
        <v>205042.70538882224</v>
      </c>
      <c r="AF304" s="187">
        <v>156133.15883667688</v>
      </c>
      <c r="AG304" s="187">
        <v>106914.83230098012</v>
      </c>
      <c r="AH304" s="188">
        <v>58347.186864349613</v>
      </c>
      <c r="AJ304" s="74">
        <f t="shared" si="131"/>
        <v>5506135.3844493544</v>
      </c>
      <c r="AK304" s="74">
        <f t="shared" si="132"/>
        <v>336370.99159999995</v>
      </c>
      <c r="AL304" s="74">
        <f t="shared" si="133"/>
        <v>7209735.0921055339</v>
      </c>
      <c r="AM304" s="74">
        <f t="shared" si="134"/>
        <v>14077421.512699133</v>
      </c>
      <c r="AN304" s="74">
        <f t="shared" si="135"/>
        <v>254581.80028331419</v>
      </c>
      <c r="AO304" s="74">
        <f t="shared" si="136"/>
        <v>205042.70538882224</v>
      </c>
      <c r="AP304" s="74">
        <f t="shared" si="137"/>
        <v>156133.15883667688</v>
      </c>
      <c r="AQ304" s="74">
        <f t="shared" si="138"/>
        <v>106914.83230098012</v>
      </c>
      <c r="AR304" s="74">
        <f t="shared" si="139"/>
        <v>58347.186864349613</v>
      </c>
      <c r="AS304" s="75">
        <v>1362</v>
      </c>
      <c r="AT304" s="75"/>
      <c r="AU304" s="75"/>
      <c r="AV304" s="75">
        <v>0</v>
      </c>
      <c r="AW304" s="75">
        <v>5945.0131032777272</v>
      </c>
      <c r="AX304" s="75">
        <v>-1136.5285285673724</v>
      </c>
      <c r="AY304" s="75">
        <v>1461.6048313106915</v>
      </c>
      <c r="AZ304" s="316"/>
      <c r="BA304" s="74"/>
      <c r="BB304" s="74"/>
      <c r="BC304" s="74"/>
      <c r="BD304" s="74"/>
      <c r="BE304" s="74"/>
      <c r="BF304" s="74"/>
      <c r="BG304" s="74"/>
      <c r="BM304" s="316"/>
      <c r="BN304" s="74">
        <v>8553478.4873008672</v>
      </c>
      <c r="BO304" s="74">
        <v>13037882.500000002</v>
      </c>
      <c r="BP304" s="74">
        <v>13663000</v>
      </c>
      <c r="BQ304" s="74">
        <v>376122.78</v>
      </c>
      <c r="BR304" s="74">
        <v>451000</v>
      </c>
      <c r="BS304" s="406">
        <f t="shared" si="140"/>
        <v>0.56800415642210345</v>
      </c>
      <c r="BT304" s="406">
        <f t="shared" si="141"/>
        <v>0.33333333333333326</v>
      </c>
      <c r="BU304" s="74">
        <f t="shared" si="142"/>
        <v>8839948.4147641398</v>
      </c>
      <c r="BV304" s="316"/>
      <c r="BW304" s="74">
        <v>22630900</v>
      </c>
      <c r="BX304" s="74">
        <v>8553478.4873008672</v>
      </c>
      <c r="BY304" s="74">
        <v>12257034.650537001</v>
      </c>
      <c r="BZ304" s="74">
        <v>6414528.2744876454</v>
      </c>
      <c r="CA304" s="74">
        <f t="shared" si="143"/>
        <v>168608.49134791247</v>
      </c>
      <c r="CB304" s="74">
        <f t="shared" si="144"/>
        <v>2.0520987299328368</v>
      </c>
      <c r="CC304" s="74">
        <f t="shared" si="145"/>
        <v>-77.526199669347704</v>
      </c>
      <c r="CD304" s="74">
        <f t="shared" si="146"/>
        <v>-79.578298399280541</v>
      </c>
      <c r="CE304" s="74">
        <f t="shared" si="147"/>
        <v>67.448258351585551</v>
      </c>
      <c r="CF304" s="74">
        <f t="shared" si="148"/>
        <v>51.359591722590366</v>
      </c>
      <c r="CG304" s="74">
        <f t="shared" si="149"/>
        <v>35.169352730584855</v>
      </c>
      <c r="CH304" s="74">
        <f t="shared" si="150"/>
        <v>19.193153573798504</v>
      </c>
      <c r="CI304" s="74">
        <f t="shared" si="151"/>
        <v>205042.70538882006</v>
      </c>
      <c r="CJ304" s="74">
        <f t="shared" si="152"/>
        <v>156133.1588366747</v>
      </c>
      <c r="CK304" s="74">
        <f t="shared" si="153"/>
        <v>106914.83230097796</v>
      </c>
      <c r="CL304" s="74">
        <f t="shared" si="154"/>
        <v>58347.186864347452</v>
      </c>
      <c r="CM304" s="316"/>
      <c r="CN304" s="74">
        <v>9529.6976903763807</v>
      </c>
      <c r="CO304" s="74">
        <v>1095.1613679999998</v>
      </c>
    </row>
    <row r="305" spans="1:93" x14ac:dyDescent="0.2">
      <c r="A305" s="74">
        <v>936</v>
      </c>
      <c r="B305" s="74" t="s">
        <v>422</v>
      </c>
      <c r="C305" s="74">
        <v>6</v>
      </c>
      <c r="D305" s="74">
        <v>6465</v>
      </c>
      <c r="E305" s="89">
        <v>19253155.313039333</v>
      </c>
      <c r="F305" s="74">
        <v>8498904.7483427227</v>
      </c>
      <c r="G305" s="74">
        <v>2017777.9037000001</v>
      </c>
      <c r="H305" s="74">
        <v>2168214.0776</v>
      </c>
      <c r="I305" s="74">
        <v>2393976.9332904648</v>
      </c>
      <c r="J305" s="74">
        <v>1384929.8658745387</v>
      </c>
      <c r="K305" s="74">
        <v>2153809.1112912162</v>
      </c>
      <c r="L305" s="74">
        <v>524883</v>
      </c>
      <c r="M305" s="75">
        <v>144500</v>
      </c>
      <c r="N305" s="75">
        <v>55308.531019740105</v>
      </c>
      <c r="O305" s="178">
        <f t="shared" si="125"/>
        <v>89148.858079351485</v>
      </c>
      <c r="P305" s="179">
        <f t="shared" si="126"/>
        <v>13.789459873062874</v>
      </c>
      <c r="Q305" s="74"/>
      <c r="R305" s="89">
        <v>51914880</v>
      </c>
      <c r="S305" s="74">
        <v>19892097.02470139</v>
      </c>
      <c r="T305" s="74">
        <v>3252321.1164000002</v>
      </c>
      <c r="U305" s="74">
        <v>22643713.687847346</v>
      </c>
      <c r="V305" s="74">
        <v>4618928.2553761574</v>
      </c>
      <c r="W305" s="74">
        <v>2687160.9037000001</v>
      </c>
      <c r="X305" s="178">
        <f t="shared" si="127"/>
        <v>1179340.9880248904</v>
      </c>
      <c r="Y305" s="179">
        <f t="shared" si="128"/>
        <v>182.41933302782527</v>
      </c>
      <c r="Z305" s="74"/>
      <c r="AA305" s="84">
        <f t="shared" si="129"/>
        <v>-1090192.1299455389</v>
      </c>
      <c r="AB305" s="132">
        <f t="shared" si="130"/>
        <v>-168.62987315476241</v>
      </c>
      <c r="AD305" s="180">
        <v>1117123.476462495</v>
      </c>
      <c r="AE305" s="187">
        <v>1011771.421037202</v>
      </c>
      <c r="AF305" s="187">
        <v>907758.19128074823</v>
      </c>
      <c r="AG305" s="187">
        <v>803088.29619743256</v>
      </c>
      <c r="AH305" s="188">
        <v>699802.16864880885</v>
      </c>
      <c r="AJ305" s="74">
        <f t="shared" si="131"/>
        <v>11393192.276358668</v>
      </c>
      <c r="AK305" s="74">
        <f t="shared" si="132"/>
        <v>1084107.0388000002</v>
      </c>
      <c r="AL305" s="74">
        <f t="shared" si="133"/>
        <v>20249736.754556879</v>
      </c>
      <c r="AM305" s="74">
        <f t="shared" si="134"/>
        <v>32661724.686960667</v>
      </c>
      <c r="AN305" s="74">
        <f t="shared" si="135"/>
        <v>1117123.476462495</v>
      </c>
      <c r="AO305" s="74">
        <f t="shared" si="136"/>
        <v>1011771.421037202</v>
      </c>
      <c r="AP305" s="74">
        <f t="shared" si="137"/>
        <v>907758.19128074823</v>
      </c>
      <c r="AQ305" s="74">
        <f t="shared" si="138"/>
        <v>803088.29619743256</v>
      </c>
      <c r="AR305" s="74">
        <f t="shared" si="139"/>
        <v>699802.16864880885</v>
      </c>
      <c r="AS305" s="75">
        <v>4306</v>
      </c>
      <c r="AT305" s="75"/>
      <c r="AU305" s="75"/>
      <c r="AV305" s="75">
        <v>182</v>
      </c>
      <c r="AW305" s="75">
        <v>18198.800523775401</v>
      </c>
      <c r="AX305" s="75">
        <v>-2399.4216861463747</v>
      </c>
      <c r="AY305" s="75">
        <v>3233.9983895016189</v>
      </c>
      <c r="AZ305" s="316"/>
      <c r="BA305" s="74"/>
      <c r="BB305" s="74"/>
      <c r="BC305" s="74"/>
      <c r="BD305" s="74"/>
      <c r="BE305" s="74"/>
      <c r="BF305" s="74"/>
      <c r="BG305" s="74"/>
      <c r="BM305" s="316"/>
      <c r="BN305" s="74">
        <v>19253155.313039333</v>
      </c>
      <c r="BO305" s="74">
        <v>31160234.469999999</v>
      </c>
      <c r="BP305" s="74">
        <v>31464000</v>
      </c>
      <c r="BQ305" s="74">
        <v>529446.41</v>
      </c>
      <c r="BR305" s="74">
        <v>542000</v>
      </c>
      <c r="BS305" s="406">
        <f t="shared" si="140"/>
        <v>0.57274968356583789</v>
      </c>
      <c r="BT305" s="406">
        <f t="shared" si="141"/>
        <v>0.33333333333333337</v>
      </c>
      <c r="BU305" s="74">
        <f t="shared" si="142"/>
        <v>25637544.255349714</v>
      </c>
      <c r="BV305" s="316"/>
      <c r="BW305" s="74">
        <v>51914880</v>
      </c>
      <c r="BX305" s="74">
        <v>19253155.313039333</v>
      </c>
      <c r="BY305" s="74">
        <v>25162196.044801392</v>
      </c>
      <c r="BZ305" s="74">
        <v>12684896.729642723</v>
      </c>
      <c r="CA305" s="74">
        <f t="shared" si="143"/>
        <v>2153809.1112912102</v>
      </c>
      <c r="CB305" s="74">
        <f t="shared" si="144"/>
        <v>182.41933302782579</v>
      </c>
      <c r="CC305" s="74">
        <f t="shared" si="145"/>
        <v>13.789459873061695</v>
      </c>
      <c r="CD305" s="74">
        <f t="shared" si="146"/>
        <v>-168.62987315476408</v>
      </c>
      <c r="CE305" s="74">
        <f t="shared" si="147"/>
        <v>156.49983310706909</v>
      </c>
      <c r="CF305" s="74">
        <f t="shared" si="148"/>
        <v>140.41116647807391</v>
      </c>
      <c r="CG305" s="74">
        <f t="shared" si="149"/>
        <v>124.22092748606839</v>
      </c>
      <c r="CH305" s="74">
        <f t="shared" si="150"/>
        <v>108.24472832928205</v>
      </c>
      <c r="CI305" s="74">
        <f t="shared" si="151"/>
        <v>1011771.4210372017</v>
      </c>
      <c r="CJ305" s="74">
        <f t="shared" si="152"/>
        <v>907758.19128074776</v>
      </c>
      <c r="CK305" s="74">
        <f t="shared" si="153"/>
        <v>803088.29619743209</v>
      </c>
      <c r="CL305" s="74">
        <f t="shared" si="154"/>
        <v>699802.1686488085</v>
      </c>
      <c r="CM305" s="316"/>
      <c r="CN305" s="74">
        <v>20043.283977857216</v>
      </c>
      <c r="CO305" s="74">
        <v>3529.6508239999998</v>
      </c>
    </row>
    <row r="306" spans="1:93" x14ac:dyDescent="0.2">
      <c r="A306" s="74">
        <v>946</v>
      </c>
      <c r="B306" s="74" t="s">
        <v>136</v>
      </c>
      <c r="C306" s="74">
        <v>15</v>
      </c>
      <c r="D306" s="74">
        <v>6376</v>
      </c>
      <c r="E306" s="89">
        <v>21184421.837202843</v>
      </c>
      <c r="F306" s="74">
        <v>9222561.1037226021</v>
      </c>
      <c r="G306" s="74">
        <v>2166866.7710000002</v>
      </c>
      <c r="H306" s="74">
        <v>1409972.5542000001</v>
      </c>
      <c r="I306" s="74">
        <v>6680455.7039223239</v>
      </c>
      <c r="J306" s="74">
        <v>1343328.9190683411</v>
      </c>
      <c r="K306" s="74">
        <v>-129119.71376491245</v>
      </c>
      <c r="L306" s="74">
        <v>701106</v>
      </c>
      <c r="M306" s="75">
        <v>-158000</v>
      </c>
      <c r="N306" s="75">
        <v>56230.770635768691</v>
      </c>
      <c r="O306" s="178">
        <f t="shared" si="125"/>
        <v>108980.27158128098</v>
      </c>
      <c r="P306" s="179">
        <f t="shared" si="126"/>
        <v>17.092263422409186</v>
      </c>
      <c r="Q306" s="74"/>
      <c r="R306" s="89">
        <v>47758700</v>
      </c>
      <c r="S306" s="74">
        <v>21202926.308731407</v>
      </c>
      <c r="T306" s="74">
        <v>2114958.8313000002</v>
      </c>
      <c r="U306" s="74">
        <v>17541706.467270099</v>
      </c>
      <c r="V306" s="74">
        <v>4480183.4760279208</v>
      </c>
      <c r="W306" s="74">
        <v>2709972.7710000002</v>
      </c>
      <c r="X306" s="178">
        <f t="shared" si="127"/>
        <v>291047.85432942212</v>
      </c>
      <c r="Y306" s="179">
        <f t="shared" si="128"/>
        <v>45.647405007751274</v>
      </c>
      <c r="Z306" s="74"/>
      <c r="AA306" s="84">
        <f t="shared" si="129"/>
        <v>-182067.58274814114</v>
      </c>
      <c r="AB306" s="132">
        <f t="shared" si="130"/>
        <v>-28.555141585342085</v>
      </c>
      <c r="AD306" s="180">
        <v>208628.18064327867</v>
      </c>
      <c r="AE306" s="187">
        <v>104726.4474040416</v>
      </c>
      <c r="AF306" s="187">
        <v>11357.526229423453</v>
      </c>
      <c r="AG306" s="187">
        <v>3768.5624163962925</v>
      </c>
      <c r="AH306" s="188">
        <v>-2455.6834072734578</v>
      </c>
      <c r="AJ306" s="74">
        <f t="shared" si="131"/>
        <v>11980365.205008805</v>
      </c>
      <c r="AK306" s="74">
        <f t="shared" si="132"/>
        <v>704986.27710000006</v>
      </c>
      <c r="AL306" s="74">
        <f t="shared" si="133"/>
        <v>10861250.763347775</v>
      </c>
      <c r="AM306" s="74">
        <f t="shared" si="134"/>
        <v>26574278.162797157</v>
      </c>
      <c r="AN306" s="74">
        <f t="shared" si="135"/>
        <v>208628.18064327867</v>
      </c>
      <c r="AO306" s="74">
        <f t="shared" si="136"/>
        <v>104726.4474040416</v>
      </c>
      <c r="AP306" s="74">
        <f t="shared" si="137"/>
        <v>11357.526229423453</v>
      </c>
      <c r="AQ306" s="74">
        <f t="shared" si="138"/>
        <v>3768.5624163962925</v>
      </c>
      <c r="AR306" s="74">
        <f t="shared" si="139"/>
        <v>-2455.6834072734578</v>
      </c>
      <c r="AS306" s="405">
        <v>1802</v>
      </c>
      <c r="AT306" s="75"/>
      <c r="AU306" s="75"/>
      <c r="AV306" s="75">
        <v>0</v>
      </c>
      <c r="AW306" s="75">
        <v>8561.1786685078951</v>
      </c>
      <c r="AX306" s="75">
        <v>-2034.690934656943</v>
      </c>
      <c r="AY306" s="75">
        <v>3136.8545569595799</v>
      </c>
      <c r="AZ306" s="316"/>
      <c r="BA306" s="74"/>
      <c r="BB306" s="74"/>
      <c r="BC306" s="74"/>
      <c r="BD306" s="74"/>
      <c r="BE306" s="74"/>
      <c r="BF306" s="74"/>
      <c r="BG306" s="74"/>
      <c r="BM306" s="316"/>
      <c r="BN306" s="74">
        <v>21184421.837202843</v>
      </c>
      <c r="BO306" s="74">
        <v>24492444.75</v>
      </c>
      <c r="BP306" s="74">
        <v>28811000</v>
      </c>
      <c r="BQ306" s="74">
        <v>494839.32</v>
      </c>
      <c r="BR306" s="74">
        <v>502000</v>
      </c>
      <c r="BS306" s="406">
        <f t="shared" si="140"/>
        <v>0.56503357275147748</v>
      </c>
      <c r="BT306" s="406">
        <f t="shared" si="141"/>
        <v>0.33333333333333337</v>
      </c>
      <c r="BU306" s="74">
        <f t="shared" si="142"/>
        <v>13868985.606542442</v>
      </c>
      <c r="BV306" s="316"/>
      <c r="BW306" s="74">
        <v>47758700</v>
      </c>
      <c r="BX306" s="74">
        <v>21184421.837202843</v>
      </c>
      <c r="BY306" s="74">
        <v>25484751.91103141</v>
      </c>
      <c r="BZ306" s="74">
        <v>12799400.428922601</v>
      </c>
      <c r="CA306" s="74">
        <f t="shared" si="143"/>
        <v>-129119.7137649138</v>
      </c>
      <c r="CB306" s="74">
        <f t="shared" si="144"/>
        <v>45.647405007752219</v>
      </c>
      <c r="CC306" s="74">
        <f t="shared" si="145"/>
        <v>17.092263422408816</v>
      </c>
      <c r="CD306" s="74">
        <f t="shared" si="146"/>
        <v>-28.555141585343403</v>
      </c>
      <c r="CE306" s="74">
        <f t="shared" si="147"/>
        <v>16.425101537648409</v>
      </c>
      <c r="CF306" s="74">
        <f t="shared" si="148"/>
        <v>1.7812933233098263</v>
      </c>
      <c r="CG306" s="74">
        <f t="shared" si="149"/>
        <v>0.59105433130431184</v>
      </c>
      <c r="CH306" s="74">
        <f t="shared" si="150"/>
        <v>-0.38514482548203544</v>
      </c>
      <c r="CI306" s="74">
        <f t="shared" si="151"/>
        <v>104726.44740404625</v>
      </c>
      <c r="CJ306" s="74">
        <f t="shared" si="152"/>
        <v>11357.526229423453</v>
      </c>
      <c r="CK306" s="74">
        <f t="shared" si="153"/>
        <v>3768.5624163962925</v>
      </c>
      <c r="CL306" s="74">
        <f t="shared" si="154"/>
        <v>-2455.6834072734578</v>
      </c>
      <c r="CM306" s="316"/>
      <c r="CN306" s="74">
        <v>21669.057550017751</v>
      </c>
      <c r="CO306" s="74">
        <v>2295.3041579999999</v>
      </c>
    </row>
    <row r="307" spans="1:93" x14ac:dyDescent="0.2">
      <c r="A307" s="74">
        <v>976</v>
      </c>
      <c r="B307" s="74" t="s">
        <v>423</v>
      </c>
      <c r="C307" s="74">
        <v>19</v>
      </c>
      <c r="D307" s="74">
        <v>3830</v>
      </c>
      <c r="E307" s="89">
        <v>10719647.708516262</v>
      </c>
      <c r="F307" s="74">
        <v>4377145.702058888</v>
      </c>
      <c r="G307" s="74">
        <v>1319688.0829999999</v>
      </c>
      <c r="H307" s="74">
        <v>583263.16280000005</v>
      </c>
      <c r="I307" s="74">
        <v>3363374.087780036</v>
      </c>
      <c r="J307" s="74">
        <v>808553.35142274271</v>
      </c>
      <c r="K307" s="74">
        <v>714989.39707910444</v>
      </c>
      <c r="L307" s="74">
        <v>-317114</v>
      </c>
      <c r="M307" s="75">
        <v>53300</v>
      </c>
      <c r="N307" s="75">
        <v>32301.744200031186</v>
      </c>
      <c r="O307" s="178">
        <f t="shared" si="125"/>
        <v>215853.81982453912</v>
      </c>
      <c r="P307" s="179">
        <f t="shared" si="126"/>
        <v>56.358699693091154</v>
      </c>
      <c r="Q307" s="74"/>
      <c r="R307" s="89">
        <v>33721600</v>
      </c>
      <c r="S307" s="74">
        <v>11372609.318353284</v>
      </c>
      <c r="T307" s="74">
        <v>874894.74419999996</v>
      </c>
      <c r="U307" s="74">
        <v>18307040.938894469</v>
      </c>
      <c r="V307" s="74">
        <v>2696634.690961252</v>
      </c>
      <c r="W307" s="74">
        <v>1055874.0829999999</v>
      </c>
      <c r="X307" s="178">
        <f t="shared" si="127"/>
        <v>585453.77540899813</v>
      </c>
      <c r="Y307" s="179">
        <f t="shared" si="128"/>
        <v>152.85999357937288</v>
      </c>
      <c r="Z307" s="74"/>
      <c r="AA307" s="84">
        <f t="shared" si="129"/>
        <v>-369599.95558445901</v>
      </c>
      <c r="AB307" s="132">
        <f t="shared" si="130"/>
        <v>-96.501293886281729</v>
      </c>
      <c r="AD307" s="180">
        <v>385554.64346689469</v>
      </c>
      <c r="AE307" s="187">
        <v>323141.90220179461</v>
      </c>
      <c r="AF307" s="187">
        <v>261522.30901274306</v>
      </c>
      <c r="AG307" s="187">
        <v>199513.69367336194</v>
      </c>
      <c r="AH307" s="188">
        <v>138324.85090287021</v>
      </c>
      <c r="AJ307" s="74">
        <f t="shared" si="131"/>
        <v>6995463.6162943961</v>
      </c>
      <c r="AK307" s="74">
        <f t="shared" si="132"/>
        <v>291631.58139999991</v>
      </c>
      <c r="AL307" s="74">
        <f t="shared" si="133"/>
        <v>14943666.851114433</v>
      </c>
      <c r="AM307" s="74">
        <f t="shared" si="134"/>
        <v>23001952.291483738</v>
      </c>
      <c r="AN307" s="74">
        <f t="shared" si="135"/>
        <v>385554.64346689469</v>
      </c>
      <c r="AO307" s="74">
        <f t="shared" si="136"/>
        <v>323141.90220179461</v>
      </c>
      <c r="AP307" s="74">
        <f t="shared" si="137"/>
        <v>261522.30901274306</v>
      </c>
      <c r="AQ307" s="74">
        <f t="shared" si="138"/>
        <v>199513.69367336194</v>
      </c>
      <c r="AR307" s="74">
        <f t="shared" si="139"/>
        <v>138324.85090287021</v>
      </c>
      <c r="AS307" s="75">
        <v>1373</v>
      </c>
      <c r="AT307" s="75"/>
      <c r="AU307" s="75"/>
      <c r="AV307" s="75">
        <v>29</v>
      </c>
      <c r="AW307" s="75">
        <v>13412.197155713015</v>
      </c>
      <c r="AX307" s="75">
        <v>-1640.1909858576389</v>
      </c>
      <c r="AY307" s="75">
        <v>1888.0813395385094</v>
      </c>
      <c r="AZ307" s="316"/>
      <c r="BA307" s="74"/>
      <c r="BB307" s="74"/>
      <c r="BC307" s="74"/>
      <c r="BD307" s="74"/>
      <c r="BE307" s="74"/>
      <c r="BF307" s="74"/>
      <c r="BG307" s="74"/>
      <c r="BM307" s="316"/>
      <c r="BN307" s="74">
        <v>10719647.708516262</v>
      </c>
      <c r="BO307" s="74">
        <v>21699877.319999997</v>
      </c>
      <c r="BP307" s="74">
        <v>24931000</v>
      </c>
      <c r="BQ307" s="74">
        <v>445924.78</v>
      </c>
      <c r="BR307" s="74">
        <v>490000</v>
      </c>
      <c r="BS307" s="406">
        <f t="shared" si="140"/>
        <v>0.61511509104643336</v>
      </c>
      <c r="BT307" s="406">
        <f t="shared" si="141"/>
        <v>0.33333333333333326</v>
      </c>
      <c r="BU307" s="74">
        <f t="shared" si="142"/>
        <v>17546737.587732047</v>
      </c>
      <c r="BV307" s="316"/>
      <c r="BW307" s="74">
        <v>33721600</v>
      </c>
      <c r="BX307" s="74">
        <v>10719647.708516262</v>
      </c>
      <c r="BY307" s="74">
        <v>13567192.145553285</v>
      </c>
      <c r="BZ307" s="74">
        <v>6280096.9478588877</v>
      </c>
      <c r="CA307" s="74">
        <f t="shared" si="143"/>
        <v>714989.39707910339</v>
      </c>
      <c r="CB307" s="74">
        <f t="shared" si="144"/>
        <v>152.85999357937439</v>
      </c>
      <c r="CC307" s="74">
        <f t="shared" si="145"/>
        <v>56.358699693091012</v>
      </c>
      <c r="CD307" s="74">
        <f t="shared" si="146"/>
        <v>-96.501293886283378</v>
      </c>
      <c r="CE307" s="74">
        <f t="shared" si="147"/>
        <v>84.371253838588387</v>
      </c>
      <c r="CF307" s="74">
        <f t="shared" si="148"/>
        <v>68.282587209593203</v>
      </c>
      <c r="CG307" s="74">
        <f t="shared" si="149"/>
        <v>52.092348217587691</v>
      </c>
      <c r="CH307" s="74">
        <f t="shared" si="150"/>
        <v>36.116149060801341</v>
      </c>
      <c r="CI307" s="74">
        <f t="shared" si="151"/>
        <v>323141.90220179351</v>
      </c>
      <c r="CJ307" s="74">
        <f t="shared" si="152"/>
        <v>261522.30901274196</v>
      </c>
      <c r="CK307" s="74">
        <f t="shared" si="153"/>
        <v>199513.69367336086</v>
      </c>
      <c r="CL307" s="74">
        <f t="shared" si="154"/>
        <v>138324.85090286913</v>
      </c>
      <c r="CM307" s="316"/>
      <c r="CN307" s="74">
        <v>11637.384899259798</v>
      </c>
      <c r="CO307" s="74">
        <v>949.49817199999995</v>
      </c>
    </row>
    <row r="308" spans="1:93" x14ac:dyDescent="0.2">
      <c r="A308" s="74">
        <v>977</v>
      </c>
      <c r="B308" s="74" t="s">
        <v>424</v>
      </c>
      <c r="C308" s="74">
        <v>17</v>
      </c>
      <c r="D308" s="74">
        <v>15357</v>
      </c>
      <c r="E308" s="89">
        <v>49314344.723292775</v>
      </c>
      <c r="F308" s="74">
        <v>25959982.369629528</v>
      </c>
      <c r="G308" s="74">
        <v>5285356.0374999996</v>
      </c>
      <c r="H308" s="74">
        <v>2629048.81</v>
      </c>
      <c r="I308" s="74">
        <v>15719974.338332841</v>
      </c>
      <c r="J308" s="74">
        <v>2427978.4266392263</v>
      </c>
      <c r="K308" s="74">
        <v>20025.058790852534</v>
      </c>
      <c r="L308" s="74">
        <v>360620</v>
      </c>
      <c r="M308" s="75">
        <v>-406800</v>
      </c>
      <c r="N308" s="75">
        <v>134261.40049309022</v>
      </c>
      <c r="O308" s="178">
        <f t="shared" si="125"/>
        <v>2816101.7180927619</v>
      </c>
      <c r="P308" s="179">
        <f t="shared" si="126"/>
        <v>183.37577118530714</v>
      </c>
      <c r="Q308" s="74"/>
      <c r="R308" s="89">
        <v>109682314.39</v>
      </c>
      <c r="S308" s="74">
        <v>54934088.841967016</v>
      </c>
      <c r="T308" s="74">
        <v>3943573.2149999999</v>
      </c>
      <c r="U308" s="74">
        <v>39865368.86434558</v>
      </c>
      <c r="V308" s="74">
        <v>8097636.1580345966</v>
      </c>
      <c r="W308" s="74">
        <v>5239176.0374999996</v>
      </c>
      <c r="X308" s="178">
        <f t="shared" si="127"/>
        <v>2397528.7268471867</v>
      </c>
      <c r="Y308" s="179">
        <f t="shared" si="128"/>
        <v>156.11960193053244</v>
      </c>
      <c r="Z308" s="74"/>
      <c r="AA308" s="84">
        <f t="shared" si="129"/>
        <v>418572.99124557525</v>
      </c>
      <c r="AB308" s="132">
        <f t="shared" si="130"/>
        <v>27.256169254774711</v>
      </c>
      <c r="AD308" s="180">
        <v>-354600.10826635262</v>
      </c>
      <c r="AE308" s="187">
        <v>-144144.01625803459</v>
      </c>
      <c r="AF308" s="187">
        <v>27355.321566069</v>
      </c>
      <c r="AG308" s="187">
        <v>9076.8213658403165</v>
      </c>
      <c r="AH308" s="188">
        <v>-5914.6690849276183</v>
      </c>
      <c r="AJ308" s="74">
        <f t="shared" si="131"/>
        <v>28974106.472337488</v>
      </c>
      <c r="AK308" s="74">
        <f t="shared" si="132"/>
        <v>1314524.4049999998</v>
      </c>
      <c r="AL308" s="74">
        <f t="shared" si="133"/>
        <v>24145394.526012741</v>
      </c>
      <c r="AM308" s="74">
        <f t="shared" si="134"/>
        <v>60367969.666707225</v>
      </c>
      <c r="AN308" s="74">
        <f t="shared" si="135"/>
        <v>-354600.10826635262</v>
      </c>
      <c r="AO308" s="74">
        <f t="shared" si="136"/>
        <v>-144144.01625803459</v>
      </c>
      <c r="AP308" s="74">
        <f t="shared" si="137"/>
        <v>27355.321566069</v>
      </c>
      <c r="AQ308" s="74">
        <f t="shared" si="138"/>
        <v>9076.8213658403165</v>
      </c>
      <c r="AR308" s="74">
        <f t="shared" si="139"/>
        <v>-5914.6690849276183</v>
      </c>
      <c r="AS308" s="75">
        <v>5435</v>
      </c>
      <c r="AT308" s="75"/>
      <c r="AU308" s="75"/>
      <c r="AV308" s="75">
        <v>386</v>
      </c>
      <c r="AW308" s="75">
        <v>19738.771091002502</v>
      </c>
      <c r="AX308" s="75">
        <v>-4845.2091098755427</v>
      </c>
      <c r="AY308" s="75">
        <v>5669.6577313953703</v>
      </c>
      <c r="AZ308" s="316"/>
      <c r="BA308" s="74"/>
      <c r="BB308" s="74"/>
      <c r="BC308" s="74"/>
      <c r="BD308" s="74"/>
      <c r="BE308" s="74"/>
      <c r="BF308" s="74"/>
      <c r="BG308" s="74"/>
      <c r="BM308" s="316"/>
      <c r="BN308" s="74">
        <v>49314344.723292775</v>
      </c>
      <c r="BO308" s="74">
        <v>55918012.919999994</v>
      </c>
      <c r="BP308" s="74">
        <v>58191000</v>
      </c>
      <c r="BQ308" s="74">
        <v>2625135.9700000002</v>
      </c>
      <c r="BR308" s="74">
        <v>2995000</v>
      </c>
      <c r="BS308" s="406">
        <f t="shared" si="140"/>
        <v>0.52743400469769242</v>
      </c>
      <c r="BT308" s="406">
        <f t="shared" si="141"/>
        <v>0.33333333333333326</v>
      </c>
      <c r="BU308" s="74">
        <f t="shared" si="142"/>
        <v>29835077.316198956</v>
      </c>
      <c r="BV308" s="316"/>
      <c r="BW308" s="74">
        <v>109682314.39</v>
      </c>
      <c r="BX308" s="74">
        <v>49314344.723292775</v>
      </c>
      <c r="BY308" s="74">
        <v>64163018.094467022</v>
      </c>
      <c r="BZ308" s="74">
        <v>33874387.217129529</v>
      </c>
      <c r="CA308" s="74">
        <f t="shared" si="143"/>
        <v>20025.05879084699</v>
      </c>
      <c r="CB308" s="74">
        <f t="shared" si="144"/>
        <v>156.11960193053304</v>
      </c>
      <c r="CC308" s="74">
        <f t="shared" si="145"/>
        <v>183.37577118530675</v>
      </c>
      <c r="CD308" s="74">
        <f t="shared" si="146"/>
        <v>27.25616925477371</v>
      </c>
      <c r="CE308" s="74">
        <f t="shared" si="147"/>
        <v>-9.3862093024687052</v>
      </c>
      <c r="CF308" s="74">
        <f t="shared" si="148"/>
        <v>1.7812933233098263</v>
      </c>
      <c r="CG308" s="74">
        <f t="shared" si="149"/>
        <v>0.59105433130431184</v>
      </c>
      <c r="CH308" s="74">
        <f t="shared" si="150"/>
        <v>-0.38514482548203544</v>
      </c>
      <c r="CI308" s="74">
        <f t="shared" si="151"/>
        <v>-144144.01625801189</v>
      </c>
      <c r="CJ308" s="74">
        <f t="shared" si="152"/>
        <v>27355.321566069</v>
      </c>
      <c r="CK308" s="74">
        <f t="shared" si="153"/>
        <v>9076.8213658403165</v>
      </c>
      <c r="CL308" s="74">
        <f t="shared" si="154"/>
        <v>-5914.6690849276183</v>
      </c>
      <c r="CM308" s="316"/>
      <c r="CN308" s="74">
        <v>56844.240988343343</v>
      </c>
      <c r="CO308" s="74">
        <v>4279.8468999999996</v>
      </c>
    </row>
    <row r="309" spans="1:93" x14ac:dyDescent="0.2">
      <c r="A309" s="74">
        <v>980</v>
      </c>
      <c r="B309" s="74" t="s">
        <v>425</v>
      </c>
      <c r="C309" s="74">
        <v>6</v>
      </c>
      <c r="D309" s="74">
        <v>33533</v>
      </c>
      <c r="E309" s="89">
        <v>94254020.111974791</v>
      </c>
      <c r="F309" s="74">
        <v>50960912.319599137</v>
      </c>
      <c r="G309" s="74">
        <v>7561771.8397000004</v>
      </c>
      <c r="H309" s="74">
        <v>6409679.2182</v>
      </c>
      <c r="I309" s="74">
        <v>27376060.485725213</v>
      </c>
      <c r="J309" s="74">
        <v>4352589.7738343459</v>
      </c>
      <c r="K309" s="74">
        <v>-434704.46374581836</v>
      </c>
      <c r="L309" s="74">
        <v>-3582915</v>
      </c>
      <c r="M309" s="75">
        <v>303500</v>
      </c>
      <c r="N309" s="75">
        <v>357092.53685994633</v>
      </c>
      <c r="O309" s="178">
        <f t="shared" si="125"/>
        <v>-950033.40180195868</v>
      </c>
      <c r="P309" s="179">
        <f t="shared" si="126"/>
        <v>-28.331297581545304</v>
      </c>
      <c r="Q309" s="74"/>
      <c r="R309" s="89">
        <v>200913917.72</v>
      </c>
      <c r="S309" s="74">
        <v>128314178.00569591</v>
      </c>
      <c r="T309" s="74">
        <v>9614518.8272999991</v>
      </c>
      <c r="U309" s="74">
        <v>41901095.010995068</v>
      </c>
      <c r="V309" s="74">
        <v>14516475.083544798</v>
      </c>
      <c r="W309" s="74">
        <v>4282356.8397000004</v>
      </c>
      <c r="X309" s="178">
        <f t="shared" si="127"/>
        <v>-2285293.9527642429</v>
      </c>
      <c r="Y309" s="179">
        <f t="shared" si="128"/>
        <v>-68.150596509833392</v>
      </c>
      <c r="Z309" s="74"/>
      <c r="AA309" s="84">
        <f t="shared" si="129"/>
        <v>1335260.5509622842</v>
      </c>
      <c r="AB309" s="132">
        <f t="shared" si="130"/>
        <v>39.819298928288077</v>
      </c>
      <c r="AD309" s="180">
        <v>-1195571.6348365303</v>
      </c>
      <c r="AE309" s="187">
        <v>-736027.18388159573</v>
      </c>
      <c r="AF309" s="187">
        <v>-269538.44195169111</v>
      </c>
      <c r="AG309" s="187">
        <v>19819.82489162749</v>
      </c>
      <c r="AH309" s="188">
        <v>-12915.061432889095</v>
      </c>
      <c r="AJ309" s="74">
        <f t="shared" si="131"/>
        <v>77353265.686096773</v>
      </c>
      <c r="AK309" s="74">
        <f t="shared" si="132"/>
        <v>3204839.6090999991</v>
      </c>
      <c r="AL309" s="74">
        <f t="shared" si="133"/>
        <v>14525034.525269855</v>
      </c>
      <c r="AM309" s="74">
        <f t="shared" si="134"/>
        <v>106659897.60802521</v>
      </c>
      <c r="AN309" s="74">
        <f t="shared" si="135"/>
        <v>-1195571.6348365303</v>
      </c>
      <c r="AO309" s="74">
        <f t="shared" si="136"/>
        <v>-736027.18388159573</v>
      </c>
      <c r="AP309" s="74">
        <f t="shared" si="137"/>
        <v>-269538.44195169111</v>
      </c>
      <c r="AQ309" s="74">
        <f t="shared" si="138"/>
        <v>19819.82489162749</v>
      </c>
      <c r="AR309" s="74">
        <f t="shared" si="139"/>
        <v>-12915.061432889095</v>
      </c>
      <c r="AS309" s="75">
        <v>10873</v>
      </c>
      <c r="AT309" s="75"/>
      <c r="AU309" s="75"/>
      <c r="AV309" s="75">
        <v>76</v>
      </c>
      <c r="AW309" s="75">
        <v>14977.736047192648</v>
      </c>
      <c r="AX309" s="75">
        <v>-607.30436704178544</v>
      </c>
      <c r="AY309" s="75">
        <v>10163.885309710453</v>
      </c>
      <c r="AZ309" s="316"/>
      <c r="BA309" s="74"/>
      <c r="BB309" s="74"/>
      <c r="BC309" s="74"/>
      <c r="BD309" s="74"/>
      <c r="BE309" s="74"/>
      <c r="BF309" s="74"/>
      <c r="BG309" s="74"/>
      <c r="BM309" s="316"/>
      <c r="BN309" s="74">
        <v>94254020.111974791</v>
      </c>
      <c r="BO309" s="74">
        <v>100355065.53999998</v>
      </c>
      <c r="BP309" s="74">
        <v>108209000</v>
      </c>
      <c r="BQ309" s="74">
        <v>2545803.9500000002</v>
      </c>
      <c r="BR309" s="74">
        <v>2615000</v>
      </c>
      <c r="BS309" s="406">
        <f t="shared" si="140"/>
        <v>0.60284270131600759</v>
      </c>
      <c r="BT309" s="406">
        <f t="shared" si="141"/>
        <v>0.33333333333333326</v>
      </c>
      <c r="BU309" s="74">
        <f t="shared" si="142"/>
        <v>24254215.371234491</v>
      </c>
      <c r="BV309" s="316"/>
      <c r="BW309" s="74">
        <v>200913917.72</v>
      </c>
      <c r="BX309" s="74">
        <v>94254020.111974791</v>
      </c>
      <c r="BY309" s="74">
        <v>145490468.67269593</v>
      </c>
      <c r="BZ309" s="74">
        <v>64932363.377499133</v>
      </c>
      <c r="CA309" s="74">
        <f t="shared" si="143"/>
        <v>-434704.46374581975</v>
      </c>
      <c r="CB309" s="74">
        <f t="shared" si="144"/>
        <v>-68.15059650983288</v>
      </c>
      <c r="CC309" s="74">
        <f t="shared" si="145"/>
        <v>-28.331297581545705</v>
      </c>
      <c r="CD309" s="74">
        <f t="shared" si="146"/>
        <v>39.819298928287175</v>
      </c>
      <c r="CE309" s="74">
        <f t="shared" si="147"/>
        <v>-21.949338975982169</v>
      </c>
      <c r="CF309" s="74">
        <f t="shared" si="148"/>
        <v>-8.0380056049773483</v>
      </c>
      <c r="CG309" s="74">
        <f t="shared" si="149"/>
        <v>0.59105433130431184</v>
      </c>
      <c r="CH309" s="74">
        <f t="shared" si="150"/>
        <v>-0.38514482548203544</v>
      </c>
      <c r="CI309" s="74">
        <f t="shared" si="151"/>
        <v>-736027.18388161005</v>
      </c>
      <c r="CJ309" s="74">
        <f t="shared" si="152"/>
        <v>-269538.44195170543</v>
      </c>
      <c r="CK309" s="74">
        <f t="shared" si="153"/>
        <v>19819.82489162749</v>
      </c>
      <c r="CL309" s="74">
        <f t="shared" si="154"/>
        <v>-12915.061432889095</v>
      </c>
      <c r="CM309" s="316"/>
      <c r="CN309" s="74">
        <v>135261.45998382036</v>
      </c>
      <c r="CO309" s="74">
        <v>10434.361518</v>
      </c>
    </row>
    <row r="310" spans="1:93" x14ac:dyDescent="0.2">
      <c r="A310" s="74">
        <v>981</v>
      </c>
      <c r="B310" s="74" t="s">
        <v>426</v>
      </c>
      <c r="C310" s="74">
        <v>5</v>
      </c>
      <c r="D310" s="74">
        <v>2282</v>
      </c>
      <c r="E310" s="89">
        <v>5717435.5999875311</v>
      </c>
      <c r="F310" s="74">
        <v>3479123.5329893893</v>
      </c>
      <c r="G310" s="74">
        <v>554284.19499999995</v>
      </c>
      <c r="H310" s="74">
        <v>220380.848</v>
      </c>
      <c r="I310" s="74">
        <v>1057193.142564232</v>
      </c>
      <c r="J310" s="74">
        <v>496713.59426232381</v>
      </c>
      <c r="K310" s="74">
        <v>455638.53422491642</v>
      </c>
      <c r="L310" s="74">
        <v>-529170</v>
      </c>
      <c r="M310" s="75">
        <v>2600</v>
      </c>
      <c r="N310" s="75">
        <v>19657.674432622458</v>
      </c>
      <c r="O310" s="178">
        <f t="shared" si="125"/>
        <v>38985.921485953033</v>
      </c>
      <c r="P310" s="179">
        <f t="shared" si="126"/>
        <v>17.084102316368551</v>
      </c>
      <c r="Q310" s="74"/>
      <c r="R310" s="89">
        <v>14204800</v>
      </c>
      <c r="S310" s="74">
        <v>7803595.9578043679</v>
      </c>
      <c r="T310" s="74">
        <v>330571.272</v>
      </c>
      <c r="U310" s="74">
        <v>4647657.8413396757</v>
      </c>
      <c r="V310" s="74">
        <v>1656606.9603235316</v>
      </c>
      <c r="W310" s="74">
        <v>27714.194999999949</v>
      </c>
      <c r="X310" s="178">
        <f t="shared" si="127"/>
        <v>261346.22646757588</v>
      </c>
      <c r="Y310" s="179">
        <f t="shared" si="128"/>
        <v>114.52507733022607</v>
      </c>
      <c r="Z310" s="74"/>
      <c r="AA310" s="84">
        <f t="shared" si="129"/>
        <v>-222360.30498162284</v>
      </c>
      <c r="AB310" s="132">
        <f t="shared" si="130"/>
        <v>-97.440975013857511</v>
      </c>
      <c r="AD310" s="180">
        <v>231866.46627345087</v>
      </c>
      <c r="AE310" s="187">
        <v>194679.5535927829</v>
      </c>
      <c r="AF310" s="187">
        <v>157965.21634541589</v>
      </c>
      <c r="AG310" s="187">
        <v>121019.09096565931</v>
      </c>
      <c r="AH310" s="188">
        <v>84561.404489872861</v>
      </c>
      <c r="AJ310" s="74">
        <f t="shared" si="131"/>
        <v>4324472.4248149786</v>
      </c>
      <c r="AK310" s="74">
        <f t="shared" si="132"/>
        <v>110190.424</v>
      </c>
      <c r="AL310" s="74">
        <f t="shared" si="133"/>
        <v>3590464.6987754437</v>
      </c>
      <c r="AM310" s="74">
        <f t="shared" si="134"/>
        <v>8487364.4000124689</v>
      </c>
      <c r="AN310" s="74">
        <f t="shared" si="135"/>
        <v>231866.46627345087</v>
      </c>
      <c r="AO310" s="74">
        <f t="shared" si="136"/>
        <v>194679.5535927829</v>
      </c>
      <c r="AP310" s="74">
        <f t="shared" si="137"/>
        <v>157965.21634541589</v>
      </c>
      <c r="AQ310" s="74">
        <f t="shared" si="138"/>
        <v>121019.09096565931</v>
      </c>
      <c r="AR310" s="74">
        <f t="shared" si="139"/>
        <v>84561.404489872861</v>
      </c>
      <c r="AS310" s="75">
        <v>651</v>
      </c>
      <c r="AT310" s="75"/>
      <c r="AU310" s="75"/>
      <c r="AV310" s="75">
        <v>148</v>
      </c>
      <c r="AW310" s="75">
        <v>2822.5743284472451</v>
      </c>
      <c r="AX310" s="75">
        <v>-850.27913534556308</v>
      </c>
      <c r="AY310" s="75">
        <v>1159.8933660612079</v>
      </c>
      <c r="AZ310" s="316"/>
      <c r="BA310" s="74"/>
      <c r="BB310" s="74"/>
      <c r="BC310" s="74"/>
      <c r="BD310" s="74"/>
      <c r="BE310" s="74"/>
      <c r="BF310" s="74"/>
      <c r="BG310" s="74"/>
      <c r="BM310" s="316"/>
      <c r="BN310" s="74">
        <v>5717435.5999875311</v>
      </c>
      <c r="BO310" s="74">
        <v>7817930.1799999997</v>
      </c>
      <c r="BP310" s="74">
        <v>8006000</v>
      </c>
      <c r="BQ310" s="74">
        <v>130738.73000000001</v>
      </c>
      <c r="BR310" s="74">
        <v>157000</v>
      </c>
      <c r="BS310" s="406">
        <f t="shared" si="140"/>
        <v>0.5541640607994418</v>
      </c>
      <c r="BT310" s="406">
        <f t="shared" si="141"/>
        <v>0.33333333333333337</v>
      </c>
      <c r="BU310" s="74">
        <f t="shared" si="142"/>
        <v>5205996.5990615673</v>
      </c>
      <c r="BV310" s="316"/>
      <c r="BW310" s="74">
        <v>14204800</v>
      </c>
      <c r="BX310" s="74">
        <v>5717435.5999875311</v>
      </c>
      <c r="BY310" s="74">
        <v>8688451.4248043671</v>
      </c>
      <c r="BZ310" s="74">
        <v>4253788.5759893889</v>
      </c>
      <c r="CA310" s="74">
        <f t="shared" si="143"/>
        <v>455638.53422491503</v>
      </c>
      <c r="CB310" s="74">
        <f t="shared" si="144"/>
        <v>114.52507733022571</v>
      </c>
      <c r="CC310" s="74">
        <f t="shared" si="145"/>
        <v>17.08410231636779</v>
      </c>
      <c r="CD310" s="74">
        <f t="shared" si="146"/>
        <v>-97.440975013857923</v>
      </c>
      <c r="CE310" s="74">
        <f t="shared" si="147"/>
        <v>85.310934966162932</v>
      </c>
      <c r="CF310" s="74">
        <f t="shared" si="148"/>
        <v>69.222268337167748</v>
      </c>
      <c r="CG310" s="74">
        <f t="shared" si="149"/>
        <v>53.032029345162236</v>
      </c>
      <c r="CH310" s="74">
        <f t="shared" si="150"/>
        <v>37.055830188375886</v>
      </c>
      <c r="CI310" s="74">
        <f t="shared" si="151"/>
        <v>194679.55359278381</v>
      </c>
      <c r="CJ310" s="74">
        <f t="shared" si="152"/>
        <v>157965.21634541679</v>
      </c>
      <c r="CK310" s="74">
        <f t="shared" si="153"/>
        <v>121019.09096566022</v>
      </c>
      <c r="CL310" s="74">
        <f t="shared" si="154"/>
        <v>84561.404489873777</v>
      </c>
      <c r="CM310" s="316"/>
      <c r="CN310" s="74">
        <v>8159.5697529957888</v>
      </c>
      <c r="CO310" s="74">
        <v>358.75952000000001</v>
      </c>
    </row>
    <row r="311" spans="1:93" x14ac:dyDescent="0.2">
      <c r="A311" s="74">
        <v>989</v>
      </c>
      <c r="B311" s="74" t="s">
        <v>427</v>
      </c>
      <c r="C311" s="74">
        <v>14</v>
      </c>
      <c r="D311" s="74">
        <v>5484</v>
      </c>
      <c r="E311" s="89">
        <v>13380604.664700221</v>
      </c>
      <c r="F311" s="74">
        <v>8575959.3970143702</v>
      </c>
      <c r="G311" s="74">
        <v>2123592.1659999997</v>
      </c>
      <c r="H311" s="74">
        <v>1307078.9206000001</v>
      </c>
      <c r="I311" s="74">
        <v>2871127.9170205249</v>
      </c>
      <c r="J311" s="74">
        <v>1136445.637158927</v>
      </c>
      <c r="K311" s="74">
        <v>-856359.96821526811</v>
      </c>
      <c r="L311" s="74">
        <v>-386114</v>
      </c>
      <c r="M311" s="75">
        <v>489000</v>
      </c>
      <c r="N311" s="75">
        <v>47706.502810410115</v>
      </c>
      <c r="O311" s="178">
        <f t="shared" si="125"/>
        <v>1927831.9076887425</v>
      </c>
      <c r="P311" s="179">
        <f t="shared" si="126"/>
        <v>351.53754698919448</v>
      </c>
      <c r="Q311" s="74"/>
      <c r="R311" s="89">
        <v>41984300</v>
      </c>
      <c r="S311" s="74">
        <v>18684743.648267943</v>
      </c>
      <c r="T311" s="74">
        <v>1960618.3809</v>
      </c>
      <c r="U311" s="74">
        <v>16713543.558423888</v>
      </c>
      <c r="V311" s="74">
        <v>3790199.7736597676</v>
      </c>
      <c r="W311" s="74">
        <v>2226478.1659999997</v>
      </c>
      <c r="X311" s="178">
        <f t="shared" si="127"/>
        <v>1391283.5272516012</v>
      </c>
      <c r="Y311" s="179">
        <f t="shared" si="128"/>
        <v>253.69867382414319</v>
      </c>
      <c r="Z311" s="74"/>
      <c r="AA311" s="84">
        <f t="shared" si="129"/>
        <v>536548.38043714128</v>
      </c>
      <c r="AB311" s="132">
        <f t="shared" si="130"/>
        <v>97.838873165051297</v>
      </c>
      <c r="AD311" s="180">
        <v>-513703.60018982855</v>
      </c>
      <c r="AE311" s="187">
        <v>-438549.52005870809</v>
      </c>
      <c r="AF311" s="187">
        <v>-362259.76785211771</v>
      </c>
      <c r="AG311" s="187">
        <v>-286527.03848427592</v>
      </c>
      <c r="AH311" s="188">
        <v>-209620.51466009227</v>
      </c>
      <c r="AJ311" s="74">
        <f t="shared" si="131"/>
        <v>10108784.251253573</v>
      </c>
      <c r="AK311" s="74">
        <f t="shared" si="132"/>
        <v>653539.46029999992</v>
      </c>
      <c r="AL311" s="74">
        <f t="shared" si="133"/>
        <v>13842415.641403362</v>
      </c>
      <c r="AM311" s="74">
        <f t="shared" si="134"/>
        <v>28603695.335299779</v>
      </c>
      <c r="AN311" s="74">
        <f t="shared" si="135"/>
        <v>-513703.60018982855</v>
      </c>
      <c r="AO311" s="74">
        <f t="shared" si="136"/>
        <v>-438549.52005870809</v>
      </c>
      <c r="AP311" s="74">
        <f t="shared" si="137"/>
        <v>-362259.76785211771</v>
      </c>
      <c r="AQ311" s="74">
        <f t="shared" si="138"/>
        <v>-286527.03848427592</v>
      </c>
      <c r="AR311" s="74">
        <f t="shared" si="139"/>
        <v>-209620.51466009227</v>
      </c>
      <c r="AS311" s="75">
        <v>2719</v>
      </c>
      <c r="AT311" s="75"/>
      <c r="AU311" s="75"/>
      <c r="AV311" s="75">
        <v>0</v>
      </c>
      <c r="AW311" s="75">
        <v>11692.20720186049</v>
      </c>
      <c r="AX311" s="75">
        <v>-2118.2294114655529</v>
      </c>
      <c r="AY311" s="75">
        <v>2653.7541365008406</v>
      </c>
      <c r="AZ311" s="316"/>
      <c r="BA311" s="74"/>
      <c r="BB311" s="74"/>
      <c r="BC311" s="74"/>
      <c r="BD311" s="74"/>
      <c r="BE311" s="74"/>
      <c r="BF311" s="74"/>
      <c r="BG311" s="74"/>
      <c r="BM311" s="316"/>
      <c r="BN311" s="74">
        <v>13380604.664700221</v>
      </c>
      <c r="BO311" s="74">
        <v>27342237.899999999</v>
      </c>
      <c r="BP311" s="74">
        <v>27582000</v>
      </c>
      <c r="BQ311" s="74">
        <v>558733.03</v>
      </c>
      <c r="BR311" s="74">
        <v>580000</v>
      </c>
      <c r="BS311" s="406">
        <f t="shared" si="140"/>
        <v>0.54101808628188741</v>
      </c>
      <c r="BT311" s="406">
        <f t="shared" si="141"/>
        <v>0.33333333333333326</v>
      </c>
      <c r="BU311" s="74">
        <f t="shared" si="142"/>
        <v>15639809.809688937</v>
      </c>
      <c r="BV311" s="316"/>
      <c r="BW311" s="74">
        <v>41984300</v>
      </c>
      <c r="BX311" s="74">
        <v>13380604.664700221</v>
      </c>
      <c r="BY311" s="74">
        <v>22768954.195167944</v>
      </c>
      <c r="BZ311" s="74">
        <v>12006630.48361437</v>
      </c>
      <c r="CA311" s="74">
        <f t="shared" si="143"/>
        <v>-856359.96821526962</v>
      </c>
      <c r="CB311" s="74">
        <f t="shared" si="144"/>
        <v>253.69867382414259</v>
      </c>
      <c r="CC311" s="74">
        <f t="shared" si="145"/>
        <v>351.5375469891942</v>
      </c>
      <c r="CD311" s="74">
        <f t="shared" si="146"/>
        <v>97.838873165051609</v>
      </c>
      <c r="CE311" s="74">
        <f t="shared" si="147"/>
        <v>-79.9689132127466</v>
      </c>
      <c r="CF311" s="74">
        <f t="shared" si="148"/>
        <v>-66.057579841741784</v>
      </c>
      <c r="CG311" s="74">
        <f t="shared" si="149"/>
        <v>-52.247818833747296</v>
      </c>
      <c r="CH311" s="74">
        <f t="shared" si="150"/>
        <v>-38.224017990533646</v>
      </c>
      <c r="CI311" s="74">
        <f t="shared" si="151"/>
        <v>-438549.52005870233</v>
      </c>
      <c r="CJ311" s="74">
        <f t="shared" si="152"/>
        <v>-362259.76785211195</v>
      </c>
      <c r="CK311" s="74">
        <f t="shared" si="153"/>
        <v>-286527.03848427016</v>
      </c>
      <c r="CL311" s="74">
        <f t="shared" si="154"/>
        <v>-209620.51466008651</v>
      </c>
      <c r="CM311" s="316"/>
      <c r="CN311" s="74">
        <v>18771.419136907469</v>
      </c>
      <c r="CO311" s="74">
        <v>2127.8028940000004</v>
      </c>
    </row>
    <row r="312" spans="1:93" x14ac:dyDescent="0.2">
      <c r="A312" s="74">
        <v>992</v>
      </c>
      <c r="B312" s="74" t="s">
        <v>428</v>
      </c>
      <c r="C312" s="74">
        <v>13</v>
      </c>
      <c r="D312" s="74">
        <v>18318</v>
      </c>
      <c r="E312" s="89">
        <v>55330381.301385507</v>
      </c>
      <c r="F312" s="74">
        <v>27984228.714568701</v>
      </c>
      <c r="G312" s="74">
        <v>5691180.8820000002</v>
      </c>
      <c r="H312" s="74">
        <v>4515390.0444</v>
      </c>
      <c r="I312" s="74">
        <v>7098191.6527438089</v>
      </c>
      <c r="J312" s="74">
        <v>3009346.7931716815</v>
      </c>
      <c r="K312" s="74">
        <v>3464287.3897799039</v>
      </c>
      <c r="L312" s="74">
        <v>-844774</v>
      </c>
      <c r="M312" s="75">
        <v>1170000</v>
      </c>
      <c r="N312" s="75">
        <v>176613.77285253091</v>
      </c>
      <c r="O312" s="178">
        <f t="shared" si="125"/>
        <v>-3065916.0518688858</v>
      </c>
      <c r="P312" s="179">
        <f t="shared" si="126"/>
        <v>-167.3717683081606</v>
      </c>
      <c r="Q312" s="74"/>
      <c r="R312" s="89">
        <v>131254887</v>
      </c>
      <c r="S312" s="74">
        <v>65569626.004366018</v>
      </c>
      <c r="T312" s="74">
        <v>6773085.0666000005</v>
      </c>
      <c r="U312" s="74">
        <v>43142538.09252622</v>
      </c>
      <c r="V312" s="74">
        <v>10036578.223713107</v>
      </c>
      <c r="W312" s="74">
        <v>6016406.8820000002</v>
      </c>
      <c r="X312" s="178">
        <f t="shared" si="127"/>
        <v>283347.2692053467</v>
      </c>
      <c r="Y312" s="179">
        <f t="shared" si="128"/>
        <v>15.468242668705464</v>
      </c>
      <c r="Z312" s="74"/>
      <c r="AA312" s="84">
        <f t="shared" si="129"/>
        <v>-3349263.3210742325</v>
      </c>
      <c r="AB312" s="132">
        <f t="shared" si="130"/>
        <v>-182.84001097686607</v>
      </c>
      <c r="AD312" s="180">
        <v>3425570.8857296468</v>
      </c>
      <c r="AE312" s="187">
        <v>3127065.2474805336</v>
      </c>
      <c r="AF312" s="187">
        <v>2832353.0521705998</v>
      </c>
      <c r="AG312" s="187">
        <v>2535780.2543150429</v>
      </c>
      <c r="AH312" s="188">
        <v>2243128.2381610302</v>
      </c>
      <c r="AJ312" s="74">
        <f t="shared" si="131"/>
        <v>37585397.289797321</v>
      </c>
      <c r="AK312" s="74">
        <f t="shared" si="132"/>
        <v>2257695.0222000005</v>
      </c>
      <c r="AL312" s="74">
        <f t="shared" si="133"/>
        <v>36044346.439782411</v>
      </c>
      <c r="AM312" s="74">
        <f t="shared" si="134"/>
        <v>75924505.698614493</v>
      </c>
      <c r="AN312" s="74">
        <f t="shared" si="135"/>
        <v>3425570.8857296468</v>
      </c>
      <c r="AO312" s="74">
        <f t="shared" si="136"/>
        <v>3127065.2474805336</v>
      </c>
      <c r="AP312" s="74">
        <f t="shared" si="137"/>
        <v>2832353.0521705998</v>
      </c>
      <c r="AQ312" s="74">
        <f t="shared" si="138"/>
        <v>2535780.2543150429</v>
      </c>
      <c r="AR312" s="74">
        <f t="shared" si="139"/>
        <v>2243128.2381610302</v>
      </c>
      <c r="AS312" s="75">
        <v>8954</v>
      </c>
      <c r="AT312" s="75"/>
      <c r="AU312" s="75"/>
      <c r="AV312" s="75">
        <v>9</v>
      </c>
      <c r="AW312" s="75">
        <v>31853.454929527739</v>
      </c>
      <c r="AX312" s="75">
        <v>-3159.1003918996598</v>
      </c>
      <c r="AY312" s="75">
        <v>7027.2314305414257</v>
      </c>
      <c r="AZ312" s="316"/>
      <c r="BA312" s="74"/>
      <c r="BB312" s="74"/>
      <c r="BC312" s="74"/>
      <c r="BD312" s="74"/>
      <c r="BE312" s="74"/>
      <c r="BF312" s="74"/>
      <c r="BG312" s="74"/>
      <c r="BM312" s="316"/>
      <c r="BN312" s="74">
        <v>55330381.301385507</v>
      </c>
      <c r="BO312" s="74">
        <v>74483651.570000008</v>
      </c>
      <c r="BP312" s="74">
        <v>79419000</v>
      </c>
      <c r="BQ312" s="74">
        <v>1694255.04</v>
      </c>
      <c r="BR312" s="74">
        <v>1741000</v>
      </c>
      <c r="BS312" s="406">
        <f t="shared" si="140"/>
        <v>0.5732135377330756</v>
      </c>
      <c r="BT312" s="406">
        <f t="shared" si="141"/>
        <v>0.33333333333333337</v>
      </c>
      <c r="BU312" s="74">
        <f t="shared" si="142"/>
        <v>46535865.26010374</v>
      </c>
      <c r="BV312" s="316"/>
      <c r="BW312" s="74">
        <v>131254887</v>
      </c>
      <c r="BX312" s="74">
        <v>55330381.301385507</v>
      </c>
      <c r="BY312" s="74">
        <v>78033891.95296602</v>
      </c>
      <c r="BZ312" s="74">
        <v>38190799.640968703</v>
      </c>
      <c r="CA312" s="74">
        <f t="shared" si="143"/>
        <v>3464287.389779896</v>
      </c>
      <c r="CB312" s="74">
        <f t="shared" si="144"/>
        <v>15.468242668705516</v>
      </c>
      <c r="CC312" s="74">
        <f t="shared" si="145"/>
        <v>-167.37176830816091</v>
      </c>
      <c r="CD312" s="74">
        <f t="shared" si="146"/>
        <v>-182.84001097686644</v>
      </c>
      <c r="CE312" s="74">
        <f t="shared" si="147"/>
        <v>170.70997092917145</v>
      </c>
      <c r="CF312" s="74">
        <f t="shared" si="148"/>
        <v>154.62130430017626</v>
      </c>
      <c r="CG312" s="74">
        <f t="shared" si="149"/>
        <v>138.43106530817076</v>
      </c>
      <c r="CH312" s="74">
        <f t="shared" si="150"/>
        <v>122.45486615138441</v>
      </c>
      <c r="CI312" s="74">
        <f t="shared" si="151"/>
        <v>3127065.2474805624</v>
      </c>
      <c r="CJ312" s="74">
        <f t="shared" si="152"/>
        <v>2832353.0521706287</v>
      </c>
      <c r="CK312" s="74">
        <f t="shared" si="153"/>
        <v>2535780.2543150717</v>
      </c>
      <c r="CL312" s="74">
        <f t="shared" si="154"/>
        <v>2243128.2381610596</v>
      </c>
      <c r="CM312" s="316"/>
      <c r="CN312" s="74">
        <v>65558.267112780697</v>
      </c>
      <c r="CO312" s="74">
        <v>7350.6349560000008</v>
      </c>
    </row>
    <row r="313" spans="1:93" x14ac:dyDescent="0.2">
      <c r="D313" s="74"/>
      <c r="E313" s="89"/>
      <c r="F313" s="74"/>
      <c r="G313" s="74"/>
      <c r="H313" s="74"/>
      <c r="I313" s="74"/>
      <c r="J313" s="74"/>
      <c r="K313" s="74"/>
      <c r="L313" s="74"/>
      <c r="M313" s="75"/>
      <c r="N313" s="75"/>
      <c r="O313" s="178"/>
      <c r="P313" s="179"/>
      <c r="Q313" s="74"/>
      <c r="R313" s="89"/>
      <c r="S313" s="74"/>
      <c r="T313" s="74"/>
      <c r="U313" s="74"/>
      <c r="V313" s="74"/>
      <c r="W313" s="74"/>
      <c r="X313" s="178"/>
      <c r="Y313" s="179"/>
      <c r="Z313" s="74"/>
      <c r="AA313" s="84"/>
      <c r="AB313" s="132"/>
      <c r="AD313" s="180"/>
      <c r="AE313" s="187"/>
      <c r="AF313" s="187"/>
      <c r="AG313" s="187"/>
      <c r="AH313" s="188"/>
      <c r="AJ313" s="74"/>
      <c r="AK313" s="74"/>
      <c r="AL313" s="74"/>
      <c r="AM313" s="74"/>
      <c r="AN313" s="74"/>
      <c r="AO313" s="74"/>
      <c r="AP313" s="74"/>
      <c r="AQ313" s="74"/>
      <c r="AR313" s="74"/>
      <c r="AS313" s="75"/>
      <c r="AT313" s="129"/>
      <c r="AU313" s="129"/>
      <c r="AV313" s="129"/>
      <c r="AW313" s="129"/>
      <c r="AX313" s="129"/>
      <c r="AY313" s="74"/>
      <c r="AZ313" s="316"/>
      <c r="BA313" s="74"/>
      <c r="BB313" s="74"/>
      <c r="BC313" s="74"/>
      <c r="BD313" s="74"/>
      <c r="BE313" s="74"/>
      <c r="BF313" s="74"/>
      <c r="BG313" s="74"/>
      <c r="BM313" s="316"/>
      <c r="BN313" s="74"/>
      <c r="BO313" s="74"/>
      <c r="BP313" s="74"/>
      <c r="BQ313" s="74"/>
      <c r="BR313" s="74"/>
      <c r="BS313" s="74"/>
      <c r="BT313" s="74"/>
      <c r="BU313" s="74"/>
      <c r="BV313" s="316"/>
      <c r="BW313" s="74"/>
      <c r="BX313" s="74"/>
      <c r="BY313" s="74"/>
      <c r="BZ313" s="74"/>
      <c r="CA313" s="74"/>
      <c r="CB313" s="74"/>
      <c r="CC313" s="74"/>
      <c r="CD313" s="74"/>
      <c r="CE313" s="74"/>
      <c r="CF313" s="74"/>
      <c r="CG313" s="74"/>
      <c r="CH313" s="74"/>
      <c r="CI313" s="74"/>
      <c r="CM313" s="316"/>
    </row>
    <row r="314" spans="1:93" x14ac:dyDescent="0.2">
      <c r="AS314" s="3"/>
      <c r="BN314" s="74"/>
      <c r="BO314" s="74"/>
      <c r="BP314" s="74"/>
      <c r="BQ314" s="74"/>
      <c r="BR314" s="74"/>
      <c r="BS314" s="74"/>
      <c r="BT314" s="74"/>
      <c r="BU314" s="74"/>
      <c r="BV314" s="316"/>
      <c r="BW314" s="74"/>
      <c r="BX314" s="74"/>
      <c r="BY314" s="74"/>
      <c r="BZ314" s="74"/>
      <c r="CA314" s="74"/>
      <c r="CB314" s="74"/>
      <c r="CC314" s="74"/>
      <c r="CD314" s="74"/>
      <c r="CE314" s="74"/>
      <c r="CF314" s="74"/>
      <c r="CG314" s="74"/>
      <c r="CH314" s="74"/>
      <c r="CI314" s="74"/>
      <c r="CM314" s="316"/>
    </row>
    <row r="315" spans="1:93" x14ac:dyDescent="0.2">
      <c r="AS315" s="3"/>
      <c r="BN315" s="74"/>
      <c r="BO315" s="74"/>
      <c r="BP315" s="74"/>
      <c r="BQ315" s="74"/>
      <c r="BR315" s="74"/>
      <c r="BS315" s="74"/>
      <c r="BT315" s="74"/>
      <c r="BU315" s="74"/>
      <c r="BV315" s="316"/>
      <c r="BW315" s="74"/>
      <c r="BX315" s="74"/>
      <c r="BY315" s="74"/>
      <c r="BZ315" s="74"/>
      <c r="CA315" s="74"/>
      <c r="CB315" s="74"/>
      <c r="CC315" s="74"/>
      <c r="CD315" s="74"/>
      <c r="CE315" s="74"/>
      <c r="CF315" s="74"/>
      <c r="CG315" s="74"/>
      <c r="CH315" s="74"/>
      <c r="CI315" s="74"/>
      <c r="CM315" s="316"/>
    </row>
    <row r="316" spans="1:93" x14ac:dyDescent="0.2">
      <c r="AS316" s="3"/>
      <c r="BN316" s="74"/>
      <c r="BO316" s="74"/>
      <c r="BP316" s="74"/>
      <c r="BQ316" s="74"/>
      <c r="BR316" s="74"/>
      <c r="BS316" s="74"/>
      <c r="BT316" s="74"/>
      <c r="BU316" s="74"/>
      <c r="BV316" s="316"/>
      <c r="BW316" s="74"/>
      <c r="BX316" s="74"/>
      <c r="BY316" s="74"/>
      <c r="BZ316" s="74"/>
      <c r="CA316" s="74"/>
      <c r="CB316" s="74"/>
      <c r="CC316" s="74"/>
      <c r="CD316" s="74"/>
      <c r="CE316" s="74"/>
      <c r="CF316" s="74"/>
      <c r="CG316" s="74"/>
      <c r="CH316" s="74"/>
      <c r="CI316" s="74"/>
      <c r="CM316" s="316"/>
    </row>
    <row r="317" spans="1:93" x14ac:dyDescent="0.2">
      <c r="AS317" s="3"/>
    </row>
    <row r="318" spans="1:93" x14ac:dyDescent="0.2">
      <c r="AS318" s="3"/>
    </row>
    <row r="319" spans="1:93" x14ac:dyDescent="0.2">
      <c r="AS319" s="3"/>
    </row>
    <row r="320" spans="1:93" x14ac:dyDescent="0.2">
      <c r="AS320" s="3"/>
    </row>
    <row r="321" spans="45:45" x14ac:dyDescent="0.2">
      <c r="AS321" s="3"/>
    </row>
    <row r="322" spans="45:45" x14ac:dyDescent="0.2">
      <c r="AS322" s="3"/>
    </row>
    <row r="323" spans="45:45" x14ac:dyDescent="0.2">
      <c r="AS323" s="3"/>
    </row>
    <row r="324" spans="45:45" x14ac:dyDescent="0.2">
      <c r="AS324" s="3"/>
    </row>
    <row r="325" spans="45:45" x14ac:dyDescent="0.2">
      <c r="AS325" s="3"/>
    </row>
    <row r="326" spans="45:45" x14ac:dyDescent="0.2">
      <c r="AS326" s="3"/>
    </row>
    <row r="327" spans="45:45" x14ac:dyDescent="0.2">
      <c r="AS327" s="3"/>
    </row>
    <row r="328" spans="45:45" x14ac:dyDescent="0.2">
      <c r="AS328" s="3"/>
    </row>
  </sheetData>
  <pageMargins left="0.7" right="0.7" top="0.75" bottom="0.75" header="0.3" footer="0.3"/>
  <pageSetup paperSize="9" orientation="portrait" verticalDpi="0" r:id="rId1"/>
  <ignoredErrors>
    <ignoredError sqref="BU8" numberStoredAsText="1"/>
  </ignoredError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ul10"/>
  <dimension ref="A1:Z299"/>
  <sheetViews>
    <sheetView workbookViewId="0">
      <selection activeCell="J24" sqref="J24"/>
    </sheetView>
  </sheetViews>
  <sheetFormatPr defaultRowHeight="12.75" x14ac:dyDescent="0.2"/>
  <cols>
    <col min="1" max="1" width="13.7109375" customWidth="1"/>
    <col min="2" max="2" width="14.28515625" customWidth="1"/>
    <col min="3" max="3" width="15.140625" customWidth="1"/>
    <col min="4" max="4" width="14.140625" customWidth="1"/>
    <col min="5" max="5" width="14" customWidth="1"/>
    <col min="6" max="6" width="14.28515625" customWidth="1"/>
    <col min="7" max="7" width="4" customWidth="1"/>
  </cols>
  <sheetData>
    <row r="1" spans="1:26" x14ac:dyDescent="0.2">
      <c r="A1" s="3" t="s">
        <v>594</v>
      </c>
    </row>
    <row r="2" spans="1:26" x14ac:dyDescent="0.2">
      <c r="A2" s="139">
        <v>1</v>
      </c>
      <c r="B2" s="139">
        <v>2</v>
      </c>
      <c r="C2" s="139">
        <v>3</v>
      </c>
      <c r="D2" s="139">
        <v>4</v>
      </c>
      <c r="E2" s="139">
        <v>5</v>
      </c>
      <c r="F2" s="139">
        <v>6</v>
      </c>
      <c r="G2" s="139">
        <v>7</v>
      </c>
      <c r="H2" s="139">
        <v>8</v>
      </c>
      <c r="I2" s="139">
        <v>9</v>
      </c>
      <c r="J2" s="139">
        <v>10</v>
      </c>
      <c r="K2" s="139">
        <v>11</v>
      </c>
      <c r="L2" s="139">
        <v>12</v>
      </c>
      <c r="M2" s="139">
        <v>13</v>
      </c>
      <c r="N2" s="139">
        <v>14</v>
      </c>
      <c r="O2" s="139">
        <v>15</v>
      </c>
      <c r="P2" s="139">
        <v>16</v>
      </c>
      <c r="Q2" s="139">
        <v>17</v>
      </c>
      <c r="R2" s="139">
        <v>18</v>
      </c>
      <c r="S2" s="139">
        <v>19</v>
      </c>
      <c r="T2" s="139">
        <v>20</v>
      </c>
      <c r="U2" s="139">
        <v>21</v>
      </c>
      <c r="V2" s="139">
        <v>22</v>
      </c>
      <c r="W2" s="139">
        <v>23</v>
      </c>
      <c r="X2" s="139">
        <v>24</v>
      </c>
      <c r="Y2" s="139">
        <v>25</v>
      </c>
      <c r="Z2" s="139">
        <v>26</v>
      </c>
    </row>
    <row r="3" spans="1:26" x14ac:dyDescent="0.2">
      <c r="B3" s="2">
        <v>2020</v>
      </c>
      <c r="C3" s="2">
        <v>2021</v>
      </c>
      <c r="D3" s="2">
        <v>2022</v>
      </c>
      <c r="E3" s="2">
        <v>2023</v>
      </c>
      <c r="F3" s="2">
        <v>2024</v>
      </c>
      <c r="H3" s="2">
        <v>2020</v>
      </c>
      <c r="I3" s="2">
        <v>2021</v>
      </c>
      <c r="J3" s="2">
        <v>2022</v>
      </c>
      <c r="K3" s="2">
        <v>2023</v>
      </c>
      <c r="L3" s="2">
        <v>2024</v>
      </c>
    </row>
    <row r="4" spans="1:26" x14ac:dyDescent="0.2">
      <c r="A4" s="3" t="s">
        <v>592</v>
      </c>
      <c r="B4" s="43">
        <f>SUM(B5:B299)</f>
        <v>12032509853.186127</v>
      </c>
      <c r="C4" s="43">
        <f>SUM(C5:C299)</f>
        <v>12290097529.336197</v>
      </c>
      <c r="D4" s="43">
        <f>SUM(D5:D299)</f>
        <v>12543473824.313204</v>
      </c>
      <c r="E4" s="43">
        <f>SUM(E5:E299)</f>
        <v>12799832515.082821</v>
      </c>
      <c r="F4" s="43">
        <f>SUM(F5:F299)</f>
        <v>13053435118.632551</v>
      </c>
      <c r="H4" s="194">
        <f>B4/B4</f>
        <v>1</v>
      </c>
      <c r="I4" s="194">
        <f t="shared" ref="I4:L5" si="0">C4/B4</f>
        <v>1.0214076430680721</v>
      </c>
      <c r="J4" s="194">
        <f t="shared" si="0"/>
        <v>1.0206162965242711</v>
      </c>
      <c r="K4" s="194">
        <f t="shared" si="0"/>
        <v>1.0204376151583074</v>
      </c>
      <c r="L4" s="194">
        <f t="shared" si="0"/>
        <v>1.0198129626501671</v>
      </c>
    </row>
    <row r="5" spans="1:26" x14ac:dyDescent="0.2">
      <c r="A5" t="s">
        <v>143</v>
      </c>
      <c r="B5" s="97">
        <v>24256373.44521505</v>
      </c>
      <c r="C5" s="97">
        <v>24564183.337762706</v>
      </c>
      <c r="D5" s="97">
        <v>24853648.423244745</v>
      </c>
      <c r="E5" s="97">
        <v>25056814.755913477</v>
      </c>
      <c r="F5" s="97">
        <v>25284595.831073862</v>
      </c>
      <c r="H5" s="194">
        <f>B5/B5</f>
        <v>1</v>
      </c>
      <c r="I5" s="194">
        <f t="shared" si="0"/>
        <v>1.0126898562657303</v>
      </c>
      <c r="J5" s="194">
        <f t="shared" si="0"/>
        <v>1.0117840304927639</v>
      </c>
      <c r="K5" s="194">
        <f t="shared" si="0"/>
        <v>1.00817450738857</v>
      </c>
      <c r="L5" s="194">
        <f t="shared" si="0"/>
        <v>1.0090905838343489</v>
      </c>
      <c r="N5" s="196" t="s">
        <v>595</v>
      </c>
    </row>
    <row r="6" spans="1:26" x14ac:dyDescent="0.2">
      <c r="A6" t="s">
        <v>144</v>
      </c>
      <c r="B6" s="97">
        <v>5310048.1320050498</v>
      </c>
      <c r="C6" s="97">
        <v>5409843.0538756177</v>
      </c>
      <c r="D6" s="97">
        <v>5475696.768163004</v>
      </c>
      <c r="E6" s="97">
        <v>5579935.0126606235</v>
      </c>
      <c r="F6" s="97">
        <v>5647504.2435173057</v>
      </c>
      <c r="H6" s="194">
        <f t="shared" ref="H6:H69" si="1">B6/B6</f>
        <v>1</v>
      </c>
      <c r="I6" s="194">
        <f t="shared" ref="I6:I69" si="2">C6/B6</f>
        <v>1.0187936002442384</v>
      </c>
      <c r="J6" s="194">
        <f t="shared" ref="J6:J69" si="3">D6/C6</f>
        <v>1.0121729435829396</v>
      </c>
      <c r="K6" s="194">
        <f t="shared" ref="K6:K69" si="4">E6/D6</f>
        <v>1.0190365261100076</v>
      </c>
      <c r="L6" s="194">
        <f t="shared" ref="L6:L69" si="5">F6/E6</f>
        <v>1.0121093221880488</v>
      </c>
    </row>
    <row r="7" spans="1:26" x14ac:dyDescent="0.2">
      <c r="A7" t="s">
        <v>145</v>
      </c>
      <c r="B7" s="97">
        <v>24272760.019972317</v>
      </c>
      <c r="C7" s="97">
        <v>24329135.373311605</v>
      </c>
      <c r="D7" s="97">
        <v>24516016.505315531</v>
      </c>
      <c r="E7" s="97">
        <v>24805753.865124837</v>
      </c>
      <c r="F7" s="97">
        <v>24944476.725973066</v>
      </c>
      <c r="H7" s="194">
        <f t="shared" si="1"/>
        <v>1</v>
      </c>
      <c r="I7" s="194">
        <f t="shared" si="2"/>
        <v>1.0023225769666451</v>
      </c>
      <c r="J7" s="194">
        <f t="shared" si="3"/>
        <v>1.0076813717025443</v>
      </c>
      <c r="K7" s="194">
        <f t="shared" si="4"/>
        <v>1.0118182886582119</v>
      </c>
      <c r="L7" s="194">
        <f t="shared" si="5"/>
        <v>1.0055923662551238</v>
      </c>
      <c r="N7" s="196" t="s">
        <v>593</v>
      </c>
    </row>
    <row r="8" spans="1:26" x14ac:dyDescent="0.2">
      <c r="A8" t="s">
        <v>146</v>
      </c>
      <c r="B8" s="97">
        <v>15924686.325721748</v>
      </c>
      <c r="C8" s="97">
        <v>16063744.515783003</v>
      </c>
      <c r="D8" s="97">
        <v>16232517.092501083</v>
      </c>
      <c r="E8" s="97">
        <v>16338836.211307798</v>
      </c>
      <c r="F8" s="97">
        <v>16576189.242579641</v>
      </c>
      <c r="H8" s="194">
        <f t="shared" si="1"/>
        <v>1</v>
      </c>
      <c r="I8" s="194">
        <f t="shared" si="2"/>
        <v>1.0087322404483814</v>
      </c>
      <c r="J8" s="194">
        <f t="shared" si="3"/>
        <v>1.0105064280966531</v>
      </c>
      <c r="K8" s="194">
        <f t="shared" si="4"/>
        <v>1.0065497617036749</v>
      </c>
      <c r="L8" s="194">
        <f t="shared" si="5"/>
        <v>1.0145269239621593</v>
      </c>
    </row>
    <row r="9" spans="1:26" x14ac:dyDescent="0.2">
      <c r="A9" t="s">
        <v>147</v>
      </c>
      <c r="B9" s="97">
        <v>11618588.183770375</v>
      </c>
      <c r="C9" s="97">
        <v>11955203.046796959</v>
      </c>
      <c r="D9" s="97">
        <v>12287324.559879903</v>
      </c>
      <c r="E9" s="97">
        <v>12516418.000354894</v>
      </c>
      <c r="F9" s="97">
        <v>12846512.627947845</v>
      </c>
      <c r="H9" s="194">
        <f t="shared" si="1"/>
        <v>1</v>
      </c>
      <c r="I9" s="194">
        <f t="shared" si="2"/>
        <v>1.028972096927989</v>
      </c>
      <c r="J9" s="194">
        <f t="shared" si="3"/>
        <v>1.027780499568506</v>
      </c>
      <c r="K9" s="194">
        <f t="shared" si="4"/>
        <v>1.0186446967652354</v>
      </c>
      <c r="L9" s="194">
        <f t="shared" si="5"/>
        <v>1.026372930944268</v>
      </c>
    </row>
    <row r="10" spans="1:26" x14ac:dyDescent="0.2">
      <c r="A10" t="s">
        <v>148</v>
      </c>
      <c r="B10" s="97">
        <v>7465209.351354531</v>
      </c>
      <c r="C10" s="97">
        <v>7673556.000522024</v>
      </c>
      <c r="D10" s="97">
        <v>7887694.2306108801</v>
      </c>
      <c r="E10" s="97">
        <v>8013842.9157407805</v>
      </c>
      <c r="F10" s="97">
        <v>8179313.8279988952</v>
      </c>
      <c r="H10" s="194">
        <f t="shared" si="1"/>
        <v>1</v>
      </c>
      <c r="I10" s="194">
        <f t="shared" si="2"/>
        <v>1.0279090162594957</v>
      </c>
      <c r="J10" s="194">
        <f t="shared" si="3"/>
        <v>1.0279059969164608</v>
      </c>
      <c r="K10" s="194">
        <f t="shared" si="4"/>
        <v>1.0159931003207932</v>
      </c>
      <c r="L10" s="194">
        <f t="shared" si="5"/>
        <v>1.0206481352327355</v>
      </c>
    </row>
    <row r="11" spans="1:26" x14ac:dyDescent="0.2">
      <c r="A11" t="s">
        <v>126</v>
      </c>
      <c r="B11" s="97">
        <v>30046447.350764632</v>
      </c>
      <c r="C11" s="97">
        <v>30365394.341754008</v>
      </c>
      <c r="D11" s="97">
        <v>30793774.791943155</v>
      </c>
      <c r="E11" s="97">
        <v>31174828.502891798</v>
      </c>
      <c r="F11" s="97">
        <v>31632465.900544971</v>
      </c>
      <c r="H11" s="194">
        <f t="shared" si="1"/>
        <v>1</v>
      </c>
      <c r="I11" s="194">
        <f t="shared" si="2"/>
        <v>1.0106151315417082</v>
      </c>
      <c r="J11" s="194">
        <f t="shared" si="3"/>
        <v>1.0141075213899033</v>
      </c>
      <c r="K11" s="194">
        <f t="shared" si="4"/>
        <v>1.0123743748054019</v>
      </c>
      <c r="L11" s="194">
        <f t="shared" si="5"/>
        <v>1.0146797085863912</v>
      </c>
    </row>
    <row r="12" spans="1:26" x14ac:dyDescent="0.2">
      <c r="A12" t="s">
        <v>149</v>
      </c>
      <c r="B12" s="97">
        <v>3164227.4918779475</v>
      </c>
      <c r="C12" s="97">
        <v>3213760.9251657068</v>
      </c>
      <c r="D12" s="97">
        <v>3264017.1148652304</v>
      </c>
      <c r="E12" s="97">
        <v>3316094.1628697738</v>
      </c>
      <c r="F12" s="97">
        <v>3368956.3817190053</v>
      </c>
      <c r="H12" s="194">
        <f t="shared" si="1"/>
        <v>1</v>
      </c>
      <c r="I12" s="194">
        <f t="shared" si="2"/>
        <v>1.0156541947173214</v>
      </c>
      <c r="J12" s="194">
        <f t="shared" si="3"/>
        <v>1.0156378121676652</v>
      </c>
      <c r="K12" s="194">
        <f t="shared" si="4"/>
        <v>1.0159548942826833</v>
      </c>
      <c r="L12" s="194">
        <f t="shared" si="5"/>
        <v>1.0159411091039356</v>
      </c>
    </row>
    <row r="13" spans="1:26" x14ac:dyDescent="0.2">
      <c r="A13" t="s">
        <v>150</v>
      </c>
      <c r="B13" s="97">
        <v>6531955.6974451113</v>
      </c>
      <c r="C13" s="97">
        <v>6712777.2939610835</v>
      </c>
      <c r="D13" s="97">
        <v>6859867.1028188178</v>
      </c>
      <c r="E13" s="97">
        <v>7013115.6755942833</v>
      </c>
      <c r="F13" s="97">
        <v>7166741.3453705609</v>
      </c>
      <c r="H13" s="194">
        <f t="shared" si="1"/>
        <v>1</v>
      </c>
      <c r="I13" s="194">
        <f t="shared" si="2"/>
        <v>1.0276826122055143</v>
      </c>
      <c r="J13" s="194">
        <f t="shared" si="3"/>
        <v>1.0219119155032983</v>
      </c>
      <c r="K13" s="194">
        <f t="shared" si="4"/>
        <v>1.0223398748807384</v>
      </c>
      <c r="L13" s="194">
        <f t="shared" si="5"/>
        <v>1.0219054806568921</v>
      </c>
    </row>
    <row r="14" spans="1:26" x14ac:dyDescent="0.2">
      <c r="A14" t="s">
        <v>151</v>
      </c>
      <c r="B14" s="97">
        <v>680804449.95335007</v>
      </c>
      <c r="C14" s="97">
        <v>699667383.9929868</v>
      </c>
      <c r="D14" s="97">
        <v>717821804.40556633</v>
      </c>
      <c r="E14" s="97">
        <v>736443540.88617337</v>
      </c>
      <c r="F14" s="97">
        <v>755031915.073668</v>
      </c>
      <c r="H14" s="194">
        <f t="shared" si="1"/>
        <v>1</v>
      </c>
      <c r="I14" s="194">
        <f t="shared" si="2"/>
        <v>1.0277068312948443</v>
      </c>
      <c r="J14" s="194">
        <f t="shared" si="3"/>
        <v>1.0259472155311467</v>
      </c>
      <c r="K14" s="194">
        <f t="shared" si="4"/>
        <v>1.0259420045007239</v>
      </c>
      <c r="L14" s="194">
        <f t="shared" si="5"/>
        <v>1.0252407321885491</v>
      </c>
    </row>
    <row r="15" spans="1:26" x14ac:dyDescent="0.2">
      <c r="A15" t="s">
        <v>152</v>
      </c>
      <c r="B15" s="97">
        <v>24465262.722563401</v>
      </c>
      <c r="C15" s="97">
        <v>24711410.009301584</v>
      </c>
      <c r="D15" s="97">
        <v>24991859.725510225</v>
      </c>
      <c r="E15" s="97">
        <v>25392072.900939241</v>
      </c>
      <c r="F15" s="97">
        <v>25777520.693238411</v>
      </c>
      <c r="H15" s="194">
        <f t="shared" si="1"/>
        <v>1</v>
      </c>
      <c r="I15" s="194">
        <f t="shared" si="2"/>
        <v>1.0100610931314942</v>
      </c>
      <c r="J15" s="194">
        <f t="shared" si="3"/>
        <v>1.0113489969250269</v>
      </c>
      <c r="K15" s="194">
        <f t="shared" si="4"/>
        <v>1.0160137412671415</v>
      </c>
      <c r="L15" s="194">
        <f t="shared" si="5"/>
        <v>1.0151798474194249</v>
      </c>
    </row>
    <row r="16" spans="1:26" x14ac:dyDescent="0.2">
      <c r="A16" t="s">
        <v>153</v>
      </c>
      <c r="B16" s="97">
        <v>27997519.447114181</v>
      </c>
      <c r="C16" s="97">
        <v>28657508.982642125</v>
      </c>
      <c r="D16" s="97">
        <v>29181637.143981975</v>
      </c>
      <c r="E16" s="97">
        <v>29709044.62506412</v>
      </c>
      <c r="F16" s="97">
        <v>30122547.657636855</v>
      </c>
      <c r="H16" s="194">
        <f t="shared" si="1"/>
        <v>1</v>
      </c>
      <c r="I16" s="194">
        <f t="shared" si="2"/>
        <v>1.0235731432127275</v>
      </c>
      <c r="J16" s="194">
        <f t="shared" si="3"/>
        <v>1.0182893831301707</v>
      </c>
      <c r="K16" s="194">
        <f t="shared" si="4"/>
        <v>1.0180732656800549</v>
      </c>
      <c r="L16" s="194">
        <f t="shared" si="5"/>
        <v>1.0139184224128124</v>
      </c>
    </row>
    <row r="17" spans="1:12" x14ac:dyDescent="0.2">
      <c r="A17" t="s">
        <v>154</v>
      </c>
      <c r="B17" s="97">
        <v>6428264.7707343427</v>
      </c>
      <c r="C17" s="97">
        <v>6636297.9400417795</v>
      </c>
      <c r="D17" s="97">
        <v>6751530.9498131135</v>
      </c>
      <c r="E17" s="97">
        <v>6870684.3510166733</v>
      </c>
      <c r="F17" s="97">
        <v>6994903.3979143715</v>
      </c>
      <c r="H17" s="194">
        <f t="shared" si="1"/>
        <v>1</v>
      </c>
      <c r="I17" s="194">
        <f t="shared" si="2"/>
        <v>1.0323622589807657</v>
      </c>
      <c r="J17" s="194">
        <f t="shared" si="3"/>
        <v>1.0173640500791934</v>
      </c>
      <c r="K17" s="194">
        <f t="shared" si="4"/>
        <v>1.01764835295717</v>
      </c>
      <c r="L17" s="194">
        <f t="shared" si="5"/>
        <v>1.0180795741081188</v>
      </c>
    </row>
    <row r="18" spans="1:12" x14ac:dyDescent="0.2">
      <c r="A18" t="s">
        <v>155</v>
      </c>
      <c r="B18" s="97">
        <v>31106009.417470917</v>
      </c>
      <c r="C18" s="97">
        <v>31528727.106589176</v>
      </c>
      <c r="D18" s="97">
        <v>31832109.456238974</v>
      </c>
      <c r="E18" s="97">
        <v>32172648.922275506</v>
      </c>
      <c r="F18" s="97">
        <v>32374974.649150699</v>
      </c>
      <c r="H18" s="194">
        <f t="shared" si="1"/>
        <v>1</v>
      </c>
      <c r="I18" s="194">
        <f t="shared" si="2"/>
        <v>1.0135895827537695</v>
      </c>
      <c r="J18" s="194">
        <f t="shared" si="3"/>
        <v>1.0096224103378533</v>
      </c>
      <c r="K18" s="194">
        <f t="shared" si="4"/>
        <v>1.0106979861483791</v>
      </c>
      <c r="L18" s="194">
        <f t="shared" si="5"/>
        <v>1.0062887494083557</v>
      </c>
    </row>
    <row r="19" spans="1:12" x14ac:dyDescent="0.2">
      <c r="A19" t="s">
        <v>156</v>
      </c>
      <c r="B19" s="97">
        <v>18699677.350496508</v>
      </c>
      <c r="C19" s="97">
        <v>18888345.752182011</v>
      </c>
      <c r="D19" s="97">
        <v>19062079.132641364</v>
      </c>
      <c r="E19" s="97">
        <v>19196750.796191327</v>
      </c>
      <c r="F19" s="97">
        <v>19557574.825866699</v>
      </c>
      <c r="H19" s="194">
        <f t="shared" si="1"/>
        <v>1</v>
      </c>
      <c r="I19" s="194">
        <f t="shared" si="2"/>
        <v>1.010089393423705</v>
      </c>
      <c r="J19" s="194">
        <f t="shared" si="3"/>
        <v>1.0091979140332754</v>
      </c>
      <c r="K19" s="194">
        <f t="shared" si="4"/>
        <v>1.0070648989867719</v>
      </c>
      <c r="L19" s="194">
        <f t="shared" si="5"/>
        <v>1.0187960990641687</v>
      </c>
    </row>
    <row r="20" spans="1:12" x14ac:dyDescent="0.2">
      <c r="A20" t="s">
        <v>157</v>
      </c>
      <c r="B20" s="97">
        <v>17197199.406224832</v>
      </c>
      <c r="C20" s="97">
        <v>17364160.590779155</v>
      </c>
      <c r="D20" s="97">
        <v>17625672.267299347</v>
      </c>
      <c r="E20" s="97">
        <v>17785632.071135573</v>
      </c>
      <c r="F20" s="97">
        <v>18027460.979573451</v>
      </c>
      <c r="H20" s="194">
        <f t="shared" si="1"/>
        <v>1</v>
      </c>
      <c r="I20" s="194">
        <f t="shared" si="2"/>
        <v>1.0097086264228516</v>
      </c>
      <c r="J20" s="194">
        <f t="shared" si="3"/>
        <v>1.0150604272030899</v>
      </c>
      <c r="K20" s="194">
        <f t="shared" si="4"/>
        <v>1.009075387390074</v>
      </c>
      <c r="L20" s="194">
        <f t="shared" si="5"/>
        <v>1.0135968689485231</v>
      </c>
    </row>
    <row r="21" spans="1:12" x14ac:dyDescent="0.2">
      <c r="A21" t="s">
        <v>158</v>
      </c>
      <c r="B21" s="97">
        <v>2094227.7559013863</v>
      </c>
      <c r="C21" s="97">
        <v>2137309.942007334</v>
      </c>
      <c r="D21" s="97">
        <v>2181280.6133325337</v>
      </c>
      <c r="E21" s="97">
        <v>2226158.6714579873</v>
      </c>
      <c r="F21" s="97">
        <v>2269194.1248271102</v>
      </c>
      <c r="H21" s="194">
        <f t="shared" si="1"/>
        <v>1</v>
      </c>
      <c r="I21" s="194">
        <f t="shared" si="2"/>
        <v>1.0205718723689652</v>
      </c>
      <c r="J21" s="194">
        <f t="shared" si="3"/>
        <v>1.0205729035648909</v>
      </c>
      <c r="K21" s="194">
        <f t="shared" si="4"/>
        <v>1.0205741791547349</v>
      </c>
      <c r="L21" s="194">
        <f t="shared" si="5"/>
        <v>1.0193317097837136</v>
      </c>
    </row>
    <row r="22" spans="1:12" x14ac:dyDescent="0.2">
      <c r="A22" t="s">
        <v>159</v>
      </c>
      <c r="B22" s="97">
        <v>2867750.3718032581</v>
      </c>
      <c r="C22" s="97">
        <v>2868568.727481897</v>
      </c>
      <c r="D22" s="97">
        <v>2912682.6493495284</v>
      </c>
      <c r="E22" s="97">
        <v>2914643.4519421933</v>
      </c>
      <c r="F22" s="97">
        <v>2960012.6576301609</v>
      </c>
      <c r="H22" s="194">
        <f t="shared" si="1"/>
        <v>1</v>
      </c>
      <c r="I22" s="194">
        <f t="shared" si="2"/>
        <v>1.0002853650327048</v>
      </c>
      <c r="J22" s="194">
        <f t="shared" si="3"/>
        <v>1.0153783736973092</v>
      </c>
      <c r="K22" s="194">
        <f t="shared" si="4"/>
        <v>1.0006731947241498</v>
      </c>
      <c r="L22" s="194">
        <f t="shared" si="5"/>
        <v>1.0155659539274815</v>
      </c>
    </row>
    <row r="23" spans="1:12" x14ac:dyDescent="0.2">
      <c r="A23" t="s">
        <v>160</v>
      </c>
      <c r="B23" s="97">
        <v>34543553.183140889</v>
      </c>
      <c r="C23" s="97">
        <v>34894756.484416366</v>
      </c>
      <c r="D23" s="97">
        <v>35450414.980428487</v>
      </c>
      <c r="E23" s="97">
        <v>35811922.21118246</v>
      </c>
      <c r="F23" s="97">
        <v>36368184.110095747</v>
      </c>
      <c r="H23" s="194">
        <f t="shared" si="1"/>
        <v>1</v>
      </c>
      <c r="I23" s="194">
        <f t="shared" si="2"/>
        <v>1.0101669709370513</v>
      </c>
      <c r="J23" s="194">
        <f t="shared" si="3"/>
        <v>1.0159238393384482</v>
      </c>
      <c r="K23" s="194">
        <f t="shared" si="4"/>
        <v>1.0101975458102128</v>
      </c>
      <c r="L23" s="194">
        <f t="shared" si="5"/>
        <v>1.0155328690717302</v>
      </c>
    </row>
    <row r="24" spans="1:12" x14ac:dyDescent="0.2">
      <c r="A24" t="s">
        <v>161</v>
      </c>
      <c r="B24" s="97">
        <v>10460544.224456524</v>
      </c>
      <c r="C24" s="97">
        <v>10728301.921495233</v>
      </c>
      <c r="D24" s="97">
        <v>10883419.754221758</v>
      </c>
      <c r="E24" s="97">
        <v>10956997.449051123</v>
      </c>
      <c r="F24" s="97">
        <v>11045234.493795205</v>
      </c>
      <c r="H24" s="194">
        <f t="shared" si="1"/>
        <v>1</v>
      </c>
      <c r="I24" s="194">
        <f t="shared" si="2"/>
        <v>1.025596918410105</v>
      </c>
      <c r="J24" s="194">
        <f t="shared" si="3"/>
        <v>1.0144587497501101</v>
      </c>
      <c r="K24" s="194">
        <f t="shared" si="4"/>
        <v>1.0067605308341456</v>
      </c>
      <c r="L24" s="194">
        <f t="shared" si="5"/>
        <v>1.008053031421644</v>
      </c>
    </row>
    <row r="25" spans="1:12" x14ac:dyDescent="0.2">
      <c r="A25" t="s">
        <v>162</v>
      </c>
      <c r="B25" s="97">
        <v>16085962.025945822</v>
      </c>
      <c r="C25" s="97">
        <v>16113040.285721771</v>
      </c>
      <c r="D25" s="97">
        <v>16226150.242862344</v>
      </c>
      <c r="E25" s="97">
        <v>16232445.423412386</v>
      </c>
      <c r="F25" s="97">
        <v>16297251.198412975</v>
      </c>
      <c r="H25" s="194">
        <f t="shared" si="1"/>
        <v>1</v>
      </c>
      <c r="I25" s="194">
        <f t="shared" si="2"/>
        <v>1.0016833472398028</v>
      </c>
      <c r="J25" s="194">
        <f t="shared" si="3"/>
        <v>1.0070197774681171</v>
      </c>
      <c r="K25" s="194">
        <f t="shared" si="4"/>
        <v>1.0003879651338008</v>
      </c>
      <c r="L25" s="194">
        <f t="shared" si="5"/>
        <v>1.0039923605661485</v>
      </c>
    </row>
    <row r="26" spans="1:12" x14ac:dyDescent="0.2">
      <c r="A26" t="s">
        <v>163</v>
      </c>
      <c r="B26" s="97">
        <v>13621361.063006632</v>
      </c>
      <c r="C26" s="97">
        <v>13724709.07855304</v>
      </c>
      <c r="D26" s="97">
        <v>13836535.450097321</v>
      </c>
      <c r="E26" s="97">
        <v>14058018.144947369</v>
      </c>
      <c r="F26" s="97">
        <v>14290711.34714595</v>
      </c>
      <c r="H26" s="194">
        <f t="shared" si="1"/>
        <v>1</v>
      </c>
      <c r="I26" s="194">
        <f t="shared" si="2"/>
        <v>1.0075872018272156</v>
      </c>
      <c r="J26" s="194">
        <f t="shared" si="3"/>
        <v>1.0081478136187985</v>
      </c>
      <c r="K26" s="194">
        <f t="shared" si="4"/>
        <v>1.0160070919233246</v>
      </c>
      <c r="L26" s="194">
        <f t="shared" si="5"/>
        <v>1.0165523475499436</v>
      </c>
    </row>
    <row r="27" spans="1:12" x14ac:dyDescent="0.2">
      <c r="A27" t="s">
        <v>164</v>
      </c>
      <c r="B27" s="97">
        <v>5615454.6391527327</v>
      </c>
      <c r="C27" s="97">
        <v>5667439.8251619069</v>
      </c>
      <c r="D27" s="97">
        <v>5763430.6214093426</v>
      </c>
      <c r="E27" s="97">
        <v>5862522.3178352676</v>
      </c>
      <c r="F27" s="97">
        <v>5964058.7375931945</v>
      </c>
      <c r="H27" s="194">
        <f t="shared" si="1"/>
        <v>1</v>
      </c>
      <c r="I27" s="194">
        <f t="shared" si="2"/>
        <v>1.0092575204234964</v>
      </c>
      <c r="J27" s="194">
        <f t="shared" si="3"/>
        <v>1.0169372413662447</v>
      </c>
      <c r="K27" s="194">
        <f t="shared" si="4"/>
        <v>1.0171931793640112</v>
      </c>
      <c r="L27" s="194">
        <f t="shared" si="5"/>
        <v>1.0173195792277032</v>
      </c>
    </row>
    <row r="28" spans="1:12" x14ac:dyDescent="0.2">
      <c r="A28" t="s">
        <v>165</v>
      </c>
      <c r="B28" s="97">
        <v>19789522.740231842</v>
      </c>
      <c r="C28" s="97">
        <v>20122471.451111551</v>
      </c>
      <c r="D28" s="97">
        <v>20408037.822982542</v>
      </c>
      <c r="E28" s="97">
        <v>20701640.714620888</v>
      </c>
      <c r="F28" s="97">
        <v>20913495.720741209</v>
      </c>
      <c r="H28" s="194">
        <f t="shared" si="1"/>
        <v>1</v>
      </c>
      <c r="I28" s="194">
        <f t="shared" si="2"/>
        <v>1.0168244942159634</v>
      </c>
      <c r="J28" s="194">
        <f t="shared" si="3"/>
        <v>1.0141914164254022</v>
      </c>
      <c r="K28" s="194">
        <f t="shared" si="4"/>
        <v>1.0143866301202022</v>
      </c>
      <c r="L28" s="194">
        <f t="shared" si="5"/>
        <v>1.0102337302168853</v>
      </c>
    </row>
    <row r="29" spans="1:12" x14ac:dyDescent="0.2">
      <c r="A29" t="s">
        <v>166</v>
      </c>
      <c r="B29" s="97">
        <v>18108239.739132181</v>
      </c>
      <c r="C29" s="97">
        <v>18433068.936030272</v>
      </c>
      <c r="D29" s="97">
        <v>18706364.290461786</v>
      </c>
      <c r="E29" s="97">
        <v>18986834.185269851</v>
      </c>
      <c r="F29" s="97">
        <v>19355756.731074873</v>
      </c>
      <c r="H29" s="194">
        <f t="shared" si="1"/>
        <v>1</v>
      </c>
      <c r="I29" s="194">
        <f t="shared" si="2"/>
        <v>1.017938198388004</v>
      </c>
      <c r="J29" s="194">
        <f t="shared" si="3"/>
        <v>1.0148263620876128</v>
      </c>
      <c r="K29" s="194">
        <f t="shared" si="4"/>
        <v>1.014993287335427</v>
      </c>
      <c r="L29" s="194">
        <f t="shared" si="5"/>
        <v>1.0194304401779226</v>
      </c>
    </row>
    <row r="30" spans="1:12" x14ac:dyDescent="0.2">
      <c r="A30" t="s">
        <v>168</v>
      </c>
      <c r="B30" s="97">
        <v>6716454.4312858563</v>
      </c>
      <c r="C30" s="97">
        <v>6741272.7502935762</v>
      </c>
      <c r="D30" s="97">
        <v>6839125.0953161037</v>
      </c>
      <c r="E30" s="97">
        <v>6974286.6012337897</v>
      </c>
      <c r="F30" s="97">
        <v>7041042.7085751202</v>
      </c>
      <c r="H30" s="194">
        <f t="shared" si="1"/>
        <v>1</v>
      </c>
      <c r="I30" s="194">
        <f t="shared" si="2"/>
        <v>1.0036951518485875</v>
      </c>
      <c r="J30" s="194">
        <f t="shared" si="3"/>
        <v>1.0145154110576917</v>
      </c>
      <c r="K30" s="194">
        <f t="shared" si="4"/>
        <v>1.0197629819653764</v>
      </c>
      <c r="L30" s="194">
        <f t="shared" si="5"/>
        <v>1.0095717470700905</v>
      </c>
    </row>
    <row r="31" spans="1:12" x14ac:dyDescent="0.2">
      <c r="A31" t="s">
        <v>169</v>
      </c>
      <c r="B31" s="97">
        <v>1404836571.2311337</v>
      </c>
      <c r="C31" s="97">
        <v>1449041385.8347321</v>
      </c>
      <c r="D31" s="97">
        <v>1493080522.1460035</v>
      </c>
      <c r="E31" s="97">
        <v>1537973299.9582474</v>
      </c>
      <c r="F31" s="97">
        <v>1580733535.7860262</v>
      </c>
      <c r="H31" s="194">
        <f t="shared" si="1"/>
        <v>1</v>
      </c>
      <c r="I31" s="194">
        <f t="shared" si="2"/>
        <v>1.0314661616225291</v>
      </c>
      <c r="J31" s="194">
        <f t="shared" si="3"/>
        <v>1.0303919106395312</v>
      </c>
      <c r="K31" s="194">
        <f t="shared" si="4"/>
        <v>1.0300672181750248</v>
      </c>
      <c r="L31" s="194">
        <f t="shared" si="5"/>
        <v>1.0278029767024821</v>
      </c>
    </row>
    <row r="32" spans="1:12" x14ac:dyDescent="0.2">
      <c r="A32" t="s">
        <v>411</v>
      </c>
      <c r="B32" s="97">
        <v>518035075.55512172</v>
      </c>
      <c r="C32" s="97">
        <v>531817466.00246519</v>
      </c>
      <c r="D32" s="97">
        <v>544893601.85274267</v>
      </c>
      <c r="E32" s="97">
        <v>558234338.01109898</v>
      </c>
      <c r="F32" s="97">
        <v>571373398.84682238</v>
      </c>
      <c r="H32" s="194">
        <f t="shared" si="1"/>
        <v>1</v>
      </c>
      <c r="I32" s="194">
        <f t="shared" si="2"/>
        <v>1.0266051298410139</v>
      </c>
      <c r="J32" s="194">
        <f t="shared" si="3"/>
        <v>1.0245876389667443</v>
      </c>
      <c r="K32" s="194">
        <f t="shared" si="4"/>
        <v>1.0244831947246127</v>
      </c>
      <c r="L32" s="194">
        <f t="shared" si="5"/>
        <v>1.0235368194700021</v>
      </c>
    </row>
    <row r="33" spans="1:12" x14ac:dyDescent="0.2">
      <c r="A33" t="s">
        <v>170</v>
      </c>
      <c r="B33" s="97">
        <v>4970428.5590371592</v>
      </c>
      <c r="C33" s="97">
        <v>5055101.3053093189</v>
      </c>
      <c r="D33" s="97">
        <v>5085080.648183384</v>
      </c>
      <c r="E33" s="97">
        <v>5172477.9204135807</v>
      </c>
      <c r="F33" s="97">
        <v>5373184.3728549285</v>
      </c>
      <c r="H33" s="194">
        <f t="shared" si="1"/>
        <v>1</v>
      </c>
      <c r="I33" s="194">
        <f t="shared" si="2"/>
        <v>1.0170353009336004</v>
      </c>
      <c r="J33" s="194">
        <f t="shared" si="3"/>
        <v>1.0059305127757932</v>
      </c>
      <c r="K33" s="194">
        <f t="shared" si="4"/>
        <v>1.0171869982556558</v>
      </c>
      <c r="L33" s="194">
        <f t="shared" si="5"/>
        <v>1.0388027663973671</v>
      </c>
    </row>
    <row r="34" spans="1:12" x14ac:dyDescent="0.2">
      <c r="A34" t="s">
        <v>171</v>
      </c>
      <c r="B34" s="97">
        <v>48672300.507853441</v>
      </c>
      <c r="C34" s="97">
        <v>48923436.320341334</v>
      </c>
      <c r="D34" s="97">
        <v>49400749.25466308</v>
      </c>
      <c r="E34" s="97">
        <v>49993284.724184766</v>
      </c>
      <c r="F34" s="97">
        <v>50451443.131849922</v>
      </c>
      <c r="H34" s="194">
        <f t="shared" si="1"/>
        <v>1</v>
      </c>
      <c r="I34" s="194">
        <f t="shared" si="2"/>
        <v>1.0051597276041508</v>
      </c>
      <c r="J34" s="194">
        <f t="shared" si="3"/>
        <v>1.0097563247846368</v>
      </c>
      <c r="K34" s="194">
        <f t="shared" si="4"/>
        <v>1.0119944632108138</v>
      </c>
      <c r="L34" s="194">
        <f t="shared" si="5"/>
        <v>1.0091643989826402</v>
      </c>
    </row>
    <row r="35" spans="1:12" x14ac:dyDescent="0.2">
      <c r="A35" t="s">
        <v>172</v>
      </c>
      <c r="B35" s="97">
        <v>3304218.137982666</v>
      </c>
      <c r="C35" s="97">
        <v>3362795.2370449714</v>
      </c>
      <c r="D35" s="97">
        <v>3423148.1297325999</v>
      </c>
      <c r="E35" s="97">
        <v>3450090.1255305116</v>
      </c>
      <c r="F35" s="97">
        <v>3511926.4806039897</v>
      </c>
      <c r="H35" s="194">
        <f t="shared" si="1"/>
        <v>1</v>
      </c>
      <c r="I35" s="194">
        <f t="shared" si="2"/>
        <v>1.0177279757619357</v>
      </c>
      <c r="J35" s="194">
        <f t="shared" si="3"/>
        <v>1.0179472398505782</v>
      </c>
      <c r="K35" s="194">
        <f t="shared" si="4"/>
        <v>1.0078705316792751</v>
      </c>
      <c r="L35" s="194">
        <f t="shared" si="5"/>
        <v>1.0179231129691053</v>
      </c>
    </row>
    <row r="36" spans="1:12" x14ac:dyDescent="0.2">
      <c r="A36" t="s">
        <v>173</v>
      </c>
      <c r="B36" s="97">
        <v>20223858.116342369</v>
      </c>
      <c r="C36" s="97">
        <v>20486293.794164743</v>
      </c>
      <c r="D36" s="97">
        <v>20692044.469895758</v>
      </c>
      <c r="E36" s="97">
        <v>20905809.549879123</v>
      </c>
      <c r="F36" s="97">
        <v>21184833.042819228</v>
      </c>
      <c r="H36" s="194">
        <f t="shared" si="1"/>
        <v>1</v>
      </c>
      <c r="I36" s="194">
        <f t="shared" si="2"/>
        <v>1.0129765387154446</v>
      </c>
      <c r="J36" s="194">
        <f t="shared" si="3"/>
        <v>1.0100433332548233</v>
      </c>
      <c r="K36" s="194">
        <f t="shared" si="4"/>
        <v>1.0103307858387007</v>
      </c>
      <c r="L36" s="194">
        <f t="shared" si="5"/>
        <v>1.0133466963943387</v>
      </c>
    </row>
    <row r="37" spans="1:12" x14ac:dyDescent="0.2">
      <c r="A37" t="s">
        <v>174</v>
      </c>
      <c r="B37" s="97">
        <v>5075160.8056323538</v>
      </c>
      <c r="C37" s="97">
        <v>5131362.3298205575</v>
      </c>
      <c r="D37" s="97">
        <v>5224203.3018283388</v>
      </c>
      <c r="E37" s="97">
        <v>5281575.8306386201</v>
      </c>
      <c r="F37" s="97">
        <v>5379529.529393902</v>
      </c>
      <c r="H37" s="194">
        <f t="shared" si="1"/>
        <v>1</v>
      </c>
      <c r="I37" s="194">
        <f t="shared" si="2"/>
        <v>1.0110738410743225</v>
      </c>
      <c r="J37" s="194">
        <f t="shared" si="3"/>
        <v>1.0180928505999747</v>
      </c>
      <c r="K37" s="194">
        <f t="shared" si="4"/>
        <v>1.0109820628133293</v>
      </c>
      <c r="L37" s="194">
        <f t="shared" si="5"/>
        <v>1.0185463016903116</v>
      </c>
    </row>
    <row r="38" spans="1:12" x14ac:dyDescent="0.2">
      <c r="A38" t="s">
        <v>175</v>
      </c>
      <c r="B38" s="97">
        <v>6016240.7532408563</v>
      </c>
      <c r="C38" s="97">
        <v>6083987.0023593595</v>
      </c>
      <c r="D38" s="97">
        <v>6157136.6701241136</v>
      </c>
      <c r="E38" s="97">
        <v>6233387.5081196669</v>
      </c>
      <c r="F38" s="97">
        <v>6315529.8215139881</v>
      </c>
      <c r="H38" s="194">
        <f t="shared" si="1"/>
        <v>1</v>
      </c>
      <c r="I38" s="194">
        <f t="shared" si="2"/>
        <v>1.0112605615195851</v>
      </c>
      <c r="J38" s="194">
        <f t="shared" si="3"/>
        <v>1.0120233109860994</v>
      </c>
      <c r="K38" s="194">
        <f t="shared" si="4"/>
        <v>1.0123841392648536</v>
      </c>
      <c r="L38" s="194">
        <f t="shared" si="5"/>
        <v>1.0131777967096256</v>
      </c>
    </row>
    <row r="39" spans="1:12" x14ac:dyDescent="0.2">
      <c r="A39" t="s">
        <v>176</v>
      </c>
      <c r="B39" s="97">
        <v>85969393.736364946</v>
      </c>
      <c r="C39" s="97">
        <v>87721277.739134565</v>
      </c>
      <c r="D39" s="97">
        <v>89377819.131179824</v>
      </c>
      <c r="E39" s="97">
        <v>91016393.626585841</v>
      </c>
      <c r="F39" s="97">
        <v>92573346.579260752</v>
      </c>
      <c r="H39" s="194">
        <f t="shared" si="1"/>
        <v>1</v>
      </c>
      <c r="I39" s="194">
        <f t="shared" si="2"/>
        <v>1.0203779964779323</v>
      </c>
      <c r="J39" s="194">
        <f t="shared" si="3"/>
        <v>1.0188841457254132</v>
      </c>
      <c r="K39" s="194">
        <f t="shared" si="4"/>
        <v>1.0183331223712349</v>
      </c>
      <c r="L39" s="194">
        <f t="shared" si="5"/>
        <v>1.0171062914123212</v>
      </c>
    </row>
    <row r="40" spans="1:12" x14ac:dyDescent="0.2">
      <c r="A40" t="s">
        <v>177</v>
      </c>
      <c r="B40" s="97">
        <v>22678112.148537476</v>
      </c>
      <c r="C40" s="97">
        <v>23068883.844974514</v>
      </c>
      <c r="D40" s="97">
        <v>23572749.090122547</v>
      </c>
      <c r="E40" s="97">
        <v>24062226.031003848</v>
      </c>
      <c r="F40" s="97">
        <v>24550101.67841864</v>
      </c>
      <c r="H40" s="194">
        <f t="shared" si="1"/>
        <v>1</v>
      </c>
      <c r="I40" s="194">
        <f t="shared" si="2"/>
        <v>1.0172312269150781</v>
      </c>
      <c r="J40" s="194">
        <f t="shared" si="3"/>
        <v>1.0218417695686564</v>
      </c>
      <c r="K40" s="194">
        <f t="shared" si="4"/>
        <v>1.02076452513069</v>
      </c>
      <c r="L40" s="194">
        <f t="shared" si="5"/>
        <v>1.0202755824330705</v>
      </c>
    </row>
    <row r="41" spans="1:12" x14ac:dyDescent="0.2">
      <c r="A41" t="s">
        <v>178</v>
      </c>
      <c r="B41" s="97">
        <v>154510177.96130902</v>
      </c>
      <c r="C41" s="97">
        <v>157774575.63191977</v>
      </c>
      <c r="D41" s="97">
        <v>160899041.40803882</v>
      </c>
      <c r="E41" s="97">
        <v>163770290.51429224</v>
      </c>
      <c r="F41" s="97">
        <v>166853715.93915564</v>
      </c>
      <c r="H41" s="194">
        <f t="shared" si="1"/>
        <v>1</v>
      </c>
      <c r="I41" s="194">
        <f t="shared" si="2"/>
        <v>1.021127395707409</v>
      </c>
      <c r="J41" s="194">
        <f t="shared" si="3"/>
        <v>1.0198033540169886</v>
      </c>
      <c r="K41" s="194">
        <f t="shared" si="4"/>
        <v>1.0178450355025543</v>
      </c>
      <c r="L41" s="194">
        <f t="shared" si="5"/>
        <v>1.0188277459555115</v>
      </c>
    </row>
    <row r="42" spans="1:12" x14ac:dyDescent="0.2">
      <c r="A42" t="s">
        <v>167</v>
      </c>
      <c r="B42" s="97">
        <v>34945923.174658827</v>
      </c>
      <c r="C42" s="97">
        <v>35085714.261880688</v>
      </c>
      <c r="D42" s="97">
        <v>35428605.7233091</v>
      </c>
      <c r="E42" s="97">
        <v>35452393.563365765</v>
      </c>
      <c r="F42" s="97">
        <v>35891915.454158284</v>
      </c>
      <c r="H42" s="194">
        <f t="shared" si="1"/>
        <v>1</v>
      </c>
      <c r="I42" s="194">
        <f t="shared" si="2"/>
        <v>1.0040002115990236</v>
      </c>
      <c r="J42" s="194">
        <f t="shared" si="3"/>
        <v>1.0097729651124974</v>
      </c>
      <c r="K42" s="194">
        <f t="shared" si="4"/>
        <v>1.0006714303193991</v>
      </c>
      <c r="L42" s="194">
        <f t="shared" si="5"/>
        <v>1.0123975237386142</v>
      </c>
    </row>
    <row r="43" spans="1:12" x14ac:dyDescent="0.2">
      <c r="A43" t="s">
        <v>179</v>
      </c>
      <c r="B43" s="97">
        <v>28825622.333092213</v>
      </c>
      <c r="C43" s="97">
        <v>29381626.910668004</v>
      </c>
      <c r="D43" s="97">
        <v>29908262.888877012</v>
      </c>
      <c r="E43" s="97">
        <v>30399408.599567667</v>
      </c>
      <c r="F43" s="97">
        <v>30838095.405846145</v>
      </c>
      <c r="H43" s="194">
        <f t="shared" si="1"/>
        <v>1</v>
      </c>
      <c r="I43" s="194">
        <f t="shared" si="2"/>
        <v>1.0192885541602859</v>
      </c>
      <c r="J43" s="194">
        <f t="shared" si="3"/>
        <v>1.0179239897031636</v>
      </c>
      <c r="K43" s="194">
        <f t="shared" si="4"/>
        <v>1.0164217397886159</v>
      </c>
      <c r="L43" s="194">
        <f t="shared" si="5"/>
        <v>1.0144307677842364</v>
      </c>
    </row>
    <row r="44" spans="1:12" x14ac:dyDescent="0.2">
      <c r="A44" t="s">
        <v>180</v>
      </c>
      <c r="B44" s="97">
        <v>45037557.427321479</v>
      </c>
      <c r="C44" s="97">
        <v>45783263.651552647</v>
      </c>
      <c r="D44" s="97">
        <v>46809480.264621265</v>
      </c>
      <c r="E44" s="97">
        <v>47638280.89164421</v>
      </c>
      <c r="F44" s="97">
        <v>48583546.27956026</v>
      </c>
      <c r="H44" s="194">
        <f t="shared" si="1"/>
        <v>1</v>
      </c>
      <c r="I44" s="194">
        <f t="shared" si="2"/>
        <v>1.0165574304386853</v>
      </c>
      <c r="J44" s="194">
        <f t="shared" si="3"/>
        <v>1.0224146670905541</v>
      </c>
      <c r="K44" s="194">
        <f t="shared" si="4"/>
        <v>1.0177058284419653</v>
      </c>
      <c r="L44" s="194">
        <f t="shared" si="5"/>
        <v>1.0198425587620616</v>
      </c>
    </row>
    <row r="45" spans="1:12" x14ac:dyDescent="0.2">
      <c r="A45" t="s">
        <v>181</v>
      </c>
      <c r="B45" s="97">
        <v>14468557.724351838</v>
      </c>
      <c r="C45" s="97">
        <v>14749805.019905815</v>
      </c>
      <c r="D45" s="97">
        <v>14978092.713938221</v>
      </c>
      <c r="E45" s="97">
        <v>15249516.060765423</v>
      </c>
      <c r="F45" s="97">
        <v>15586056.171625359</v>
      </c>
      <c r="H45" s="194">
        <f t="shared" si="1"/>
        <v>1</v>
      </c>
      <c r="I45" s="194">
        <f t="shared" si="2"/>
        <v>1.0194385163270705</v>
      </c>
      <c r="J45" s="194">
        <f t="shared" si="3"/>
        <v>1.0154773363935534</v>
      </c>
      <c r="K45" s="194">
        <f t="shared" si="4"/>
        <v>1.0181213557701256</v>
      </c>
      <c r="L45" s="194">
        <f t="shared" si="5"/>
        <v>1.0220689043192526</v>
      </c>
    </row>
    <row r="46" spans="1:12" x14ac:dyDescent="0.2">
      <c r="A46" t="s">
        <v>182</v>
      </c>
      <c r="B46" s="97">
        <v>16064500.798300343</v>
      </c>
      <c r="C46" s="97">
        <v>16261197.15200956</v>
      </c>
      <c r="D46" s="97">
        <v>16549330.625906413</v>
      </c>
      <c r="E46" s="97">
        <v>16959529.095840197</v>
      </c>
      <c r="F46" s="97">
        <v>17271113.710422333</v>
      </c>
      <c r="H46" s="194">
        <f t="shared" si="1"/>
        <v>1</v>
      </c>
      <c r="I46" s="194">
        <f t="shared" si="2"/>
        <v>1.0122441622169813</v>
      </c>
      <c r="J46" s="194">
        <f t="shared" si="3"/>
        <v>1.0177190812707935</v>
      </c>
      <c r="K46" s="194">
        <f t="shared" si="4"/>
        <v>1.024786408538582</v>
      </c>
      <c r="L46" s="194">
        <f t="shared" si="5"/>
        <v>1.0183722444663019</v>
      </c>
    </row>
    <row r="47" spans="1:12" x14ac:dyDescent="0.2">
      <c r="A47" t="s">
        <v>183</v>
      </c>
      <c r="B47" s="97">
        <v>27959584.961422302</v>
      </c>
      <c r="C47" s="97">
        <v>28766459.53255545</v>
      </c>
      <c r="D47" s="97">
        <v>29446875.905320983</v>
      </c>
      <c r="E47" s="97">
        <v>30175996.705513675</v>
      </c>
      <c r="F47" s="97">
        <v>30783900.06193928</v>
      </c>
      <c r="H47" s="194">
        <f t="shared" si="1"/>
        <v>1</v>
      </c>
      <c r="I47" s="194">
        <f t="shared" si="2"/>
        <v>1.0288586033106875</v>
      </c>
      <c r="J47" s="194">
        <f t="shared" si="3"/>
        <v>1.0236531149061112</v>
      </c>
      <c r="K47" s="194">
        <f t="shared" si="4"/>
        <v>1.0247605485395801</v>
      </c>
      <c r="L47" s="194">
        <f t="shared" si="5"/>
        <v>1.0201452618900415</v>
      </c>
    </row>
    <row r="48" spans="1:12" x14ac:dyDescent="0.2">
      <c r="A48" t="s">
        <v>184</v>
      </c>
      <c r="B48" s="97">
        <v>13592394.710946474</v>
      </c>
      <c r="C48" s="97">
        <v>13659419.290459944</v>
      </c>
      <c r="D48" s="97">
        <v>13730255.968206752</v>
      </c>
      <c r="E48" s="97">
        <v>13729052.30953696</v>
      </c>
      <c r="F48" s="97">
        <v>13811775.186424123</v>
      </c>
      <c r="H48" s="194">
        <f t="shared" si="1"/>
        <v>1</v>
      </c>
      <c r="I48" s="194">
        <f t="shared" si="2"/>
        <v>1.0049310354016936</v>
      </c>
      <c r="J48" s="194">
        <f t="shared" si="3"/>
        <v>1.0051859216150048</v>
      </c>
      <c r="K48" s="194">
        <f t="shared" si="4"/>
        <v>0.99991233530732571</v>
      </c>
      <c r="L48" s="194">
        <f t="shared" si="5"/>
        <v>1.00602538871745</v>
      </c>
    </row>
    <row r="49" spans="1:12" x14ac:dyDescent="0.2">
      <c r="A49" t="s">
        <v>186</v>
      </c>
      <c r="B49" s="97">
        <v>19454876.364782508</v>
      </c>
      <c r="C49" s="97">
        <v>19828324.347070057</v>
      </c>
      <c r="D49" s="97">
        <v>20168919.456364203</v>
      </c>
      <c r="E49" s="97">
        <v>20420872.756098635</v>
      </c>
      <c r="F49" s="97">
        <v>20873870.541710373</v>
      </c>
      <c r="H49" s="194">
        <f t="shared" si="1"/>
        <v>1</v>
      </c>
      <c r="I49" s="194">
        <f t="shared" si="2"/>
        <v>1.0191955978174998</v>
      </c>
      <c r="J49" s="194">
        <f t="shared" si="3"/>
        <v>1.0171772008230475</v>
      </c>
      <c r="K49" s="194">
        <f t="shared" si="4"/>
        <v>1.0124921565718747</v>
      </c>
      <c r="L49" s="194">
        <f t="shared" si="5"/>
        <v>1.0221830766501618</v>
      </c>
    </row>
    <row r="50" spans="1:12" x14ac:dyDescent="0.2">
      <c r="A50" t="s">
        <v>187</v>
      </c>
      <c r="B50" s="97">
        <v>13003660.997924296</v>
      </c>
      <c r="C50" s="97">
        <v>13037341.013253845</v>
      </c>
      <c r="D50" s="97">
        <v>13168367.326901833</v>
      </c>
      <c r="E50" s="97">
        <v>13291757.67049944</v>
      </c>
      <c r="F50" s="97">
        <v>13389258.492927946</v>
      </c>
      <c r="H50" s="194">
        <f t="shared" si="1"/>
        <v>1</v>
      </c>
      <c r="I50" s="194">
        <f t="shared" si="2"/>
        <v>1.0025900410149822</v>
      </c>
      <c r="J50" s="194">
        <f t="shared" si="3"/>
        <v>1.0100500794997067</v>
      </c>
      <c r="K50" s="194">
        <f t="shared" si="4"/>
        <v>1.0093702082068694</v>
      </c>
      <c r="L50" s="194">
        <f t="shared" si="5"/>
        <v>1.0073354348495915</v>
      </c>
    </row>
    <row r="51" spans="1:12" x14ac:dyDescent="0.2">
      <c r="A51" t="s">
        <v>188</v>
      </c>
      <c r="B51" s="97">
        <v>4356258.4106817665</v>
      </c>
      <c r="C51" s="97">
        <v>4389173.7161861062</v>
      </c>
      <c r="D51" s="97">
        <v>4457096.5802940056</v>
      </c>
      <c r="E51" s="97">
        <v>4527814.6013706941</v>
      </c>
      <c r="F51" s="97">
        <v>4602377.590130765</v>
      </c>
      <c r="H51" s="194">
        <f t="shared" si="1"/>
        <v>1</v>
      </c>
      <c r="I51" s="194">
        <f t="shared" si="2"/>
        <v>1.0075558661588186</v>
      </c>
      <c r="J51" s="194">
        <f t="shared" si="3"/>
        <v>1.0154750913269661</v>
      </c>
      <c r="K51" s="194">
        <f t="shared" si="4"/>
        <v>1.0158663874122342</v>
      </c>
      <c r="L51" s="194">
        <f t="shared" si="5"/>
        <v>1.0164677654287122</v>
      </c>
    </row>
    <row r="52" spans="1:12" x14ac:dyDescent="0.2">
      <c r="A52" t="s">
        <v>189</v>
      </c>
      <c r="B52" s="97">
        <v>10796470.350377643</v>
      </c>
      <c r="C52" s="97">
        <v>10943357.988206074</v>
      </c>
      <c r="D52" s="97">
        <v>11147056.156966394</v>
      </c>
      <c r="E52" s="97">
        <v>11356540.883573916</v>
      </c>
      <c r="F52" s="97">
        <v>11568948.64474969</v>
      </c>
      <c r="H52" s="194">
        <f t="shared" si="1"/>
        <v>1</v>
      </c>
      <c r="I52" s="194">
        <f t="shared" si="2"/>
        <v>1.0136051536346129</v>
      </c>
      <c r="J52" s="194">
        <f t="shared" si="3"/>
        <v>1.0186138632200328</v>
      </c>
      <c r="K52" s="194">
        <f t="shared" si="4"/>
        <v>1.0187928295738067</v>
      </c>
      <c r="L52" s="194">
        <f t="shared" si="5"/>
        <v>1.0187035615292859</v>
      </c>
    </row>
    <row r="53" spans="1:12" x14ac:dyDescent="0.2">
      <c r="A53" t="s">
        <v>185</v>
      </c>
      <c r="B53" s="97">
        <v>61395621.093271293</v>
      </c>
      <c r="C53" s="97">
        <v>62125858.048080377</v>
      </c>
      <c r="D53" s="97">
        <v>62796412.964584954</v>
      </c>
      <c r="E53" s="97">
        <v>63514846.406974711</v>
      </c>
      <c r="F53" s="97">
        <v>64463654.460783236</v>
      </c>
      <c r="H53" s="194">
        <f t="shared" si="1"/>
        <v>1</v>
      </c>
      <c r="I53" s="194">
        <f t="shared" si="2"/>
        <v>1.0118939582629145</v>
      </c>
      <c r="J53" s="194">
        <f t="shared" si="3"/>
        <v>1.0107934914313075</v>
      </c>
      <c r="K53" s="194">
        <f t="shared" si="4"/>
        <v>1.0114406764411039</v>
      </c>
      <c r="L53" s="194">
        <f t="shared" si="5"/>
        <v>1.0149383664998415</v>
      </c>
    </row>
    <row r="54" spans="1:12" x14ac:dyDescent="0.2">
      <c r="A54" t="s">
        <v>190</v>
      </c>
      <c r="B54" s="97">
        <v>32311495.857632454</v>
      </c>
      <c r="C54" s="97">
        <v>32824745.592586149</v>
      </c>
      <c r="D54" s="97">
        <v>33294308.367997929</v>
      </c>
      <c r="E54" s="97">
        <v>33539459.649608698</v>
      </c>
      <c r="F54" s="97">
        <v>34010606.213541396</v>
      </c>
      <c r="H54" s="194">
        <f t="shared" si="1"/>
        <v>1</v>
      </c>
      <c r="I54" s="194">
        <f t="shared" si="2"/>
        <v>1.0158844312629511</v>
      </c>
      <c r="J54" s="194">
        <f t="shared" si="3"/>
        <v>1.0143051459176529</v>
      </c>
      <c r="K54" s="194">
        <f t="shared" si="4"/>
        <v>1.0073631588588998</v>
      </c>
      <c r="L54" s="194">
        <f t="shared" si="5"/>
        <v>1.0140475299499405</v>
      </c>
    </row>
    <row r="55" spans="1:12" x14ac:dyDescent="0.2">
      <c r="A55" t="s">
        <v>191</v>
      </c>
      <c r="B55" s="97">
        <v>153368860.31708816</v>
      </c>
      <c r="C55" s="97">
        <v>157112146.11313948</v>
      </c>
      <c r="D55" s="97">
        <v>160675053.82066372</v>
      </c>
      <c r="E55" s="97">
        <v>164540712.38687333</v>
      </c>
      <c r="F55" s="97">
        <v>168618612.89245945</v>
      </c>
      <c r="H55" s="194">
        <f t="shared" si="1"/>
        <v>1</v>
      </c>
      <c r="I55" s="194">
        <f t="shared" si="2"/>
        <v>1.0244070783880908</v>
      </c>
      <c r="J55" s="194">
        <f t="shared" si="3"/>
        <v>1.0226774809947445</v>
      </c>
      <c r="K55" s="194">
        <f t="shared" si="4"/>
        <v>1.0240588596318396</v>
      </c>
      <c r="L55" s="194">
        <f t="shared" si="5"/>
        <v>1.0247835350074213</v>
      </c>
    </row>
    <row r="56" spans="1:12" x14ac:dyDescent="0.2">
      <c r="A56" t="s">
        <v>192</v>
      </c>
      <c r="B56" s="97">
        <v>12003576.233660487</v>
      </c>
      <c r="C56" s="97">
        <v>12076793.160514358</v>
      </c>
      <c r="D56" s="97">
        <v>12115746.369032215</v>
      </c>
      <c r="E56" s="97">
        <v>12303665.764007719</v>
      </c>
      <c r="F56" s="97">
        <v>12425930.523688518</v>
      </c>
      <c r="H56" s="194">
        <f t="shared" si="1"/>
        <v>1</v>
      </c>
      <c r="I56" s="194">
        <f t="shared" si="2"/>
        <v>1.0060995927737399</v>
      </c>
      <c r="J56" s="194">
        <f t="shared" si="3"/>
        <v>1.0032254596067123</v>
      </c>
      <c r="K56" s="194">
        <f t="shared" si="4"/>
        <v>1.0155103440804789</v>
      </c>
      <c r="L56" s="194">
        <f t="shared" si="5"/>
        <v>1.0099372627659038</v>
      </c>
    </row>
    <row r="57" spans="1:12" x14ac:dyDescent="0.2">
      <c r="A57" t="s">
        <v>193</v>
      </c>
      <c r="B57" s="97">
        <v>11378807.163108502</v>
      </c>
      <c r="C57" s="97">
        <v>11423813.016379144</v>
      </c>
      <c r="D57" s="97">
        <v>11531429.215128221</v>
      </c>
      <c r="E57" s="97">
        <v>11691252.637631493</v>
      </c>
      <c r="F57" s="97">
        <v>11784570.23934507</v>
      </c>
      <c r="H57" s="194">
        <f t="shared" si="1"/>
        <v>1</v>
      </c>
      <c r="I57" s="194">
        <f t="shared" si="2"/>
        <v>1.0039552347293974</v>
      </c>
      <c r="J57" s="194">
        <f t="shared" si="3"/>
        <v>1.009420339653212</v>
      </c>
      <c r="K57" s="194">
        <f t="shared" si="4"/>
        <v>1.0138598103948466</v>
      </c>
      <c r="L57" s="194">
        <f t="shared" si="5"/>
        <v>1.0079818309129005</v>
      </c>
    </row>
    <row r="58" spans="1:12" x14ac:dyDescent="0.2">
      <c r="A58" t="s">
        <v>194</v>
      </c>
      <c r="B58" s="97">
        <v>9303124.5564191919</v>
      </c>
      <c r="C58" s="97">
        <v>9373365.5210600514</v>
      </c>
      <c r="D58" s="97">
        <v>9523967.9307762608</v>
      </c>
      <c r="E58" s="97">
        <v>9634428.4313552398</v>
      </c>
      <c r="F58" s="97">
        <v>9790858.3515873756</v>
      </c>
      <c r="H58" s="194">
        <f t="shared" si="1"/>
        <v>1</v>
      </c>
      <c r="I58" s="194">
        <f t="shared" si="2"/>
        <v>1.0075502552088689</v>
      </c>
      <c r="J58" s="194">
        <f t="shared" si="3"/>
        <v>1.0160670582383495</v>
      </c>
      <c r="K58" s="194">
        <f t="shared" si="4"/>
        <v>1.0115981596517174</v>
      </c>
      <c r="L58" s="194">
        <f t="shared" si="5"/>
        <v>1.0162365542851546</v>
      </c>
    </row>
    <row r="59" spans="1:12" x14ac:dyDescent="0.2">
      <c r="A59" t="s">
        <v>196</v>
      </c>
      <c r="B59" s="97">
        <v>10673263.262686606</v>
      </c>
      <c r="C59" s="97">
        <v>10349145.311960202</v>
      </c>
      <c r="D59" s="97">
        <v>10236184.349187747</v>
      </c>
      <c r="E59" s="97">
        <v>10021415.814308282</v>
      </c>
      <c r="F59" s="97">
        <v>9927294.7617745455</v>
      </c>
      <c r="H59" s="194">
        <f t="shared" si="1"/>
        <v>1</v>
      </c>
      <c r="I59" s="194">
        <f t="shared" si="2"/>
        <v>0.96963272218164887</v>
      </c>
      <c r="J59" s="194">
        <f t="shared" si="3"/>
        <v>0.98908499597141519</v>
      </c>
      <c r="K59" s="194">
        <f t="shared" si="4"/>
        <v>0.97901869216564996</v>
      </c>
      <c r="L59" s="194">
        <f t="shared" si="5"/>
        <v>0.99060800846130415</v>
      </c>
    </row>
    <row r="60" spans="1:12" x14ac:dyDescent="0.2">
      <c r="A60" t="s">
        <v>197</v>
      </c>
      <c r="B60" s="97">
        <v>3853890.3634697869</v>
      </c>
      <c r="C60" s="97">
        <v>3926237.9407505728</v>
      </c>
      <c r="D60" s="97">
        <v>4000970.9833211824</v>
      </c>
      <c r="E60" s="97">
        <v>4076608.5659418749</v>
      </c>
      <c r="F60" s="97">
        <v>4119132.1938546095</v>
      </c>
      <c r="H60" s="194">
        <f t="shared" si="1"/>
        <v>1</v>
      </c>
      <c r="I60" s="194">
        <f t="shared" si="2"/>
        <v>1.0187726090930227</v>
      </c>
      <c r="J60" s="194">
        <f t="shared" si="3"/>
        <v>1.0190342622373831</v>
      </c>
      <c r="K60" s="194">
        <f t="shared" si="4"/>
        <v>1.0189048065922004</v>
      </c>
      <c r="L60" s="194">
        <f t="shared" si="5"/>
        <v>1.0104311285287479</v>
      </c>
    </row>
    <row r="61" spans="1:12" x14ac:dyDescent="0.2">
      <c r="A61" t="s">
        <v>198</v>
      </c>
      <c r="B61" s="97">
        <v>12550420.721358053</v>
      </c>
      <c r="C61" s="97">
        <v>12539432.684891045</v>
      </c>
      <c r="D61" s="97">
        <v>12494019.86554434</v>
      </c>
      <c r="E61" s="97">
        <v>12529120.850334508</v>
      </c>
      <c r="F61" s="97">
        <v>12609573.571391469</v>
      </c>
      <c r="H61" s="194">
        <f t="shared" si="1"/>
        <v>1</v>
      </c>
      <c r="I61" s="194">
        <f t="shared" si="2"/>
        <v>0.99912448859596326</v>
      </c>
      <c r="J61" s="194">
        <f t="shared" si="3"/>
        <v>0.99637839920769111</v>
      </c>
      <c r="K61" s="194">
        <f t="shared" si="4"/>
        <v>1.0028094228413202</v>
      </c>
      <c r="L61" s="194">
        <f t="shared" si="5"/>
        <v>1.0064212582844401</v>
      </c>
    </row>
    <row r="62" spans="1:12" x14ac:dyDescent="0.2">
      <c r="A62" t="s">
        <v>199</v>
      </c>
      <c r="B62" s="97">
        <v>263275431.34826091</v>
      </c>
      <c r="C62" s="97">
        <v>270044384.59215176</v>
      </c>
      <c r="D62" s="97">
        <v>275631458.71966666</v>
      </c>
      <c r="E62" s="97">
        <v>281628175.8246668</v>
      </c>
      <c r="F62" s="97">
        <v>287561468.61455584</v>
      </c>
      <c r="H62" s="194">
        <f t="shared" si="1"/>
        <v>1</v>
      </c>
      <c r="I62" s="194">
        <f t="shared" si="2"/>
        <v>1.025710538994187</v>
      </c>
      <c r="J62" s="194">
        <f t="shared" si="3"/>
        <v>1.0206894660518606</v>
      </c>
      <c r="K62" s="194">
        <f t="shared" si="4"/>
        <v>1.0217562869378387</v>
      </c>
      <c r="L62" s="194">
        <f t="shared" si="5"/>
        <v>1.0210678238159769</v>
      </c>
    </row>
    <row r="63" spans="1:12" x14ac:dyDescent="0.2">
      <c r="A63" t="s">
        <v>200</v>
      </c>
      <c r="B63" s="97">
        <v>3947329.7497717906</v>
      </c>
      <c r="C63" s="97">
        <v>3934135.6364740813</v>
      </c>
      <c r="D63" s="97">
        <v>4009982.0893798461</v>
      </c>
      <c r="E63" s="97">
        <v>4087968.6997953621</v>
      </c>
      <c r="F63" s="97">
        <v>4164080.2630226938</v>
      </c>
      <c r="H63" s="194">
        <f t="shared" si="1"/>
        <v>1</v>
      </c>
      <c r="I63" s="194">
        <f t="shared" si="2"/>
        <v>0.99665745855195598</v>
      </c>
      <c r="J63" s="194">
        <f t="shared" si="3"/>
        <v>1.0192790640471514</v>
      </c>
      <c r="K63" s="194">
        <f t="shared" si="4"/>
        <v>1.0194481193873803</v>
      </c>
      <c r="L63" s="194">
        <f t="shared" si="5"/>
        <v>1.0186184310146851</v>
      </c>
    </row>
    <row r="64" spans="1:12" x14ac:dyDescent="0.2">
      <c r="A64" t="s">
        <v>127</v>
      </c>
      <c r="B64" s="97">
        <v>43825570.548750766</v>
      </c>
      <c r="C64" s="97">
        <v>44218859.088613696</v>
      </c>
      <c r="D64" s="97">
        <v>44571467.307956934</v>
      </c>
      <c r="E64" s="97">
        <v>44697948.958462849</v>
      </c>
      <c r="F64" s="97">
        <v>45047953.482814036</v>
      </c>
      <c r="H64" s="194">
        <f t="shared" si="1"/>
        <v>1</v>
      </c>
      <c r="I64" s="194">
        <f t="shared" si="2"/>
        <v>1.0089739513927249</v>
      </c>
      <c r="J64" s="194">
        <f t="shared" si="3"/>
        <v>1.0079741591395792</v>
      </c>
      <c r="K64" s="194">
        <f t="shared" si="4"/>
        <v>1.0028377268720372</v>
      </c>
      <c r="L64" s="194">
        <f t="shared" si="5"/>
        <v>1.007830438141053</v>
      </c>
    </row>
    <row r="65" spans="1:12" x14ac:dyDescent="0.2">
      <c r="A65" t="s">
        <v>201</v>
      </c>
      <c r="B65" s="97">
        <v>75830319.657057986</v>
      </c>
      <c r="C65" s="97">
        <v>77512842.237595499</v>
      </c>
      <c r="D65" s="97">
        <v>79172028.889965892</v>
      </c>
      <c r="E65" s="97">
        <v>81079131.395481229</v>
      </c>
      <c r="F65" s="97">
        <v>82531806.152126014</v>
      </c>
      <c r="H65" s="194">
        <f t="shared" si="1"/>
        <v>1</v>
      </c>
      <c r="I65" s="194">
        <f t="shared" si="2"/>
        <v>1.0221879927204145</v>
      </c>
      <c r="J65" s="194">
        <f t="shared" si="3"/>
        <v>1.0214053130355429</v>
      </c>
      <c r="K65" s="194">
        <f t="shared" si="4"/>
        <v>1.0240880842925706</v>
      </c>
      <c r="L65" s="194">
        <f t="shared" si="5"/>
        <v>1.0179167528270505</v>
      </c>
    </row>
    <row r="66" spans="1:12" x14ac:dyDescent="0.2">
      <c r="A66" t="s">
        <v>202</v>
      </c>
      <c r="B66" s="97">
        <v>66695410.711615294</v>
      </c>
      <c r="C66" s="97">
        <v>68097910.111876696</v>
      </c>
      <c r="D66" s="97">
        <v>69414464.555553809</v>
      </c>
      <c r="E66" s="97">
        <v>70838813.895622954</v>
      </c>
      <c r="F66" s="97">
        <v>72091701.796857968</v>
      </c>
      <c r="H66" s="194">
        <f t="shared" si="1"/>
        <v>1</v>
      </c>
      <c r="I66" s="194">
        <f t="shared" si="2"/>
        <v>1.0210284243742898</v>
      </c>
      <c r="J66" s="194">
        <f t="shared" si="3"/>
        <v>1.0193332576802161</v>
      </c>
      <c r="K66" s="194">
        <f t="shared" si="4"/>
        <v>1.020519488973789</v>
      </c>
      <c r="L66" s="194">
        <f t="shared" si="5"/>
        <v>1.0176864607456737</v>
      </c>
    </row>
    <row r="67" spans="1:12" x14ac:dyDescent="0.2">
      <c r="A67" t="s">
        <v>203</v>
      </c>
      <c r="B67" s="97">
        <v>5080913.4084215676</v>
      </c>
      <c r="C67" s="97">
        <v>5165874.4886314701</v>
      </c>
      <c r="D67" s="97">
        <v>5253940.2928451532</v>
      </c>
      <c r="E67" s="97">
        <v>5344064.6412209254</v>
      </c>
      <c r="F67" s="97">
        <v>5435708.9460135838</v>
      </c>
      <c r="H67" s="194">
        <f t="shared" si="1"/>
        <v>1</v>
      </c>
      <c r="I67" s="194">
        <f t="shared" si="2"/>
        <v>1.016721615461716</v>
      </c>
      <c r="J67" s="194">
        <f t="shared" si="3"/>
        <v>1.0170476081847302</v>
      </c>
      <c r="K67" s="194">
        <f t="shared" si="4"/>
        <v>1.017153668171392</v>
      </c>
      <c r="L67" s="194">
        <f t="shared" si="5"/>
        <v>1.0171488016978254</v>
      </c>
    </row>
    <row r="68" spans="1:12" x14ac:dyDescent="0.2">
      <c r="A68" t="s">
        <v>204</v>
      </c>
      <c r="B68" s="97">
        <v>110976717.26402074</v>
      </c>
      <c r="C68" s="97">
        <v>112802298.94661468</v>
      </c>
      <c r="D68" s="97">
        <v>114532274.53844135</v>
      </c>
      <c r="E68" s="97">
        <v>116394798.75831732</v>
      </c>
      <c r="F68" s="97">
        <v>118058100.05198959</v>
      </c>
      <c r="H68" s="194">
        <f t="shared" si="1"/>
        <v>1</v>
      </c>
      <c r="I68" s="194">
        <f t="shared" si="2"/>
        <v>1.0164501323124451</v>
      </c>
      <c r="J68" s="194">
        <f t="shared" si="3"/>
        <v>1.0153363504820536</v>
      </c>
      <c r="K68" s="194">
        <f t="shared" si="4"/>
        <v>1.016262003242159</v>
      </c>
      <c r="L68" s="194">
        <f t="shared" si="5"/>
        <v>1.0142901685592149</v>
      </c>
    </row>
    <row r="69" spans="1:12" x14ac:dyDescent="0.2">
      <c r="A69" t="s">
        <v>205</v>
      </c>
      <c r="B69" s="97">
        <v>28412292.783595681</v>
      </c>
      <c r="C69" s="97">
        <v>28887309.590643823</v>
      </c>
      <c r="D69" s="97">
        <v>29465453.34607055</v>
      </c>
      <c r="E69" s="97">
        <v>29879589.601876855</v>
      </c>
      <c r="F69" s="97">
        <v>30402379.711701002</v>
      </c>
      <c r="H69" s="194">
        <f t="shared" si="1"/>
        <v>1</v>
      </c>
      <c r="I69" s="194">
        <f t="shared" si="2"/>
        <v>1.0167187073097599</v>
      </c>
      <c r="J69" s="194">
        <f t="shared" si="3"/>
        <v>1.0200137625697749</v>
      </c>
      <c r="K69" s="194">
        <f t="shared" si="4"/>
        <v>1.014054976549734</v>
      </c>
      <c r="L69" s="194">
        <f t="shared" si="5"/>
        <v>1.0174965625964056</v>
      </c>
    </row>
    <row r="70" spans="1:12" x14ac:dyDescent="0.2">
      <c r="A70" t="s">
        <v>206</v>
      </c>
      <c r="B70" s="97">
        <v>69051596.245116562</v>
      </c>
      <c r="C70" s="97">
        <v>70174265.868545532</v>
      </c>
      <c r="D70" s="97">
        <v>71184911.46232681</v>
      </c>
      <c r="E70" s="97">
        <v>72178692.344042227</v>
      </c>
      <c r="F70" s="97">
        <v>73231831.325831801</v>
      </c>
      <c r="H70" s="194">
        <f t="shared" ref="H70:H133" si="6">B70/B70</f>
        <v>1</v>
      </c>
      <c r="I70" s="194">
        <f t="shared" ref="I70:I133" si="7">C70/B70</f>
        <v>1.0162584166692361</v>
      </c>
      <c r="J70" s="194">
        <f t="shared" ref="J70:J133" si="8">D70/C70</f>
        <v>1.0144019403875841</v>
      </c>
      <c r="K70" s="194">
        <f t="shared" ref="K70:K133" si="9">E70/D70</f>
        <v>1.0139605551415394</v>
      </c>
      <c r="L70" s="194">
        <f t="shared" ref="L70:L133" si="10">F70/E70</f>
        <v>1.0145907185013792</v>
      </c>
    </row>
    <row r="71" spans="1:12" x14ac:dyDescent="0.2">
      <c r="A71" t="s">
        <v>207</v>
      </c>
      <c r="B71" s="97">
        <v>12611401.11897666</v>
      </c>
      <c r="C71" s="97">
        <v>12700625.179487789</v>
      </c>
      <c r="D71" s="97">
        <v>12805683.735757282</v>
      </c>
      <c r="E71" s="97">
        <v>12765059.847573861</v>
      </c>
      <c r="F71" s="97">
        <v>12887955.030253846</v>
      </c>
      <c r="H71" s="194">
        <f t="shared" si="6"/>
        <v>1</v>
      </c>
      <c r="I71" s="194">
        <f t="shared" si="7"/>
        <v>1.0070748729399204</v>
      </c>
      <c r="J71" s="194">
        <f t="shared" si="8"/>
        <v>1.0082719200657277</v>
      </c>
      <c r="K71" s="194">
        <f t="shared" si="9"/>
        <v>0.99682766738413298</v>
      </c>
      <c r="L71" s="194">
        <f t="shared" si="10"/>
        <v>1.0096274662357609</v>
      </c>
    </row>
    <row r="72" spans="1:12" x14ac:dyDescent="0.2">
      <c r="A72" t="s">
        <v>208</v>
      </c>
      <c r="B72" s="97">
        <v>26265322.466731075</v>
      </c>
      <c r="C72" s="97">
        <v>26630737.906086467</v>
      </c>
      <c r="D72" s="97">
        <v>26871274.418708719</v>
      </c>
      <c r="E72" s="97">
        <v>27247696.567538001</v>
      </c>
      <c r="F72" s="97">
        <v>27726350.960885528</v>
      </c>
      <c r="H72" s="194">
        <f t="shared" si="6"/>
        <v>1</v>
      </c>
      <c r="I72" s="194">
        <f t="shared" si="7"/>
        <v>1.0139124672776527</v>
      </c>
      <c r="J72" s="194">
        <f t="shared" si="8"/>
        <v>1.0090322886834944</v>
      </c>
      <c r="K72" s="194">
        <f t="shared" si="9"/>
        <v>1.01400834746294</v>
      </c>
      <c r="L72" s="194">
        <f t="shared" si="10"/>
        <v>1.0175667837522009</v>
      </c>
    </row>
    <row r="73" spans="1:12" x14ac:dyDescent="0.2">
      <c r="A73" t="s">
        <v>209</v>
      </c>
      <c r="B73" s="97">
        <v>2608259.9643722102</v>
      </c>
      <c r="C73" s="97">
        <v>2653932.2895541159</v>
      </c>
      <c r="D73" s="97">
        <v>2699897.3542964053</v>
      </c>
      <c r="E73" s="97">
        <v>2748678.1551842755</v>
      </c>
      <c r="F73" s="97">
        <v>2797819.625497953</v>
      </c>
      <c r="H73" s="194">
        <f t="shared" si="6"/>
        <v>1</v>
      </c>
      <c r="I73" s="194">
        <f t="shared" si="7"/>
        <v>1.0175106491706238</v>
      </c>
      <c r="J73" s="194">
        <f t="shared" si="8"/>
        <v>1.0173196071818442</v>
      </c>
      <c r="K73" s="194">
        <f t="shared" si="9"/>
        <v>1.0180676501683459</v>
      </c>
      <c r="L73" s="194">
        <f t="shared" si="10"/>
        <v>1.0178782191072433</v>
      </c>
    </row>
    <row r="74" spans="1:12" x14ac:dyDescent="0.2">
      <c r="A74" t="s">
        <v>210</v>
      </c>
      <c r="B74" s="97">
        <v>12000311.615111329</v>
      </c>
      <c r="C74" s="97">
        <v>12075067.294550324</v>
      </c>
      <c r="D74" s="97">
        <v>12345373.956876589</v>
      </c>
      <c r="E74" s="97">
        <v>12588781.945177224</v>
      </c>
      <c r="F74" s="97">
        <v>12920840.014037922</v>
      </c>
      <c r="H74" s="194">
        <f t="shared" si="6"/>
        <v>1</v>
      </c>
      <c r="I74" s="194">
        <f t="shared" si="7"/>
        <v>1.0062294781866215</v>
      </c>
      <c r="J74" s="194">
        <f t="shared" si="8"/>
        <v>1.0223855201575778</v>
      </c>
      <c r="K74" s="194">
        <f t="shared" si="9"/>
        <v>1.019716534237916</v>
      </c>
      <c r="L74" s="194">
        <f t="shared" si="10"/>
        <v>1.0263772992738118</v>
      </c>
    </row>
    <row r="75" spans="1:12" x14ac:dyDescent="0.2">
      <c r="A75" t="s">
        <v>211</v>
      </c>
      <c r="B75" s="97">
        <v>2492989.0728238234</v>
      </c>
      <c r="C75" s="97">
        <v>2568707.6180280773</v>
      </c>
      <c r="D75" s="97">
        <v>2609155.9686344052</v>
      </c>
      <c r="E75" s="97">
        <v>2652403.7872519754</v>
      </c>
      <c r="F75" s="97">
        <v>2696345.0780121968</v>
      </c>
      <c r="H75" s="194">
        <f t="shared" si="6"/>
        <v>1</v>
      </c>
      <c r="I75" s="194">
        <f t="shared" si="7"/>
        <v>1.0303725940998558</v>
      </c>
      <c r="J75" s="194">
        <f t="shared" si="8"/>
        <v>1.0157465763415219</v>
      </c>
      <c r="K75" s="194">
        <f t="shared" si="9"/>
        <v>1.0165754056627767</v>
      </c>
      <c r="L75" s="194">
        <f t="shared" si="10"/>
        <v>1.0165665917728715</v>
      </c>
    </row>
    <row r="76" spans="1:12" x14ac:dyDescent="0.2">
      <c r="A76" t="s">
        <v>212</v>
      </c>
      <c r="B76" s="97">
        <v>15437838.254373103</v>
      </c>
      <c r="C76" s="97">
        <v>15595317.917580971</v>
      </c>
      <c r="D76" s="97">
        <v>15701469.785579849</v>
      </c>
      <c r="E76" s="97">
        <v>15738190.476474252</v>
      </c>
      <c r="F76" s="97">
        <v>15989284.131351242</v>
      </c>
      <c r="H76" s="194">
        <f t="shared" si="6"/>
        <v>1</v>
      </c>
      <c r="I76" s="194">
        <f t="shared" si="7"/>
        <v>1.0102008882728939</v>
      </c>
      <c r="J76" s="194">
        <f t="shared" si="8"/>
        <v>1.0068066498265618</v>
      </c>
      <c r="K76" s="194">
        <f t="shared" si="9"/>
        <v>1.0023386785693227</v>
      </c>
      <c r="L76" s="194">
        <f t="shared" si="10"/>
        <v>1.0159544170756054</v>
      </c>
    </row>
    <row r="77" spans="1:12" x14ac:dyDescent="0.2">
      <c r="A77" t="s">
        <v>213</v>
      </c>
      <c r="B77" s="97">
        <v>8411576.8705829736</v>
      </c>
      <c r="C77" s="97">
        <v>8503135.257769065</v>
      </c>
      <c r="D77" s="97">
        <v>8596942.3054196201</v>
      </c>
      <c r="E77" s="97">
        <v>8694074.5345409103</v>
      </c>
      <c r="F77" s="97">
        <v>8771426.2874922287</v>
      </c>
      <c r="H77" s="194">
        <f t="shared" si="6"/>
        <v>1</v>
      </c>
      <c r="I77" s="194">
        <f t="shared" si="7"/>
        <v>1.0108848065701319</v>
      </c>
      <c r="J77" s="194">
        <f t="shared" si="8"/>
        <v>1.0110320540373443</v>
      </c>
      <c r="K77" s="194">
        <f t="shared" si="9"/>
        <v>1.0112984623684234</v>
      </c>
      <c r="L77" s="194">
        <f t="shared" si="10"/>
        <v>1.0088970657709462</v>
      </c>
    </row>
    <row r="78" spans="1:12" x14ac:dyDescent="0.2">
      <c r="A78" t="s">
        <v>214</v>
      </c>
      <c r="B78" s="97">
        <v>4841862.2965062866</v>
      </c>
      <c r="C78" s="97">
        <v>4884013.7325110994</v>
      </c>
      <c r="D78" s="97">
        <v>4961586.7896461859</v>
      </c>
      <c r="E78" s="97">
        <v>5072290.7988284305</v>
      </c>
      <c r="F78" s="97">
        <v>5154640.8255366543</v>
      </c>
      <c r="H78" s="194">
        <f t="shared" si="6"/>
        <v>1</v>
      </c>
      <c r="I78" s="194">
        <f t="shared" si="7"/>
        <v>1.0087056247004851</v>
      </c>
      <c r="J78" s="194">
        <f t="shared" si="8"/>
        <v>1.0158830546725761</v>
      </c>
      <c r="K78" s="194">
        <f t="shared" si="9"/>
        <v>1.0223122186259568</v>
      </c>
      <c r="L78" s="194">
        <f t="shared" si="10"/>
        <v>1.0162352731683373</v>
      </c>
    </row>
    <row r="79" spans="1:12" x14ac:dyDescent="0.2">
      <c r="A79" t="s">
        <v>215</v>
      </c>
      <c r="B79" s="97">
        <v>2222837.1389747602</v>
      </c>
      <c r="C79" s="97">
        <v>2235520.7971315482</v>
      </c>
      <c r="D79" s="97">
        <v>2275168.040367519</v>
      </c>
      <c r="E79" s="97">
        <v>2315512.8087593978</v>
      </c>
      <c r="F79" s="97">
        <v>2357422.1501485733</v>
      </c>
      <c r="H79" s="194">
        <f t="shared" si="6"/>
        <v>1</v>
      </c>
      <c r="I79" s="194">
        <f t="shared" si="7"/>
        <v>1.0057060672302056</v>
      </c>
      <c r="J79" s="194">
        <f t="shared" si="8"/>
        <v>1.0177351260998526</v>
      </c>
      <c r="K79" s="194">
        <f t="shared" si="9"/>
        <v>1.0177326543253313</v>
      </c>
      <c r="L79" s="194">
        <f t="shared" si="10"/>
        <v>1.0180993779134522</v>
      </c>
    </row>
    <row r="80" spans="1:12" x14ac:dyDescent="0.2">
      <c r="A80" t="s">
        <v>216</v>
      </c>
      <c r="B80" s="97">
        <v>29581094.326245248</v>
      </c>
      <c r="C80" s="97">
        <v>30138263.516358588</v>
      </c>
      <c r="D80" s="97">
        <v>30749363.319098596</v>
      </c>
      <c r="E80" s="97">
        <v>31407418.645130306</v>
      </c>
      <c r="F80" s="97">
        <v>31803627.934981864</v>
      </c>
      <c r="H80" s="194">
        <f t="shared" si="6"/>
        <v>1</v>
      </c>
      <c r="I80" s="194">
        <f t="shared" si="7"/>
        <v>1.0188353136624497</v>
      </c>
      <c r="J80" s="194">
        <f t="shared" si="8"/>
        <v>1.0202765432191643</v>
      </c>
      <c r="K80" s="194">
        <f t="shared" si="9"/>
        <v>1.0214006163055411</v>
      </c>
      <c r="L80" s="194">
        <f t="shared" si="10"/>
        <v>1.0126151497621723</v>
      </c>
    </row>
    <row r="81" spans="1:12" x14ac:dyDescent="0.2">
      <c r="A81" t="s">
        <v>217</v>
      </c>
      <c r="B81" s="97">
        <v>37714594.459376</v>
      </c>
      <c r="C81" s="97">
        <v>37999396.797880739</v>
      </c>
      <c r="D81" s="97">
        <v>38212903.020927861</v>
      </c>
      <c r="E81" s="97">
        <v>38551907.053146407</v>
      </c>
      <c r="F81" s="97">
        <v>38884400.682883464</v>
      </c>
      <c r="H81" s="194">
        <f t="shared" si="6"/>
        <v>1</v>
      </c>
      <c r="I81" s="194">
        <f t="shared" si="7"/>
        <v>1.0075515153374248</v>
      </c>
      <c r="J81" s="194">
        <f t="shared" si="8"/>
        <v>1.0056186740063997</v>
      </c>
      <c r="K81" s="194">
        <f t="shared" si="9"/>
        <v>1.0088714545459392</v>
      </c>
      <c r="L81" s="194">
        <f t="shared" si="10"/>
        <v>1.0086245702262846</v>
      </c>
    </row>
    <row r="82" spans="1:12" x14ac:dyDescent="0.2">
      <c r="A82" t="s">
        <v>218</v>
      </c>
      <c r="B82" s="97">
        <v>32038127.316199597</v>
      </c>
      <c r="C82" s="97">
        <v>32972324.849949285</v>
      </c>
      <c r="D82" s="97">
        <v>33819000.731177166</v>
      </c>
      <c r="E82" s="97">
        <v>34647911.463791303</v>
      </c>
      <c r="F82" s="97">
        <v>35548128.156895213</v>
      </c>
      <c r="H82" s="194">
        <f t="shared" si="6"/>
        <v>1</v>
      </c>
      <c r="I82" s="194">
        <f t="shared" si="7"/>
        <v>1.0291589306868547</v>
      </c>
      <c r="J82" s="194">
        <f t="shared" si="8"/>
        <v>1.0256783798255338</v>
      </c>
      <c r="K82" s="194">
        <f t="shared" si="9"/>
        <v>1.0245102077143864</v>
      </c>
      <c r="L82" s="194">
        <f t="shared" si="10"/>
        <v>1.0259818458046073</v>
      </c>
    </row>
    <row r="83" spans="1:12" x14ac:dyDescent="0.2">
      <c r="A83" t="s">
        <v>219</v>
      </c>
      <c r="B83" s="97">
        <v>9715651.2386382315</v>
      </c>
      <c r="C83" s="97">
        <v>10011206.996767873</v>
      </c>
      <c r="D83" s="97">
        <v>10119117.482488995</v>
      </c>
      <c r="E83" s="97">
        <v>10320048.422380086</v>
      </c>
      <c r="F83" s="97">
        <v>10526005.761922572</v>
      </c>
      <c r="H83" s="194">
        <f t="shared" si="6"/>
        <v>1</v>
      </c>
      <c r="I83" s="194">
        <f t="shared" si="7"/>
        <v>1.0304205812734657</v>
      </c>
      <c r="J83" s="194">
        <f t="shared" si="8"/>
        <v>1.0107789685855024</v>
      </c>
      <c r="K83" s="194">
        <f t="shared" si="9"/>
        <v>1.0198565675553031</v>
      </c>
      <c r="L83" s="194">
        <f t="shared" si="10"/>
        <v>1.019957012904692</v>
      </c>
    </row>
    <row r="84" spans="1:12" x14ac:dyDescent="0.2">
      <c r="A84" t="s">
        <v>220</v>
      </c>
      <c r="B84" s="97">
        <v>4896438.2832841473</v>
      </c>
      <c r="C84" s="97">
        <v>4975913.2872509221</v>
      </c>
      <c r="D84" s="97">
        <v>5058942.66302671</v>
      </c>
      <c r="E84" s="97">
        <v>5143315.4563162113</v>
      </c>
      <c r="F84" s="97">
        <v>5232272.3082712004</v>
      </c>
      <c r="H84" s="194">
        <f t="shared" si="6"/>
        <v>1</v>
      </c>
      <c r="I84" s="194">
        <f t="shared" si="7"/>
        <v>1.0162311867052614</v>
      </c>
      <c r="J84" s="194">
        <f t="shared" si="8"/>
        <v>1.0166862585786056</v>
      </c>
      <c r="K84" s="194">
        <f t="shared" si="9"/>
        <v>1.0166779500993637</v>
      </c>
      <c r="L84" s="194">
        <f t="shared" si="10"/>
        <v>1.0172956243323061</v>
      </c>
    </row>
    <row r="85" spans="1:12" x14ac:dyDescent="0.2">
      <c r="A85" t="s">
        <v>221</v>
      </c>
      <c r="B85" s="97">
        <v>47171127.30412022</v>
      </c>
      <c r="C85" s="97">
        <v>47709096.786884695</v>
      </c>
      <c r="D85" s="97">
        <v>48301208.541441172</v>
      </c>
      <c r="E85" s="97">
        <v>48755555.422548823</v>
      </c>
      <c r="F85" s="97">
        <v>49299350.603827849</v>
      </c>
      <c r="H85" s="194">
        <f t="shared" si="6"/>
        <v>1</v>
      </c>
      <c r="I85" s="194">
        <f t="shared" si="7"/>
        <v>1.0114046348584398</v>
      </c>
      <c r="J85" s="194">
        <f t="shared" si="8"/>
        <v>1.0124108774727265</v>
      </c>
      <c r="K85" s="194">
        <f t="shared" si="9"/>
        <v>1.0094065323586641</v>
      </c>
      <c r="L85" s="194">
        <f t="shared" si="10"/>
        <v>1.0111535019253934</v>
      </c>
    </row>
    <row r="86" spans="1:12" x14ac:dyDescent="0.2">
      <c r="A86" t="s">
        <v>223</v>
      </c>
      <c r="B86" s="97">
        <v>22472035.291660458</v>
      </c>
      <c r="C86" s="97">
        <v>22890575.370107248</v>
      </c>
      <c r="D86" s="97">
        <v>23360853.970386136</v>
      </c>
      <c r="E86" s="97">
        <v>23716236.428808309</v>
      </c>
      <c r="F86" s="97">
        <v>23974250.911144543</v>
      </c>
      <c r="H86" s="194">
        <f t="shared" si="6"/>
        <v>1</v>
      </c>
      <c r="I86" s="194">
        <f t="shared" si="7"/>
        <v>1.0186249297411043</v>
      </c>
      <c r="J86" s="194">
        <f t="shared" si="8"/>
        <v>1.0205446386853614</v>
      </c>
      <c r="K86" s="194">
        <f t="shared" si="9"/>
        <v>1.0152127340410022</v>
      </c>
      <c r="L86" s="194">
        <f t="shared" si="10"/>
        <v>1.010879233857815</v>
      </c>
    </row>
    <row r="87" spans="1:12" x14ac:dyDescent="0.2">
      <c r="A87" t="s">
        <v>224</v>
      </c>
      <c r="B87" s="97">
        <v>43581423.407639958</v>
      </c>
      <c r="C87" s="97">
        <v>44565591.571609564</v>
      </c>
      <c r="D87" s="97">
        <v>45499711.109917544</v>
      </c>
      <c r="E87" s="97">
        <v>46434397.42337288</v>
      </c>
      <c r="F87" s="97">
        <v>47431894.408706233</v>
      </c>
      <c r="H87" s="194">
        <f t="shared" si="6"/>
        <v>1</v>
      </c>
      <c r="I87" s="194">
        <f t="shared" si="7"/>
        <v>1.0225822859148992</v>
      </c>
      <c r="J87" s="194">
        <f t="shared" si="8"/>
        <v>1.020960555113624</v>
      </c>
      <c r="K87" s="194">
        <f t="shared" si="9"/>
        <v>1.0205426867699738</v>
      </c>
      <c r="L87" s="194">
        <f t="shared" si="10"/>
        <v>1.021481854846495</v>
      </c>
    </row>
    <row r="88" spans="1:12" x14ac:dyDescent="0.2">
      <c r="A88" t="s">
        <v>225</v>
      </c>
      <c r="B88" s="97">
        <v>68925701.634217799</v>
      </c>
      <c r="C88" s="97">
        <v>70564177.86005877</v>
      </c>
      <c r="D88" s="97">
        <v>71985634.682197198</v>
      </c>
      <c r="E88" s="97">
        <v>73509734.806856707</v>
      </c>
      <c r="F88" s="97">
        <v>75037116.953091264</v>
      </c>
      <c r="H88" s="194">
        <f t="shared" si="6"/>
        <v>1</v>
      </c>
      <c r="I88" s="194">
        <f t="shared" si="7"/>
        <v>1.023771629261552</v>
      </c>
      <c r="J88" s="194">
        <f t="shared" si="8"/>
        <v>1.0201441703885139</v>
      </c>
      <c r="K88" s="194">
        <f t="shared" si="9"/>
        <v>1.0211722815446183</v>
      </c>
      <c r="L88" s="194">
        <f t="shared" si="10"/>
        <v>1.0207779575079095</v>
      </c>
    </row>
    <row r="89" spans="1:12" x14ac:dyDescent="0.2">
      <c r="A89" t="s">
        <v>226</v>
      </c>
      <c r="B89" s="97">
        <v>22140170.085725401</v>
      </c>
      <c r="C89" s="97">
        <v>22502850.01334513</v>
      </c>
      <c r="D89" s="97">
        <v>22870873.936694141</v>
      </c>
      <c r="E89" s="97">
        <v>23075197.509366725</v>
      </c>
      <c r="F89" s="97">
        <v>23331980.975203875</v>
      </c>
      <c r="H89" s="194">
        <f t="shared" si="6"/>
        <v>1</v>
      </c>
      <c r="I89" s="194">
        <f t="shared" si="7"/>
        <v>1.0163810813654752</v>
      </c>
      <c r="J89" s="194">
        <f t="shared" si="8"/>
        <v>1.016354547229829</v>
      </c>
      <c r="K89" s="194">
        <f t="shared" si="9"/>
        <v>1.0089337894668189</v>
      </c>
      <c r="L89" s="194">
        <f t="shared" si="10"/>
        <v>1.0111281156199385</v>
      </c>
    </row>
    <row r="90" spans="1:12" x14ac:dyDescent="0.2">
      <c r="A90" t="s">
        <v>227</v>
      </c>
      <c r="B90" s="97">
        <v>13013964.105450368</v>
      </c>
      <c r="C90" s="97">
        <v>13092220.299840858</v>
      </c>
      <c r="D90" s="97">
        <v>13399391.133374372</v>
      </c>
      <c r="E90" s="97">
        <v>13486260.077530084</v>
      </c>
      <c r="F90" s="97">
        <v>13702608.724130984</v>
      </c>
      <c r="H90" s="194">
        <f t="shared" si="6"/>
        <v>1</v>
      </c>
      <c r="I90" s="194">
        <f t="shared" si="7"/>
        <v>1.0060132480585002</v>
      </c>
      <c r="J90" s="194">
        <f t="shared" si="8"/>
        <v>1.0234620886678212</v>
      </c>
      <c r="K90" s="194">
        <f t="shared" si="9"/>
        <v>1.0064830516021988</v>
      </c>
      <c r="L90" s="194">
        <f t="shared" si="10"/>
        <v>1.0160421529287698</v>
      </c>
    </row>
    <row r="91" spans="1:12" x14ac:dyDescent="0.2">
      <c r="A91" t="s">
        <v>228</v>
      </c>
      <c r="B91" s="97">
        <v>4650364.9857804514</v>
      </c>
      <c r="C91" s="97">
        <v>4734270.5793433748</v>
      </c>
      <c r="D91" s="97">
        <v>4819061.3298585946</v>
      </c>
      <c r="E91" s="97">
        <v>4906143.8511956697</v>
      </c>
      <c r="F91" s="97">
        <v>4996876.0007210923</v>
      </c>
      <c r="H91" s="194">
        <f t="shared" si="6"/>
        <v>1</v>
      </c>
      <c r="I91" s="194">
        <f t="shared" si="7"/>
        <v>1.0180427974620236</v>
      </c>
      <c r="J91" s="194">
        <f t="shared" si="8"/>
        <v>1.0179099924886381</v>
      </c>
      <c r="K91" s="194">
        <f t="shared" si="9"/>
        <v>1.0180704322639593</v>
      </c>
      <c r="L91" s="194">
        <f t="shared" si="10"/>
        <v>1.0184935770897363</v>
      </c>
    </row>
    <row r="92" spans="1:12" x14ac:dyDescent="0.2">
      <c r="A92" t="s">
        <v>229</v>
      </c>
      <c r="B92" s="97">
        <v>102066028.81780389</v>
      </c>
      <c r="C92" s="97">
        <v>103859576.16265467</v>
      </c>
      <c r="D92" s="97">
        <v>105607065.5627301</v>
      </c>
      <c r="E92" s="97">
        <v>107214337.73466346</v>
      </c>
      <c r="F92" s="97">
        <v>109156193.13440484</v>
      </c>
      <c r="H92" s="194">
        <f t="shared" si="6"/>
        <v>1</v>
      </c>
      <c r="I92" s="194">
        <f t="shared" si="7"/>
        <v>1.0175724221430462</v>
      </c>
      <c r="J92" s="194">
        <f t="shared" si="8"/>
        <v>1.0168255009758436</v>
      </c>
      <c r="K92" s="194">
        <f t="shared" si="9"/>
        <v>1.0152193621077241</v>
      </c>
      <c r="L92" s="194">
        <f t="shared" si="10"/>
        <v>1.0181119003369412</v>
      </c>
    </row>
    <row r="93" spans="1:12" x14ac:dyDescent="0.2">
      <c r="A93" t="s">
        <v>230</v>
      </c>
      <c r="B93" s="97">
        <v>22639976.730821777</v>
      </c>
      <c r="C93" s="97">
        <v>22838847.426448792</v>
      </c>
      <c r="D93" s="97">
        <v>22888742.495292805</v>
      </c>
      <c r="E93" s="97">
        <v>22887932.704482891</v>
      </c>
      <c r="F93" s="97">
        <v>23067915.159442395</v>
      </c>
      <c r="H93" s="194">
        <f t="shared" si="6"/>
        <v>1</v>
      </c>
      <c r="I93" s="194">
        <f t="shared" si="7"/>
        <v>1.0087840503544456</v>
      </c>
      <c r="J93" s="194">
        <f t="shared" si="8"/>
        <v>1.0021846579169416</v>
      </c>
      <c r="K93" s="194">
        <f t="shared" si="9"/>
        <v>0.99996462056357704</v>
      </c>
      <c r="L93" s="194">
        <f t="shared" si="10"/>
        <v>1.0078636396429221</v>
      </c>
    </row>
    <row r="94" spans="1:12" x14ac:dyDescent="0.2">
      <c r="A94" t="s">
        <v>231</v>
      </c>
      <c r="B94" s="97">
        <v>20049005.75305701</v>
      </c>
      <c r="C94" s="97">
        <v>20683123.422440317</v>
      </c>
      <c r="D94" s="97">
        <v>21198310.975076072</v>
      </c>
      <c r="E94" s="97">
        <v>21777621.434810635</v>
      </c>
      <c r="F94" s="97">
        <v>22391679.743833911</v>
      </c>
      <c r="H94" s="194">
        <f t="shared" si="6"/>
        <v>1</v>
      </c>
      <c r="I94" s="194">
        <f t="shared" si="7"/>
        <v>1.0316283848283407</v>
      </c>
      <c r="J94" s="194">
        <f t="shared" si="8"/>
        <v>1.0249085953853951</v>
      </c>
      <c r="K94" s="194">
        <f t="shared" si="9"/>
        <v>1.0273281423418916</v>
      </c>
      <c r="L94" s="194">
        <f t="shared" si="10"/>
        <v>1.0281967574310815</v>
      </c>
    </row>
    <row r="95" spans="1:12" x14ac:dyDescent="0.2">
      <c r="A95" t="s">
        <v>232</v>
      </c>
      <c r="B95" s="97">
        <v>18014286.866258852</v>
      </c>
      <c r="C95" s="97">
        <v>18149810.450917151</v>
      </c>
      <c r="D95" s="97">
        <v>18308819.22779388</v>
      </c>
      <c r="E95" s="97">
        <v>18475111.371740498</v>
      </c>
      <c r="F95" s="97">
        <v>18758984.805909544</v>
      </c>
      <c r="H95" s="194">
        <f t="shared" si="6"/>
        <v>1</v>
      </c>
      <c r="I95" s="194">
        <f t="shared" si="7"/>
        <v>1.007523116827463</v>
      </c>
      <c r="J95" s="194">
        <f t="shared" si="8"/>
        <v>1.0087609056472926</v>
      </c>
      <c r="K95" s="194">
        <f t="shared" si="9"/>
        <v>1.0090826252571317</v>
      </c>
      <c r="L95" s="194">
        <f t="shared" si="10"/>
        <v>1.0153651812136439</v>
      </c>
    </row>
    <row r="96" spans="1:12" x14ac:dyDescent="0.2">
      <c r="A96" t="s">
        <v>233</v>
      </c>
      <c r="B96" s="97">
        <v>2488820.258428399</v>
      </c>
      <c r="C96" s="97">
        <v>2494028.1399304075</v>
      </c>
      <c r="D96" s="97">
        <v>2534464.2195477346</v>
      </c>
      <c r="E96" s="97">
        <v>2576258.7174259285</v>
      </c>
      <c r="F96" s="97">
        <v>2582000.5318061677</v>
      </c>
      <c r="H96" s="194">
        <f t="shared" si="6"/>
        <v>1</v>
      </c>
      <c r="I96" s="194">
        <f t="shared" si="7"/>
        <v>1.0020925100896185</v>
      </c>
      <c r="J96" s="194">
        <f t="shared" si="8"/>
        <v>1.0162131609382945</v>
      </c>
      <c r="K96" s="194">
        <f t="shared" si="9"/>
        <v>1.0164904667250154</v>
      </c>
      <c r="L96" s="194">
        <f t="shared" si="10"/>
        <v>1.0022287413687925</v>
      </c>
    </row>
    <row r="97" spans="1:12" x14ac:dyDescent="0.2">
      <c r="A97" t="s">
        <v>234</v>
      </c>
      <c r="B97" s="97">
        <v>15781341.122957245</v>
      </c>
      <c r="C97" s="97">
        <v>15943078.812555971</v>
      </c>
      <c r="D97" s="97">
        <v>16013313.241968462</v>
      </c>
      <c r="E97" s="97">
        <v>16147807.397930581</v>
      </c>
      <c r="F97" s="97">
        <v>16262612.585182067</v>
      </c>
      <c r="H97" s="194">
        <f t="shared" si="6"/>
        <v>1</v>
      </c>
      <c r="I97" s="194">
        <f t="shared" si="7"/>
        <v>1.0102486657083565</v>
      </c>
      <c r="J97" s="194">
        <f t="shared" si="8"/>
        <v>1.0044053241057291</v>
      </c>
      <c r="K97" s="194">
        <f t="shared" si="9"/>
        <v>1.0083988962140347</v>
      </c>
      <c r="L97" s="194">
        <f t="shared" si="10"/>
        <v>1.0071096455650195</v>
      </c>
    </row>
    <row r="98" spans="1:12" x14ac:dyDescent="0.2">
      <c r="A98" t="s">
        <v>235</v>
      </c>
      <c r="B98" s="97">
        <v>113689971.3893519</v>
      </c>
      <c r="C98" s="97">
        <v>116240673.57773063</v>
      </c>
      <c r="D98" s="97">
        <v>118859668.55278416</v>
      </c>
      <c r="E98" s="97">
        <v>121249603.32974625</v>
      </c>
      <c r="F98" s="97">
        <v>123825953.29639693</v>
      </c>
      <c r="H98" s="194">
        <f t="shared" si="6"/>
        <v>1</v>
      </c>
      <c r="I98" s="194">
        <f t="shared" si="7"/>
        <v>1.0224355953054416</v>
      </c>
      <c r="J98" s="194">
        <f t="shared" si="8"/>
        <v>1.0225307966174353</v>
      </c>
      <c r="K98" s="194">
        <f t="shared" si="9"/>
        <v>1.020107197050619</v>
      </c>
      <c r="L98" s="194">
        <f t="shared" si="10"/>
        <v>1.0212483166616564</v>
      </c>
    </row>
    <row r="99" spans="1:12" x14ac:dyDescent="0.2">
      <c r="A99" t="s">
        <v>236</v>
      </c>
      <c r="B99" s="97">
        <v>9833707.2584907617</v>
      </c>
      <c r="C99" s="97">
        <v>10101518.62159371</v>
      </c>
      <c r="D99" s="97">
        <v>10248471.374904761</v>
      </c>
      <c r="E99" s="97">
        <v>10460726.188063668</v>
      </c>
      <c r="F99" s="97">
        <v>10634331.822213737</v>
      </c>
      <c r="H99" s="194">
        <f t="shared" si="6"/>
        <v>1</v>
      </c>
      <c r="I99" s="194">
        <f t="shared" si="7"/>
        <v>1.027234018266276</v>
      </c>
      <c r="J99" s="194">
        <f t="shared" si="8"/>
        <v>1.0145475902006371</v>
      </c>
      <c r="K99" s="194">
        <f t="shared" si="9"/>
        <v>1.020710875348557</v>
      </c>
      <c r="L99" s="194">
        <f t="shared" si="10"/>
        <v>1.0165959447775399</v>
      </c>
    </row>
    <row r="100" spans="1:12" x14ac:dyDescent="0.2">
      <c r="A100" t="s">
        <v>237</v>
      </c>
      <c r="B100" s="97">
        <v>6404365.9980200669</v>
      </c>
      <c r="C100" s="97">
        <v>6512381.3186252434</v>
      </c>
      <c r="D100" s="97">
        <v>6621159.0583755923</v>
      </c>
      <c r="E100" s="97">
        <v>6731697.0371442949</v>
      </c>
      <c r="F100" s="97">
        <v>6846121.5030689826</v>
      </c>
      <c r="H100" s="194">
        <f t="shared" si="6"/>
        <v>1</v>
      </c>
      <c r="I100" s="194">
        <f t="shared" si="7"/>
        <v>1.016865888151703</v>
      </c>
      <c r="J100" s="194">
        <f t="shared" si="8"/>
        <v>1.0167032202858342</v>
      </c>
      <c r="K100" s="194">
        <f t="shared" si="9"/>
        <v>1.0166946569013282</v>
      </c>
      <c r="L100" s="194">
        <f t="shared" si="10"/>
        <v>1.0169978632866741</v>
      </c>
    </row>
    <row r="101" spans="1:12" x14ac:dyDescent="0.2">
      <c r="A101" t="s">
        <v>238</v>
      </c>
      <c r="B101" s="97">
        <v>33807951.263200954</v>
      </c>
      <c r="C101" s="97">
        <v>34562888.906310208</v>
      </c>
      <c r="D101" s="97">
        <v>35521222.038422555</v>
      </c>
      <c r="E101" s="97">
        <v>36381720.325831011</v>
      </c>
      <c r="F101" s="97">
        <v>37140354.882661738</v>
      </c>
      <c r="H101" s="194">
        <f t="shared" si="6"/>
        <v>1</v>
      </c>
      <c r="I101" s="194">
        <f t="shared" si="7"/>
        <v>1.0223301801766078</v>
      </c>
      <c r="J101" s="194">
        <f t="shared" si="8"/>
        <v>1.0277272288988952</v>
      </c>
      <c r="K101" s="194">
        <f t="shared" si="9"/>
        <v>1.0242249066340587</v>
      </c>
      <c r="L101" s="194">
        <f t="shared" si="10"/>
        <v>1.0208520803864267</v>
      </c>
    </row>
    <row r="102" spans="1:12" x14ac:dyDescent="0.2">
      <c r="A102" t="s">
        <v>239</v>
      </c>
      <c r="B102" s="97">
        <v>5273025.3608080754</v>
      </c>
      <c r="C102" s="97">
        <v>5312011.7437102254</v>
      </c>
      <c r="D102" s="97">
        <v>5421389.0351425065</v>
      </c>
      <c r="E102" s="97">
        <v>5531306.4273176566</v>
      </c>
      <c r="F102" s="97">
        <v>5610062.9859412275</v>
      </c>
      <c r="H102" s="194">
        <f t="shared" si="6"/>
        <v>1</v>
      </c>
      <c r="I102" s="194">
        <f t="shared" si="7"/>
        <v>1.0073935511844714</v>
      </c>
      <c r="J102" s="194">
        <f t="shared" si="8"/>
        <v>1.0205905590404221</v>
      </c>
      <c r="K102" s="194">
        <f t="shared" si="9"/>
        <v>1.0202747656481843</v>
      </c>
      <c r="L102" s="194">
        <f t="shared" si="10"/>
        <v>1.0142383286224415</v>
      </c>
    </row>
    <row r="103" spans="1:12" x14ac:dyDescent="0.2">
      <c r="A103" t="s">
        <v>240</v>
      </c>
      <c r="B103" s="97">
        <v>5685479.5526888706</v>
      </c>
      <c r="C103" s="97">
        <v>5793294.6249368247</v>
      </c>
      <c r="D103" s="97">
        <v>5900856.9782242179</v>
      </c>
      <c r="E103" s="97">
        <v>6015105.7186219003</v>
      </c>
      <c r="F103" s="97">
        <v>6130377.6939164083</v>
      </c>
      <c r="H103" s="194">
        <f t="shared" si="6"/>
        <v>1</v>
      </c>
      <c r="I103" s="194">
        <f t="shared" si="7"/>
        <v>1.018963232784289</v>
      </c>
      <c r="J103" s="194">
        <f t="shared" si="8"/>
        <v>1.0185666982694783</v>
      </c>
      <c r="K103" s="194">
        <f t="shared" si="9"/>
        <v>1.0193613810365667</v>
      </c>
      <c r="L103" s="194">
        <f t="shared" si="10"/>
        <v>1.0191637488494412</v>
      </c>
    </row>
    <row r="104" spans="1:12" x14ac:dyDescent="0.2">
      <c r="A104" t="s">
        <v>241</v>
      </c>
      <c r="B104" s="97">
        <v>101213165.98096046</v>
      </c>
      <c r="C104" s="97">
        <v>102898579.3302702</v>
      </c>
      <c r="D104" s="97">
        <v>104908110.22892806</v>
      </c>
      <c r="E104" s="97">
        <v>106483608.20038715</v>
      </c>
      <c r="F104" s="97">
        <v>108010706.83797808</v>
      </c>
      <c r="H104" s="194">
        <f t="shared" si="6"/>
        <v>1</v>
      </c>
      <c r="I104" s="194">
        <f t="shared" si="7"/>
        <v>1.0166521156904309</v>
      </c>
      <c r="J104" s="194">
        <f t="shared" si="8"/>
        <v>1.0195292385156061</v>
      </c>
      <c r="K104" s="194">
        <f t="shared" si="9"/>
        <v>1.015017885347673</v>
      </c>
      <c r="L104" s="194">
        <f t="shared" si="10"/>
        <v>1.0143411616435569</v>
      </c>
    </row>
    <row r="105" spans="1:12" x14ac:dyDescent="0.2">
      <c r="A105" t="s">
        <v>242</v>
      </c>
      <c r="B105" s="97">
        <v>207949305.34554672</v>
      </c>
      <c r="C105" s="97">
        <v>211027100.42655572</v>
      </c>
      <c r="D105" s="97">
        <v>214245943.54051846</v>
      </c>
      <c r="E105" s="97">
        <v>217412773.99789014</v>
      </c>
      <c r="F105" s="97">
        <v>220870688.54475215</v>
      </c>
      <c r="H105" s="194">
        <f t="shared" si="6"/>
        <v>1</v>
      </c>
      <c r="I105" s="194">
        <f t="shared" si="7"/>
        <v>1.0148006990256335</v>
      </c>
      <c r="J105" s="194">
        <f t="shared" si="8"/>
        <v>1.0152532215410077</v>
      </c>
      <c r="K105" s="194">
        <f t="shared" si="9"/>
        <v>1.01478128549385</v>
      </c>
      <c r="L105" s="194">
        <f t="shared" si="10"/>
        <v>1.0159048361477396</v>
      </c>
    </row>
    <row r="106" spans="1:12" x14ac:dyDescent="0.2">
      <c r="A106" t="s">
        <v>243</v>
      </c>
      <c r="B106" s="97">
        <v>13668861.843986306</v>
      </c>
      <c r="C106" s="97">
        <v>13918149.633035658</v>
      </c>
      <c r="D106" s="97">
        <v>14269433.676549848</v>
      </c>
      <c r="E106" s="97">
        <v>14552713.442135485</v>
      </c>
      <c r="F106" s="97">
        <v>14819754.240473002</v>
      </c>
      <c r="H106" s="194">
        <f t="shared" si="6"/>
        <v>1</v>
      </c>
      <c r="I106" s="194">
        <f t="shared" si="7"/>
        <v>1.0182376405508136</v>
      </c>
      <c r="J106" s="194">
        <f t="shared" si="8"/>
        <v>1.0252392776896431</v>
      </c>
      <c r="K106" s="194">
        <f t="shared" si="9"/>
        <v>1.0198522080137753</v>
      </c>
      <c r="L106" s="194">
        <f t="shared" si="10"/>
        <v>1.0183498973850702</v>
      </c>
    </row>
    <row r="107" spans="1:12" x14ac:dyDescent="0.2">
      <c r="A107" t="s">
        <v>244</v>
      </c>
      <c r="B107" s="97">
        <v>15860539.786227329</v>
      </c>
      <c r="C107" s="97">
        <v>16084051.085483095</v>
      </c>
      <c r="D107" s="97">
        <v>16514856.972456466</v>
      </c>
      <c r="E107" s="97">
        <v>16768774.684236849</v>
      </c>
      <c r="F107" s="97">
        <v>16941244.746040747</v>
      </c>
      <c r="H107" s="194">
        <f t="shared" si="6"/>
        <v>1</v>
      </c>
      <c r="I107" s="194">
        <f t="shared" si="7"/>
        <v>1.0140922882996615</v>
      </c>
      <c r="J107" s="194">
        <f t="shared" si="8"/>
        <v>1.0267846629362054</v>
      </c>
      <c r="K107" s="194">
        <f t="shared" si="9"/>
        <v>1.0153751081346856</v>
      </c>
      <c r="L107" s="194">
        <f t="shared" si="10"/>
        <v>1.0102851916762901</v>
      </c>
    </row>
    <row r="108" spans="1:12" x14ac:dyDescent="0.2">
      <c r="A108" t="s">
        <v>245</v>
      </c>
      <c r="B108" s="97">
        <v>22737829.736462466</v>
      </c>
      <c r="C108" s="97">
        <v>22813818.917026713</v>
      </c>
      <c r="D108" s="97">
        <v>22922640.576971263</v>
      </c>
      <c r="E108" s="97">
        <v>22704252.598182209</v>
      </c>
      <c r="F108" s="97">
        <v>22810883.052829843</v>
      </c>
      <c r="H108" s="194">
        <f t="shared" si="6"/>
        <v>1</v>
      </c>
      <c r="I108" s="194">
        <f t="shared" si="7"/>
        <v>1.0033419715709451</v>
      </c>
      <c r="J108" s="194">
        <f t="shared" si="8"/>
        <v>1.004769988766034</v>
      </c>
      <c r="K108" s="194">
        <f t="shared" si="9"/>
        <v>0.99047282628474953</v>
      </c>
      <c r="L108" s="194">
        <f t="shared" si="10"/>
        <v>1.0046964970190726</v>
      </c>
    </row>
    <row r="109" spans="1:12" x14ac:dyDescent="0.2">
      <c r="A109" t="s">
        <v>246</v>
      </c>
      <c r="B109" s="97">
        <v>5662860.1843063906</v>
      </c>
      <c r="C109" s="97">
        <v>5728279.0160170048</v>
      </c>
      <c r="D109" s="97">
        <v>5801181.3153876038</v>
      </c>
      <c r="E109" s="97">
        <v>5825201.8463052679</v>
      </c>
      <c r="F109" s="97">
        <v>5915805.0557372449</v>
      </c>
      <c r="H109" s="194">
        <f t="shared" si="6"/>
        <v>1</v>
      </c>
      <c r="I109" s="194">
        <f t="shared" si="7"/>
        <v>1.0115522597382698</v>
      </c>
      <c r="J109" s="194">
        <f t="shared" si="8"/>
        <v>1.0127267368029307</v>
      </c>
      <c r="K109" s="194">
        <f t="shared" si="9"/>
        <v>1.0041406275052893</v>
      </c>
      <c r="L109" s="194">
        <f t="shared" si="10"/>
        <v>1.0155536600829451</v>
      </c>
    </row>
    <row r="110" spans="1:12" x14ac:dyDescent="0.2">
      <c r="A110" t="s">
        <v>247</v>
      </c>
      <c r="B110" s="97">
        <v>218279994.05016336</v>
      </c>
      <c r="C110" s="97">
        <v>224070365.04091477</v>
      </c>
      <c r="D110" s="97">
        <v>229834687.01777047</v>
      </c>
      <c r="E110" s="97">
        <v>236330977.61518908</v>
      </c>
      <c r="F110" s="97">
        <v>242588076.39329001</v>
      </c>
      <c r="H110" s="194">
        <f t="shared" si="6"/>
        <v>1</v>
      </c>
      <c r="I110" s="194">
        <f t="shared" si="7"/>
        <v>1.0265272638289551</v>
      </c>
      <c r="J110" s="194">
        <f t="shared" si="8"/>
        <v>1.0257254991118667</v>
      </c>
      <c r="K110" s="194">
        <f t="shared" si="9"/>
        <v>1.0282650572971013</v>
      </c>
      <c r="L110" s="194">
        <f t="shared" si="10"/>
        <v>1.0264759992161891</v>
      </c>
    </row>
    <row r="111" spans="1:12" x14ac:dyDescent="0.2">
      <c r="A111" t="s">
        <v>248</v>
      </c>
      <c r="B111" s="97">
        <v>9575853.3451595847</v>
      </c>
      <c r="C111" s="97">
        <v>9712379.7404250652</v>
      </c>
      <c r="D111" s="97">
        <v>9813877.8209832404</v>
      </c>
      <c r="E111" s="97">
        <v>9958036.2919499986</v>
      </c>
      <c r="F111" s="97">
        <v>10106632.466119258</v>
      </c>
      <c r="H111" s="194">
        <f t="shared" si="6"/>
        <v>1</v>
      </c>
      <c r="I111" s="194">
        <f t="shared" si="7"/>
        <v>1.0142573607118255</v>
      </c>
      <c r="J111" s="194">
        <f t="shared" si="8"/>
        <v>1.0104503822205095</v>
      </c>
      <c r="K111" s="194">
        <f t="shared" si="9"/>
        <v>1.0146892465543569</v>
      </c>
      <c r="L111" s="194">
        <f t="shared" si="10"/>
        <v>1.0149222366551709</v>
      </c>
    </row>
    <row r="112" spans="1:12" x14ac:dyDescent="0.2">
      <c r="A112" t="s">
        <v>249</v>
      </c>
      <c r="B112" s="97">
        <v>48201482.08705458</v>
      </c>
      <c r="C112" s="97">
        <v>48449360.230102979</v>
      </c>
      <c r="D112" s="97">
        <v>48859299.694449887</v>
      </c>
      <c r="E112" s="97">
        <v>49346179.634618856</v>
      </c>
      <c r="F112" s="97">
        <v>50020254.992289767</v>
      </c>
      <c r="H112" s="194">
        <f t="shared" si="6"/>
        <v>1</v>
      </c>
      <c r="I112" s="194">
        <f t="shared" si="7"/>
        <v>1.0051425419367961</v>
      </c>
      <c r="J112" s="194">
        <f t="shared" si="8"/>
        <v>1.0084611945833746</v>
      </c>
      <c r="K112" s="194">
        <f t="shared" si="9"/>
        <v>1.0099649389822154</v>
      </c>
      <c r="L112" s="194">
        <f t="shared" si="10"/>
        <v>1.0136601326113199</v>
      </c>
    </row>
    <row r="113" spans="1:12" x14ac:dyDescent="0.2">
      <c r="A113" t="s">
        <v>250</v>
      </c>
      <c r="B113" s="97">
        <v>1915285.9577804268</v>
      </c>
      <c r="C113" s="97">
        <v>1956631.9534457924</v>
      </c>
      <c r="D113" s="97">
        <v>1997800.9982110264</v>
      </c>
      <c r="E113" s="97">
        <v>2037660.9152989353</v>
      </c>
      <c r="F113" s="97">
        <v>2081648.8531301417</v>
      </c>
      <c r="H113" s="194">
        <f t="shared" si="6"/>
        <v>1</v>
      </c>
      <c r="I113" s="194">
        <f t="shared" si="7"/>
        <v>1.0215873747193762</v>
      </c>
      <c r="J113" s="194">
        <f t="shared" si="8"/>
        <v>1.0210407709496576</v>
      </c>
      <c r="K113" s="194">
        <f t="shared" si="9"/>
        <v>1.0199518956710916</v>
      </c>
      <c r="L113" s="194">
        <f t="shared" si="10"/>
        <v>1.0215874670318998</v>
      </c>
    </row>
    <row r="114" spans="1:12" x14ac:dyDescent="0.2">
      <c r="A114" t="s">
        <v>251</v>
      </c>
      <c r="B114" s="97">
        <v>32290968.050737131</v>
      </c>
      <c r="C114" s="97">
        <v>32197064.901157513</v>
      </c>
      <c r="D114" s="97">
        <v>32536314.98162014</v>
      </c>
      <c r="E114" s="97">
        <v>32625960.492973249</v>
      </c>
      <c r="F114" s="97">
        <v>32789024.952467568</v>
      </c>
      <c r="H114" s="194">
        <f t="shared" si="6"/>
        <v>1</v>
      </c>
      <c r="I114" s="194">
        <f t="shared" si="7"/>
        <v>0.99709196858291538</v>
      </c>
      <c r="J114" s="194">
        <f t="shared" si="8"/>
        <v>1.0105366772252098</v>
      </c>
      <c r="K114" s="194">
        <f t="shared" si="9"/>
        <v>1.0027552447597017</v>
      </c>
      <c r="L114" s="194">
        <f t="shared" si="10"/>
        <v>1.0049979972092911</v>
      </c>
    </row>
    <row r="115" spans="1:12" x14ac:dyDescent="0.2">
      <c r="A115" t="s">
        <v>311</v>
      </c>
      <c r="B115" s="97">
        <v>13952318.518851787</v>
      </c>
      <c r="C115" s="97">
        <v>14091567.726207497</v>
      </c>
      <c r="D115" s="97">
        <v>14279185.471684054</v>
      </c>
      <c r="E115" s="97">
        <v>14363811.249100745</v>
      </c>
      <c r="F115" s="97">
        <v>14614226.882869905</v>
      </c>
      <c r="H115" s="194">
        <f t="shared" si="6"/>
        <v>1</v>
      </c>
      <c r="I115" s="194">
        <f t="shared" si="7"/>
        <v>1.0099803632756492</v>
      </c>
      <c r="J115" s="194">
        <f t="shared" si="8"/>
        <v>1.0133141854137084</v>
      </c>
      <c r="K115" s="194">
        <f t="shared" si="9"/>
        <v>1.0059265129362249</v>
      </c>
      <c r="L115" s="194">
        <f t="shared" si="10"/>
        <v>1.0174337875530659</v>
      </c>
    </row>
    <row r="116" spans="1:12" x14ac:dyDescent="0.2">
      <c r="A116" t="s">
        <v>252</v>
      </c>
      <c r="B116" s="97">
        <v>2844085.9990616101</v>
      </c>
      <c r="C116" s="97">
        <v>2885145.5342371268</v>
      </c>
      <c r="D116" s="97">
        <v>2927419.6178097716</v>
      </c>
      <c r="E116" s="97">
        <v>2971669.5880049686</v>
      </c>
      <c r="F116" s="97">
        <v>3018582.6116385893</v>
      </c>
      <c r="H116" s="194">
        <f t="shared" si="6"/>
        <v>1</v>
      </c>
      <c r="I116" s="194">
        <f t="shared" si="7"/>
        <v>1.0144368121038057</v>
      </c>
      <c r="J116" s="194">
        <f t="shared" si="8"/>
        <v>1.0146523227584159</v>
      </c>
      <c r="K116" s="194">
        <f t="shared" si="9"/>
        <v>1.0151156909402363</v>
      </c>
      <c r="L116" s="194">
        <f t="shared" si="10"/>
        <v>1.0157867563146936</v>
      </c>
    </row>
    <row r="117" spans="1:12" x14ac:dyDescent="0.2">
      <c r="A117" t="s">
        <v>253</v>
      </c>
      <c r="B117" s="97">
        <v>8008742.5406757668</v>
      </c>
      <c r="C117" s="97">
        <v>8124007.4192022691</v>
      </c>
      <c r="D117" s="97">
        <v>8275437.9146777987</v>
      </c>
      <c r="E117" s="97">
        <v>8376943.4447596176</v>
      </c>
      <c r="F117" s="97">
        <v>8499346.8238914721</v>
      </c>
      <c r="H117" s="194">
        <f t="shared" si="6"/>
        <v>1</v>
      </c>
      <c r="I117" s="194">
        <f t="shared" si="7"/>
        <v>1.0143923815681526</v>
      </c>
      <c r="J117" s="194">
        <f t="shared" si="8"/>
        <v>1.0186398765611171</v>
      </c>
      <c r="K117" s="194">
        <f t="shared" si="9"/>
        <v>1.0122658802021562</v>
      </c>
      <c r="L117" s="194">
        <f t="shared" si="10"/>
        <v>1.014611938105948</v>
      </c>
    </row>
    <row r="118" spans="1:12" x14ac:dyDescent="0.2">
      <c r="A118" t="s">
        <v>254</v>
      </c>
      <c r="B118" s="97">
        <v>7853865.6283440441</v>
      </c>
      <c r="C118" s="97">
        <v>7960755.2372161215</v>
      </c>
      <c r="D118" s="97">
        <v>8029380.1402101889</v>
      </c>
      <c r="E118" s="97">
        <v>8078654.4094183445</v>
      </c>
      <c r="F118" s="97">
        <v>8256840.9705978092</v>
      </c>
      <c r="H118" s="194">
        <f t="shared" si="6"/>
        <v>1</v>
      </c>
      <c r="I118" s="194">
        <f t="shared" si="7"/>
        <v>1.0136098087146181</v>
      </c>
      <c r="J118" s="194">
        <f t="shared" si="8"/>
        <v>1.0086204010736632</v>
      </c>
      <c r="K118" s="194">
        <f t="shared" si="9"/>
        <v>1.0061367463425221</v>
      </c>
      <c r="L118" s="194">
        <f t="shared" si="10"/>
        <v>1.0220564653652877</v>
      </c>
    </row>
    <row r="119" spans="1:12" x14ac:dyDescent="0.2">
      <c r="A119" t="s">
        <v>222</v>
      </c>
      <c r="B119" s="97">
        <v>15919900.030829249</v>
      </c>
      <c r="C119" s="97">
        <v>16130409.319413241</v>
      </c>
      <c r="D119" s="97">
        <v>16071610.248678543</v>
      </c>
      <c r="E119" s="97">
        <v>16281303.452891076</v>
      </c>
      <c r="F119" s="97">
        <v>16312048.625177344</v>
      </c>
      <c r="H119" s="194">
        <f t="shared" si="6"/>
        <v>1</v>
      </c>
      <c r="I119" s="194">
        <f t="shared" si="7"/>
        <v>1.0132230282964301</v>
      </c>
      <c r="J119" s="194">
        <f t="shared" si="8"/>
        <v>0.99635476883627916</v>
      </c>
      <c r="K119" s="194">
        <f t="shared" si="9"/>
        <v>1.0130474296581311</v>
      </c>
      <c r="L119" s="194">
        <f t="shared" si="10"/>
        <v>1.0018883729042474</v>
      </c>
    </row>
    <row r="120" spans="1:12" x14ac:dyDescent="0.2">
      <c r="A120" t="s">
        <v>128</v>
      </c>
      <c r="B120" s="97">
        <v>14965191.355082974</v>
      </c>
      <c r="C120" s="97">
        <v>15022080.423756408</v>
      </c>
      <c r="D120" s="97">
        <v>15115464.643461479</v>
      </c>
      <c r="E120" s="97">
        <v>15197968.480421415</v>
      </c>
      <c r="F120" s="97">
        <v>15328249.112878699</v>
      </c>
      <c r="H120" s="194">
        <f t="shared" si="6"/>
        <v>1</v>
      </c>
      <c r="I120" s="194">
        <f t="shared" si="7"/>
        <v>1.0038014260775965</v>
      </c>
      <c r="J120" s="194">
        <f t="shared" si="8"/>
        <v>1.0062164638366196</v>
      </c>
      <c r="K120" s="194">
        <f t="shared" si="9"/>
        <v>1.0054582402133185</v>
      </c>
      <c r="L120" s="194">
        <f t="shared" si="10"/>
        <v>1.0085722399428001</v>
      </c>
    </row>
    <row r="121" spans="1:12" x14ac:dyDescent="0.2">
      <c r="A121" t="s">
        <v>255</v>
      </c>
      <c r="B121" s="97">
        <v>274701870.97725362</v>
      </c>
      <c r="C121" s="97">
        <v>280647340.01529288</v>
      </c>
      <c r="D121" s="97">
        <v>287209553.29105496</v>
      </c>
      <c r="E121" s="97">
        <v>293414113.87819237</v>
      </c>
      <c r="F121" s="97">
        <v>299478233.68212974</v>
      </c>
      <c r="H121" s="194">
        <f t="shared" si="6"/>
        <v>1</v>
      </c>
      <c r="I121" s="194">
        <f t="shared" si="7"/>
        <v>1.0216433510878111</v>
      </c>
      <c r="J121" s="194">
        <f t="shared" si="8"/>
        <v>1.0233824175044899</v>
      </c>
      <c r="K121" s="194">
        <f t="shared" si="9"/>
        <v>1.0216029046250066</v>
      </c>
      <c r="L121" s="194">
        <f t="shared" si="10"/>
        <v>1.0206674441245687</v>
      </c>
    </row>
    <row r="122" spans="1:12" x14ac:dyDescent="0.2">
      <c r="A122" t="s">
        <v>256</v>
      </c>
      <c r="B122" s="97">
        <v>17779466.133837949</v>
      </c>
      <c r="C122" s="97">
        <v>18281961.364198852</v>
      </c>
      <c r="D122" s="97">
        <v>18715765.034584083</v>
      </c>
      <c r="E122" s="97">
        <v>19223477.368547991</v>
      </c>
      <c r="F122" s="97">
        <v>19523756.576232817</v>
      </c>
      <c r="H122" s="194">
        <f t="shared" si="6"/>
        <v>1</v>
      </c>
      <c r="I122" s="194">
        <f t="shared" si="7"/>
        <v>1.0282626726009816</v>
      </c>
      <c r="J122" s="194">
        <f t="shared" si="8"/>
        <v>1.0237285082132783</v>
      </c>
      <c r="K122" s="194">
        <f t="shared" si="9"/>
        <v>1.0271275223334835</v>
      </c>
      <c r="L122" s="194">
        <f t="shared" si="10"/>
        <v>1.0156204417092674</v>
      </c>
    </row>
    <row r="123" spans="1:12" x14ac:dyDescent="0.2">
      <c r="A123" t="s">
        <v>257</v>
      </c>
      <c r="B123" s="97">
        <v>21005372.469476469</v>
      </c>
      <c r="C123" s="97">
        <v>21519265.969990101</v>
      </c>
      <c r="D123" s="97">
        <v>22063336.970840123</v>
      </c>
      <c r="E123" s="97">
        <v>22592517.699473884</v>
      </c>
      <c r="F123" s="97">
        <v>23048207.658861436</v>
      </c>
      <c r="H123" s="194">
        <f t="shared" si="6"/>
        <v>1</v>
      </c>
      <c r="I123" s="194">
        <f t="shared" si="7"/>
        <v>1.0244648601809079</v>
      </c>
      <c r="J123" s="194">
        <f t="shared" si="8"/>
        <v>1.0252829720869086</v>
      </c>
      <c r="K123" s="194">
        <f t="shared" si="9"/>
        <v>1.0239846188875759</v>
      </c>
      <c r="L123" s="194">
        <f t="shared" si="10"/>
        <v>1.0201699503105033</v>
      </c>
    </row>
    <row r="124" spans="1:12" x14ac:dyDescent="0.2">
      <c r="A124" t="s">
        <v>259</v>
      </c>
      <c r="B124" s="97">
        <v>22023371.281944089</v>
      </c>
      <c r="C124" s="97">
        <v>22262908.966368858</v>
      </c>
      <c r="D124" s="97">
        <v>22435996.183061812</v>
      </c>
      <c r="E124" s="97">
        <v>22729196.820780031</v>
      </c>
      <c r="F124" s="97">
        <v>22897984.54607024</v>
      </c>
      <c r="H124" s="194">
        <f t="shared" si="6"/>
        <v>1</v>
      </c>
      <c r="I124" s="194">
        <f t="shared" si="7"/>
        <v>1.0108765220981928</v>
      </c>
      <c r="J124" s="194">
        <f t="shared" si="8"/>
        <v>1.0077746900440741</v>
      </c>
      <c r="K124" s="194">
        <f t="shared" si="9"/>
        <v>1.013068313763557</v>
      </c>
      <c r="L124" s="194">
        <f t="shared" si="10"/>
        <v>1.0074260312241168</v>
      </c>
    </row>
    <row r="125" spans="1:12" x14ac:dyDescent="0.2">
      <c r="A125" t="s">
        <v>260</v>
      </c>
      <c r="B125" s="97">
        <v>6890089.5533361575</v>
      </c>
      <c r="C125" s="97">
        <v>6955061.4262406975</v>
      </c>
      <c r="D125" s="97">
        <v>7059688.0049023647</v>
      </c>
      <c r="E125" s="97">
        <v>7165735.79076719</v>
      </c>
      <c r="F125" s="97">
        <v>7277400.0399361402</v>
      </c>
      <c r="H125" s="194">
        <f t="shared" si="6"/>
        <v>1</v>
      </c>
      <c r="I125" s="194">
        <f t="shared" si="7"/>
        <v>1.0094297573930779</v>
      </c>
      <c r="J125" s="194">
        <f t="shared" si="8"/>
        <v>1.0150432285568209</v>
      </c>
      <c r="K125" s="194">
        <f t="shared" si="9"/>
        <v>1.0150215966755449</v>
      </c>
      <c r="L125" s="194">
        <f t="shared" si="10"/>
        <v>1.0155830821048168</v>
      </c>
    </row>
    <row r="126" spans="1:12" x14ac:dyDescent="0.2">
      <c r="A126" t="s">
        <v>261</v>
      </c>
      <c r="B126" s="97">
        <v>145955822.35078257</v>
      </c>
      <c r="C126" s="97">
        <v>148937204.93064052</v>
      </c>
      <c r="D126" s="97">
        <v>151925651.52627608</v>
      </c>
      <c r="E126" s="97">
        <v>155039667.329999</v>
      </c>
      <c r="F126" s="97">
        <v>158040235.75529185</v>
      </c>
      <c r="H126" s="194">
        <f t="shared" si="6"/>
        <v>1</v>
      </c>
      <c r="I126" s="194">
        <f t="shared" si="7"/>
        <v>1.0204266094482524</v>
      </c>
      <c r="J126" s="194">
        <f t="shared" si="8"/>
        <v>1.0200651448845657</v>
      </c>
      <c r="K126" s="194">
        <f t="shared" si="9"/>
        <v>1.0204969718572137</v>
      </c>
      <c r="L126" s="194">
        <f t="shared" si="10"/>
        <v>1.0193535530420494</v>
      </c>
    </row>
    <row r="127" spans="1:12" x14ac:dyDescent="0.2">
      <c r="A127" t="s">
        <v>258</v>
      </c>
      <c r="B127" s="97">
        <v>6233726.903772343</v>
      </c>
      <c r="C127" s="97">
        <v>6312118.9922729814</v>
      </c>
      <c r="D127" s="97">
        <v>6431664.3338155681</v>
      </c>
      <c r="E127" s="97">
        <v>6552751.5183084188</v>
      </c>
      <c r="F127" s="97">
        <v>6677604.2384562735</v>
      </c>
      <c r="H127" s="194">
        <f t="shared" si="6"/>
        <v>1</v>
      </c>
      <c r="I127" s="194">
        <f t="shared" si="7"/>
        <v>1.01257547687134</v>
      </c>
      <c r="J127" s="194">
        <f t="shared" si="8"/>
        <v>1.0189390190027989</v>
      </c>
      <c r="K127" s="194">
        <f t="shared" si="9"/>
        <v>1.0188267263663333</v>
      </c>
      <c r="L127" s="194">
        <f t="shared" si="10"/>
        <v>1.0190534800227073</v>
      </c>
    </row>
    <row r="128" spans="1:12" x14ac:dyDescent="0.2">
      <c r="A128" t="s">
        <v>262</v>
      </c>
      <c r="B128" s="97">
        <v>33863345.269338079</v>
      </c>
      <c r="C128" s="97">
        <v>34668808.575447723</v>
      </c>
      <c r="D128" s="97">
        <v>35615940.045635678</v>
      </c>
      <c r="E128" s="97">
        <v>36477617.361344099</v>
      </c>
      <c r="F128" s="97">
        <v>37284265.27662468</v>
      </c>
      <c r="H128" s="194">
        <f t="shared" si="6"/>
        <v>1</v>
      </c>
      <c r="I128" s="194">
        <f t="shared" si="7"/>
        <v>1.0237856980668405</v>
      </c>
      <c r="J128" s="194">
        <f t="shared" si="8"/>
        <v>1.0273194121490148</v>
      </c>
      <c r="K128" s="194">
        <f t="shared" si="9"/>
        <v>1.0241935862033777</v>
      </c>
      <c r="L128" s="194">
        <f t="shared" si="10"/>
        <v>1.0221135033927791</v>
      </c>
    </row>
    <row r="129" spans="1:12" x14ac:dyDescent="0.2">
      <c r="A129" t="s">
        <v>263</v>
      </c>
      <c r="B129" s="97">
        <v>46517732.710421495</v>
      </c>
      <c r="C129" s="97">
        <v>47502657.362882368</v>
      </c>
      <c r="D129" s="97">
        <v>48459577.833157785</v>
      </c>
      <c r="E129" s="97">
        <v>49587171.190382808</v>
      </c>
      <c r="F129" s="97">
        <v>50692213.357865863</v>
      </c>
      <c r="H129" s="194">
        <f t="shared" si="6"/>
        <v>1</v>
      </c>
      <c r="I129" s="194">
        <f t="shared" si="7"/>
        <v>1.0211731009890819</v>
      </c>
      <c r="J129" s="194">
        <f t="shared" si="8"/>
        <v>1.0201445671336933</v>
      </c>
      <c r="K129" s="194">
        <f t="shared" si="9"/>
        <v>1.0232687408278138</v>
      </c>
      <c r="L129" s="194">
        <f t="shared" si="10"/>
        <v>1.0222848398276321</v>
      </c>
    </row>
    <row r="130" spans="1:12" x14ac:dyDescent="0.2">
      <c r="A130" t="s">
        <v>264</v>
      </c>
      <c r="B130" s="97">
        <v>6774975.0962793715</v>
      </c>
      <c r="C130" s="97">
        <v>6891244.0744379964</v>
      </c>
      <c r="D130" s="97">
        <v>6992425.3265751507</v>
      </c>
      <c r="E130" s="97">
        <v>7131219.5957440715</v>
      </c>
      <c r="F130" s="97">
        <v>7274267.6197212012</v>
      </c>
      <c r="H130" s="194">
        <f t="shared" si="6"/>
        <v>1</v>
      </c>
      <c r="I130" s="194">
        <f t="shared" si="7"/>
        <v>1.0171615358737593</v>
      </c>
      <c r="J130" s="194">
        <f t="shared" si="8"/>
        <v>1.0146825814097153</v>
      </c>
      <c r="K130" s="194">
        <f t="shared" si="9"/>
        <v>1.0198492315164847</v>
      </c>
      <c r="L130" s="194">
        <f t="shared" si="10"/>
        <v>1.020059405275151</v>
      </c>
    </row>
    <row r="131" spans="1:12" x14ac:dyDescent="0.2">
      <c r="A131" t="s">
        <v>265</v>
      </c>
      <c r="B131" s="97">
        <v>49937992.454146393</v>
      </c>
      <c r="C131" s="97">
        <v>51347741.068043195</v>
      </c>
      <c r="D131" s="97">
        <v>52667717.560633808</v>
      </c>
      <c r="E131" s="97">
        <v>53942397.192748718</v>
      </c>
      <c r="F131" s="97">
        <v>55143582.490347929</v>
      </c>
      <c r="H131" s="194">
        <f t="shared" si="6"/>
        <v>1</v>
      </c>
      <c r="I131" s="194">
        <f t="shared" si="7"/>
        <v>1.0282299817156497</v>
      </c>
      <c r="J131" s="194">
        <f t="shared" si="8"/>
        <v>1.0257066126987253</v>
      </c>
      <c r="K131" s="194">
        <f t="shared" si="9"/>
        <v>1.0242022949000482</v>
      </c>
      <c r="L131" s="194">
        <f t="shared" si="10"/>
        <v>1.0222679257895622</v>
      </c>
    </row>
    <row r="132" spans="1:12" x14ac:dyDescent="0.2">
      <c r="A132" t="s">
        <v>266</v>
      </c>
      <c r="B132" s="97">
        <v>18716496.972409241</v>
      </c>
      <c r="C132" s="97">
        <v>18856561.457442351</v>
      </c>
      <c r="D132" s="97">
        <v>19022838.350578438</v>
      </c>
      <c r="E132" s="97">
        <v>19186169.910879068</v>
      </c>
      <c r="F132" s="97">
        <v>19307304.205803312</v>
      </c>
      <c r="H132" s="194">
        <f t="shared" si="6"/>
        <v>1</v>
      </c>
      <c r="I132" s="194">
        <f t="shared" si="7"/>
        <v>1.0074834775567023</v>
      </c>
      <c r="J132" s="194">
        <f t="shared" si="8"/>
        <v>1.0088179859043422</v>
      </c>
      <c r="K132" s="194">
        <f t="shared" si="9"/>
        <v>1.0085860772872342</v>
      </c>
      <c r="L132" s="194">
        <f t="shared" si="10"/>
        <v>1.0063136256734366</v>
      </c>
    </row>
    <row r="133" spans="1:12" x14ac:dyDescent="0.2">
      <c r="A133" t="s">
        <v>267</v>
      </c>
      <c r="B133" s="97">
        <v>2101977.4474509587</v>
      </c>
      <c r="C133" s="97">
        <v>2137221.7470203429</v>
      </c>
      <c r="D133" s="97">
        <v>2140721.2661972069</v>
      </c>
      <c r="E133" s="97">
        <v>2179963.6698661726</v>
      </c>
      <c r="F133" s="97">
        <v>2218736.5777828209</v>
      </c>
      <c r="H133" s="194">
        <f t="shared" si="6"/>
        <v>1</v>
      </c>
      <c r="I133" s="194">
        <f t="shared" si="7"/>
        <v>1.0167672110907395</v>
      </c>
      <c r="J133" s="194">
        <f t="shared" si="8"/>
        <v>1.0016374151076008</v>
      </c>
      <c r="K133" s="194">
        <f t="shared" si="9"/>
        <v>1.018331393389984</v>
      </c>
      <c r="L133" s="194">
        <f t="shared" si="10"/>
        <v>1.0177860339842399</v>
      </c>
    </row>
    <row r="134" spans="1:12" x14ac:dyDescent="0.2">
      <c r="A134" t="s">
        <v>268</v>
      </c>
      <c r="B134" s="97">
        <v>21473626.138111662</v>
      </c>
      <c r="C134" s="97">
        <v>21907294.73487803</v>
      </c>
      <c r="D134" s="97">
        <v>22245890.210061803</v>
      </c>
      <c r="E134" s="97">
        <v>22598427.985126205</v>
      </c>
      <c r="F134" s="97">
        <v>22841764.846767861</v>
      </c>
      <c r="H134" s="194">
        <f t="shared" ref="H134:H197" si="11">B134/B134</f>
        <v>1</v>
      </c>
      <c r="I134" s="194">
        <f t="shared" ref="I134:I197" si="12">C134/B134</f>
        <v>1.0201954059355018</v>
      </c>
      <c r="J134" s="194">
        <f t="shared" ref="J134:J197" si="13">D134/C134</f>
        <v>1.0154558323737117</v>
      </c>
      <c r="K134" s="194">
        <f t="shared" ref="K134:K197" si="14">E134/D134</f>
        <v>1.0158473215382924</v>
      </c>
      <c r="L134" s="194">
        <f t="shared" ref="L134:L197" si="15">F134/E134</f>
        <v>1.0107678667649722</v>
      </c>
    </row>
    <row r="135" spans="1:12" x14ac:dyDescent="0.2">
      <c r="A135" t="s">
        <v>269</v>
      </c>
      <c r="B135" s="97">
        <v>38168550.391047262</v>
      </c>
      <c r="C135" s="97">
        <v>39114001.267066151</v>
      </c>
      <c r="D135" s="97">
        <v>40151409.199526578</v>
      </c>
      <c r="E135" s="97">
        <v>41196011.9459861</v>
      </c>
      <c r="F135" s="97">
        <v>42219428.400846303</v>
      </c>
      <c r="H135" s="194">
        <f t="shared" si="11"/>
        <v>1</v>
      </c>
      <c r="I135" s="194">
        <f t="shared" si="12"/>
        <v>1.0247704161235489</v>
      </c>
      <c r="J135" s="194">
        <f t="shared" si="13"/>
        <v>1.0265226747163279</v>
      </c>
      <c r="K135" s="194">
        <f t="shared" si="14"/>
        <v>1.0260165898852645</v>
      </c>
      <c r="L135" s="194">
        <f t="shared" si="15"/>
        <v>1.0248426099157864</v>
      </c>
    </row>
    <row r="136" spans="1:12" x14ac:dyDescent="0.2">
      <c r="A136" t="s">
        <v>270</v>
      </c>
      <c r="B136" s="97">
        <v>28820117.30247296</v>
      </c>
      <c r="C136" s="97">
        <v>29372131.089894451</v>
      </c>
      <c r="D136" s="97">
        <v>29875620.480127648</v>
      </c>
      <c r="E136" s="97">
        <v>30334773.642500747</v>
      </c>
      <c r="F136" s="97">
        <v>30997202.693931945</v>
      </c>
      <c r="H136" s="194">
        <f t="shared" si="11"/>
        <v>1</v>
      </c>
      <c r="I136" s="194">
        <f t="shared" si="12"/>
        <v>1.0191537661567438</v>
      </c>
      <c r="J136" s="194">
        <f t="shared" si="13"/>
        <v>1.0171417384966808</v>
      </c>
      <c r="K136" s="194">
        <f t="shared" si="14"/>
        <v>1.015368824312068</v>
      </c>
      <c r="L136" s="194">
        <f t="shared" si="15"/>
        <v>1.0218372834832397</v>
      </c>
    </row>
    <row r="137" spans="1:12" x14ac:dyDescent="0.2">
      <c r="A137" t="s">
        <v>271</v>
      </c>
      <c r="B137" s="97">
        <v>24648939.243327186</v>
      </c>
      <c r="C137" s="97">
        <v>25073665.409361757</v>
      </c>
      <c r="D137" s="97">
        <v>25509903.479706071</v>
      </c>
      <c r="E137" s="97">
        <v>25936748.6426211</v>
      </c>
      <c r="F137" s="97">
        <v>26308954.988414116</v>
      </c>
      <c r="H137" s="194">
        <f t="shared" si="11"/>
        <v>1</v>
      </c>
      <c r="I137" s="194">
        <f t="shared" si="12"/>
        <v>1.0172310119247647</v>
      </c>
      <c r="J137" s="194">
        <f t="shared" si="13"/>
        <v>1.0173982568253239</v>
      </c>
      <c r="K137" s="194">
        <f t="shared" si="14"/>
        <v>1.0167325275556058</v>
      </c>
      <c r="L137" s="194">
        <f t="shared" si="15"/>
        <v>1.0143505398815247</v>
      </c>
    </row>
    <row r="138" spans="1:12" x14ac:dyDescent="0.2">
      <c r="A138" t="s">
        <v>273</v>
      </c>
      <c r="B138" s="97">
        <v>30109406.156938024</v>
      </c>
      <c r="C138" s="97">
        <v>30708223.339197978</v>
      </c>
      <c r="D138" s="97">
        <v>30986777.309690114</v>
      </c>
      <c r="E138" s="97">
        <v>31403273.970895685</v>
      </c>
      <c r="F138" s="97">
        <v>31769256.134497542</v>
      </c>
      <c r="H138" s="194">
        <f t="shared" si="11"/>
        <v>1</v>
      </c>
      <c r="I138" s="194">
        <f t="shared" si="12"/>
        <v>1.019888043594708</v>
      </c>
      <c r="J138" s="194">
        <f t="shared" si="13"/>
        <v>1.0090709894680416</v>
      </c>
      <c r="K138" s="194">
        <f t="shared" si="14"/>
        <v>1.0134411093171449</v>
      </c>
      <c r="L138" s="194">
        <f t="shared" si="15"/>
        <v>1.0116542677665088</v>
      </c>
    </row>
    <row r="139" spans="1:12" x14ac:dyDescent="0.2">
      <c r="A139" t="s">
        <v>274</v>
      </c>
      <c r="B139" s="97">
        <v>16783561.674441498</v>
      </c>
      <c r="C139" s="97">
        <v>16981924.131618198</v>
      </c>
      <c r="D139" s="97">
        <v>17228929.422462314</v>
      </c>
      <c r="E139" s="97">
        <v>17391070.314459626</v>
      </c>
      <c r="F139" s="97">
        <v>17675848.020873278</v>
      </c>
      <c r="H139" s="194">
        <f t="shared" si="11"/>
        <v>1</v>
      </c>
      <c r="I139" s="194">
        <f t="shared" si="12"/>
        <v>1.0118188535320707</v>
      </c>
      <c r="J139" s="194">
        <f t="shared" si="13"/>
        <v>1.014545188691794</v>
      </c>
      <c r="K139" s="194">
        <f t="shared" si="14"/>
        <v>1.0094109673341582</v>
      </c>
      <c r="L139" s="194">
        <f t="shared" si="15"/>
        <v>1.0163749384749987</v>
      </c>
    </row>
    <row r="140" spans="1:12" x14ac:dyDescent="0.2">
      <c r="A140" t="s">
        <v>275</v>
      </c>
      <c r="B140" s="97">
        <v>40891554.301417954</v>
      </c>
      <c r="C140" s="97">
        <v>41686878.970693715</v>
      </c>
      <c r="D140" s="97">
        <v>42278728.571282044</v>
      </c>
      <c r="E140" s="97">
        <v>43076818.174074888</v>
      </c>
      <c r="F140" s="97">
        <v>43920298.516891584</v>
      </c>
      <c r="H140" s="194">
        <f t="shared" si="11"/>
        <v>1</v>
      </c>
      <c r="I140" s="194">
        <f t="shared" si="12"/>
        <v>1.0194496072077206</v>
      </c>
      <c r="J140" s="194">
        <f t="shared" si="13"/>
        <v>1.0141975032720585</v>
      </c>
      <c r="K140" s="194">
        <f t="shared" si="14"/>
        <v>1.0188768591147972</v>
      </c>
      <c r="L140" s="194">
        <f t="shared" si="15"/>
        <v>1.0195808413566703</v>
      </c>
    </row>
    <row r="141" spans="1:12" x14ac:dyDescent="0.2">
      <c r="A141" t="s">
        <v>276</v>
      </c>
      <c r="B141" s="97">
        <v>1774399.7402139471</v>
      </c>
      <c r="C141" s="97">
        <v>1800750.7174077732</v>
      </c>
      <c r="D141" s="97">
        <v>1827449.7434113985</v>
      </c>
      <c r="E141" s="97">
        <v>1817881.0044050065</v>
      </c>
      <c r="F141" s="97">
        <v>1845927.5971979522</v>
      </c>
      <c r="H141" s="194">
        <f t="shared" si="11"/>
        <v>1</v>
      </c>
      <c r="I141" s="194">
        <f t="shared" si="12"/>
        <v>1.0148506430634672</v>
      </c>
      <c r="J141" s="194">
        <f t="shared" si="13"/>
        <v>1.0148266085613777</v>
      </c>
      <c r="K141" s="194">
        <f t="shared" si="14"/>
        <v>0.99476388390931647</v>
      </c>
      <c r="L141" s="194">
        <f t="shared" si="15"/>
        <v>1.0154281785908894</v>
      </c>
    </row>
    <row r="142" spans="1:12" x14ac:dyDescent="0.2">
      <c r="A142" t="s">
        <v>277</v>
      </c>
      <c r="B142" s="97">
        <v>5311236.2723422153</v>
      </c>
      <c r="C142" s="97">
        <v>5508029.9098992087</v>
      </c>
      <c r="D142" s="97">
        <v>5587505.9850701652</v>
      </c>
      <c r="E142" s="97">
        <v>5704066.5175238745</v>
      </c>
      <c r="F142" s="97">
        <v>5819635.5269689877</v>
      </c>
      <c r="H142" s="194">
        <f t="shared" si="11"/>
        <v>1</v>
      </c>
      <c r="I142" s="194">
        <f t="shared" si="12"/>
        <v>1.0370523221837782</v>
      </c>
      <c r="J142" s="194">
        <f t="shared" si="13"/>
        <v>1.0144291291933836</v>
      </c>
      <c r="K142" s="194">
        <f t="shared" si="14"/>
        <v>1.0208609230603349</v>
      </c>
      <c r="L142" s="194">
        <f t="shared" si="15"/>
        <v>1.0202608102640573</v>
      </c>
    </row>
    <row r="143" spans="1:12" x14ac:dyDescent="0.2">
      <c r="A143" t="s">
        <v>278</v>
      </c>
      <c r="B143" s="97">
        <v>14552214.807606315</v>
      </c>
      <c r="C143" s="97">
        <v>15055557.258286767</v>
      </c>
      <c r="D143" s="97">
        <v>15575478.936260285</v>
      </c>
      <c r="E143" s="97">
        <v>16057019.812404817</v>
      </c>
      <c r="F143" s="97">
        <v>16461728.926647222</v>
      </c>
      <c r="H143" s="194">
        <f t="shared" si="11"/>
        <v>1</v>
      </c>
      <c r="I143" s="194">
        <f t="shared" si="12"/>
        <v>1.0345887177543145</v>
      </c>
      <c r="J143" s="194">
        <f t="shared" si="13"/>
        <v>1.0345335392808093</v>
      </c>
      <c r="K143" s="194">
        <f t="shared" si="14"/>
        <v>1.0309166015449764</v>
      </c>
      <c r="L143" s="194">
        <f t="shared" si="15"/>
        <v>1.0252044974080277</v>
      </c>
    </row>
    <row r="144" spans="1:12" x14ac:dyDescent="0.2">
      <c r="A144" t="s">
        <v>279</v>
      </c>
      <c r="B144" s="97">
        <v>8945408.6478965599</v>
      </c>
      <c r="C144" s="97">
        <v>9095481.0066282153</v>
      </c>
      <c r="D144" s="97">
        <v>9220737.5288632344</v>
      </c>
      <c r="E144" s="97">
        <v>9380112.472125072</v>
      </c>
      <c r="F144" s="97">
        <v>9510969.5864177439</v>
      </c>
      <c r="H144" s="194">
        <f t="shared" si="11"/>
        <v>1</v>
      </c>
      <c r="I144" s="194">
        <f t="shared" si="12"/>
        <v>1.016776467642643</v>
      </c>
      <c r="J144" s="194">
        <f t="shared" si="13"/>
        <v>1.0137712917154948</v>
      </c>
      <c r="K144" s="194">
        <f t="shared" si="14"/>
        <v>1.0172844029843551</v>
      </c>
      <c r="L144" s="194">
        <f t="shared" si="15"/>
        <v>1.0139504845684464</v>
      </c>
    </row>
    <row r="145" spans="1:12" x14ac:dyDescent="0.2">
      <c r="A145" t="s">
        <v>272</v>
      </c>
      <c r="B145" s="97">
        <v>101040264.66439018</v>
      </c>
      <c r="C145" s="97">
        <v>102607176.39848511</v>
      </c>
      <c r="D145" s="97">
        <v>103848421.4803746</v>
      </c>
      <c r="E145" s="97">
        <v>105424578.45298202</v>
      </c>
      <c r="F145" s="97">
        <v>107115511.7939641</v>
      </c>
      <c r="H145" s="194">
        <f t="shared" si="11"/>
        <v>1</v>
      </c>
      <c r="I145" s="194">
        <f t="shared" si="12"/>
        <v>1.0155077952269771</v>
      </c>
      <c r="J145" s="194">
        <f t="shared" si="13"/>
        <v>1.0120970591478806</v>
      </c>
      <c r="K145" s="194">
        <f t="shared" si="14"/>
        <v>1.0151774764617416</v>
      </c>
      <c r="L145" s="194">
        <f t="shared" si="15"/>
        <v>1.0160392705932062</v>
      </c>
    </row>
    <row r="146" spans="1:12" x14ac:dyDescent="0.2">
      <c r="A146" t="s">
        <v>129</v>
      </c>
      <c r="B146" s="97">
        <v>37010256.400475681</v>
      </c>
      <c r="C146" s="97">
        <v>37563234.652481981</v>
      </c>
      <c r="D146" s="97">
        <v>38153241.696523555</v>
      </c>
      <c r="E146" s="97">
        <v>38711023.374963321</v>
      </c>
      <c r="F146" s="97">
        <v>39528028.928701252</v>
      </c>
      <c r="H146" s="194">
        <f t="shared" si="11"/>
        <v>1</v>
      </c>
      <c r="I146" s="194">
        <f t="shared" si="12"/>
        <v>1.0149412164569385</v>
      </c>
      <c r="J146" s="194">
        <f t="shared" si="13"/>
        <v>1.0157070350703301</v>
      </c>
      <c r="K146" s="194">
        <f t="shared" si="14"/>
        <v>1.0146195094738331</v>
      </c>
      <c r="L146" s="194">
        <f t="shared" si="15"/>
        <v>1.0211052429646263</v>
      </c>
    </row>
    <row r="147" spans="1:12" x14ac:dyDescent="0.2">
      <c r="A147" t="s">
        <v>281</v>
      </c>
      <c r="B147" s="97">
        <v>14514283.413817121</v>
      </c>
      <c r="C147" s="97">
        <v>14821579.624042151</v>
      </c>
      <c r="D147" s="97">
        <v>15218300.207142452</v>
      </c>
      <c r="E147" s="97">
        <v>15428084.752379395</v>
      </c>
      <c r="F147" s="97">
        <v>15614837.841686672</v>
      </c>
      <c r="H147" s="194">
        <f t="shared" si="11"/>
        <v>1</v>
      </c>
      <c r="I147" s="194">
        <f t="shared" si="12"/>
        <v>1.0211719863436381</v>
      </c>
      <c r="J147" s="194">
        <f t="shared" si="13"/>
        <v>1.0267664171541324</v>
      </c>
      <c r="K147" s="194">
        <f t="shared" si="14"/>
        <v>1.0137850181939823</v>
      </c>
      <c r="L147" s="194">
        <f t="shared" si="15"/>
        <v>1.0121047487296486</v>
      </c>
    </row>
    <row r="148" spans="1:12" x14ac:dyDescent="0.2">
      <c r="A148" t="s">
        <v>282</v>
      </c>
      <c r="B148" s="97">
        <v>4359616.0679338742</v>
      </c>
      <c r="C148" s="97">
        <v>4456182.8286589039</v>
      </c>
      <c r="D148" s="97">
        <v>4551921.4084220808</v>
      </c>
      <c r="E148" s="97">
        <v>4650480.4333903836</v>
      </c>
      <c r="F148" s="97">
        <v>4752670.1081358176</v>
      </c>
      <c r="H148" s="194">
        <f t="shared" si="11"/>
        <v>1</v>
      </c>
      <c r="I148" s="194">
        <f t="shared" si="12"/>
        <v>1.0221502901219452</v>
      </c>
      <c r="J148" s="194">
        <f t="shared" si="13"/>
        <v>1.0214844371167755</v>
      </c>
      <c r="K148" s="194">
        <f t="shared" si="14"/>
        <v>1.0216521807221772</v>
      </c>
      <c r="L148" s="194">
        <f t="shared" si="15"/>
        <v>1.0219740038065128</v>
      </c>
    </row>
    <row r="149" spans="1:12" x14ac:dyDescent="0.2">
      <c r="A149" t="s">
        <v>283</v>
      </c>
      <c r="B149" s="97">
        <v>20565242.182304196</v>
      </c>
      <c r="C149" s="97">
        <v>20776644.383511178</v>
      </c>
      <c r="D149" s="97">
        <v>21119665.089085221</v>
      </c>
      <c r="E149" s="97">
        <v>21514283.793039806</v>
      </c>
      <c r="F149" s="97">
        <v>21899590.289408695</v>
      </c>
      <c r="H149" s="194">
        <f t="shared" si="11"/>
        <v>1</v>
      </c>
      <c r="I149" s="194">
        <f t="shared" si="12"/>
        <v>1.0102795872439998</v>
      </c>
      <c r="J149" s="194">
        <f t="shared" si="13"/>
        <v>1.0165099185047548</v>
      </c>
      <c r="K149" s="194">
        <f t="shared" si="14"/>
        <v>1.0186848940212847</v>
      </c>
      <c r="L149" s="194">
        <f t="shared" si="15"/>
        <v>1.0179093340998664</v>
      </c>
    </row>
    <row r="150" spans="1:12" x14ac:dyDescent="0.2">
      <c r="A150" t="s">
        <v>284</v>
      </c>
      <c r="B150" s="97">
        <v>2549354.086794863</v>
      </c>
      <c r="C150" s="97">
        <v>2593632.5908073075</v>
      </c>
      <c r="D150" s="97">
        <v>2638667.818672121</v>
      </c>
      <c r="E150" s="97">
        <v>2653814.055244911</v>
      </c>
      <c r="F150" s="97">
        <v>2700565.2219951488</v>
      </c>
      <c r="H150" s="194">
        <f t="shared" si="11"/>
        <v>1</v>
      </c>
      <c r="I150" s="194">
        <f t="shared" si="12"/>
        <v>1.0173685186541164</v>
      </c>
      <c r="J150" s="194">
        <f t="shared" si="13"/>
        <v>1.0173637654093464</v>
      </c>
      <c r="K150" s="194">
        <f t="shared" si="14"/>
        <v>1.0057401073623629</v>
      </c>
      <c r="L150" s="194">
        <f t="shared" si="15"/>
        <v>1.0176165947489202</v>
      </c>
    </row>
    <row r="151" spans="1:12" x14ac:dyDescent="0.2">
      <c r="A151" t="s">
        <v>285</v>
      </c>
      <c r="B151" s="97">
        <v>7696111.3384877732</v>
      </c>
      <c r="C151" s="97">
        <v>7657357.6919217166</v>
      </c>
      <c r="D151" s="97">
        <v>7771199.4548478117</v>
      </c>
      <c r="E151" s="97">
        <v>7888867.7877359306</v>
      </c>
      <c r="F151" s="97">
        <v>8010131.133299375</v>
      </c>
      <c r="H151" s="194">
        <f t="shared" si="11"/>
        <v>1</v>
      </c>
      <c r="I151" s="194">
        <f t="shared" si="12"/>
        <v>0.9949645158624133</v>
      </c>
      <c r="J151" s="194">
        <f t="shared" si="13"/>
        <v>1.0148669772924668</v>
      </c>
      <c r="K151" s="194">
        <f t="shared" si="14"/>
        <v>1.0151415921791476</v>
      </c>
      <c r="L151" s="194">
        <f t="shared" si="15"/>
        <v>1.0153714511164658</v>
      </c>
    </row>
    <row r="152" spans="1:12" x14ac:dyDescent="0.2">
      <c r="A152" t="s">
        <v>286</v>
      </c>
      <c r="B152" s="97">
        <v>4342958.5001932234</v>
      </c>
      <c r="C152" s="97">
        <v>4379395.4411309687</v>
      </c>
      <c r="D152" s="97">
        <v>4446818.0759516377</v>
      </c>
      <c r="E152" s="97">
        <v>4517339.7469604407</v>
      </c>
      <c r="F152" s="97">
        <v>4556396.273421092</v>
      </c>
      <c r="H152" s="194">
        <f t="shared" si="11"/>
        <v>1</v>
      </c>
      <c r="I152" s="194">
        <f t="shared" si="12"/>
        <v>1.0083898892738958</v>
      </c>
      <c r="J152" s="194">
        <f t="shared" si="13"/>
        <v>1.0153954206070182</v>
      </c>
      <c r="K152" s="194">
        <f t="shared" si="14"/>
        <v>1.0158589062570793</v>
      </c>
      <c r="L152" s="194">
        <f t="shared" si="15"/>
        <v>1.0086459130037608</v>
      </c>
    </row>
    <row r="153" spans="1:12" x14ac:dyDescent="0.2">
      <c r="A153" t="s">
        <v>287</v>
      </c>
      <c r="B153" s="97">
        <v>122690011.27557118</v>
      </c>
      <c r="C153" s="97">
        <v>125074592.34477076</v>
      </c>
      <c r="D153" s="97">
        <v>127114360.32222733</v>
      </c>
      <c r="E153" s="97">
        <v>129498449.7994134</v>
      </c>
      <c r="F153" s="97">
        <v>132154080.83940229</v>
      </c>
      <c r="H153" s="194">
        <f t="shared" si="11"/>
        <v>1</v>
      </c>
      <c r="I153" s="194">
        <f t="shared" si="12"/>
        <v>1.0194358207681931</v>
      </c>
      <c r="J153" s="194">
        <f t="shared" si="13"/>
        <v>1.0163084119581529</v>
      </c>
      <c r="K153" s="194">
        <f t="shared" si="14"/>
        <v>1.0187554692573093</v>
      </c>
      <c r="L153" s="194">
        <f t="shared" si="15"/>
        <v>1.0205070488805259</v>
      </c>
    </row>
    <row r="154" spans="1:12" x14ac:dyDescent="0.2">
      <c r="A154" t="s">
        <v>288</v>
      </c>
      <c r="B154" s="97">
        <v>21158684.034087118</v>
      </c>
      <c r="C154" s="97">
        <v>21473318.807112228</v>
      </c>
      <c r="D154" s="97">
        <v>21716884.469500676</v>
      </c>
      <c r="E154" s="97">
        <v>21961618.799197957</v>
      </c>
      <c r="F154" s="97">
        <v>22302590.394087259</v>
      </c>
      <c r="H154" s="194">
        <f t="shared" si="11"/>
        <v>1</v>
      </c>
      <c r="I154" s="194">
        <f t="shared" si="12"/>
        <v>1.0148702429942347</v>
      </c>
      <c r="J154" s="194">
        <f t="shared" si="13"/>
        <v>1.0113427116030045</v>
      </c>
      <c r="K154" s="194">
        <f t="shared" si="14"/>
        <v>1.0112693112145523</v>
      </c>
      <c r="L154" s="194">
        <f t="shared" si="15"/>
        <v>1.0155257951614092</v>
      </c>
    </row>
    <row r="155" spans="1:12" x14ac:dyDescent="0.2">
      <c r="A155" t="s">
        <v>289</v>
      </c>
      <c r="B155" s="97">
        <v>3904613.1129341372</v>
      </c>
      <c r="C155" s="97">
        <v>3963923.7652298734</v>
      </c>
      <c r="D155" s="97">
        <v>4066534.8350316049</v>
      </c>
      <c r="E155" s="97">
        <v>4089663.5406382154</v>
      </c>
      <c r="F155" s="97">
        <v>4153926.8296395894</v>
      </c>
      <c r="H155" s="194">
        <f t="shared" si="11"/>
        <v>1</v>
      </c>
      <c r="I155" s="194">
        <f t="shared" si="12"/>
        <v>1.0151898922070584</v>
      </c>
      <c r="J155" s="194">
        <f t="shared" si="13"/>
        <v>1.02588623694073</v>
      </c>
      <c r="K155" s="194">
        <f t="shared" si="14"/>
        <v>1.0056875710020643</v>
      </c>
      <c r="L155" s="194">
        <f t="shared" si="15"/>
        <v>1.0157135882604527</v>
      </c>
    </row>
    <row r="156" spans="1:12" x14ac:dyDescent="0.2">
      <c r="A156" t="s">
        <v>290</v>
      </c>
      <c r="B156" s="97">
        <v>6886483.2501651542</v>
      </c>
      <c r="C156" s="97">
        <v>7059223.7210655967</v>
      </c>
      <c r="D156" s="97">
        <v>7200158.3085867791</v>
      </c>
      <c r="E156" s="97">
        <v>7346801.8059631679</v>
      </c>
      <c r="F156" s="97">
        <v>7529445.1591893528</v>
      </c>
      <c r="H156" s="194">
        <f t="shared" si="11"/>
        <v>1</v>
      </c>
      <c r="I156" s="194">
        <f t="shared" si="12"/>
        <v>1.0250839891168397</v>
      </c>
      <c r="J156" s="194">
        <f t="shared" si="13"/>
        <v>1.0199646013626988</v>
      </c>
      <c r="K156" s="194">
        <f t="shared" si="14"/>
        <v>1.0203667046044675</v>
      </c>
      <c r="L156" s="194">
        <f t="shared" si="15"/>
        <v>1.024860253216296</v>
      </c>
    </row>
    <row r="157" spans="1:12" x14ac:dyDescent="0.2">
      <c r="A157" t="s">
        <v>291</v>
      </c>
      <c r="B157" s="97">
        <v>42985402.633746549</v>
      </c>
      <c r="C157" s="97">
        <v>44034884.495941192</v>
      </c>
      <c r="D157" s="97">
        <v>45190685.48912321</v>
      </c>
      <c r="E157" s="97">
        <v>46313224.001985304</v>
      </c>
      <c r="F157" s="97">
        <v>47484719.027118281</v>
      </c>
      <c r="H157" s="194">
        <f t="shared" si="11"/>
        <v>1</v>
      </c>
      <c r="I157" s="194">
        <f t="shared" si="12"/>
        <v>1.0244148431302753</v>
      </c>
      <c r="J157" s="194">
        <f t="shared" si="13"/>
        <v>1.0262473946829258</v>
      </c>
      <c r="K157" s="194">
        <f t="shared" si="14"/>
        <v>1.0248400417190457</v>
      </c>
      <c r="L157" s="194">
        <f t="shared" si="15"/>
        <v>1.0252950437024804</v>
      </c>
    </row>
    <row r="158" spans="1:12" x14ac:dyDescent="0.2">
      <c r="A158" t="s">
        <v>292</v>
      </c>
      <c r="B158" s="97">
        <v>22924307.380551256</v>
      </c>
      <c r="C158" s="97">
        <v>23391004.77048631</v>
      </c>
      <c r="D158" s="97">
        <v>23782710.542771731</v>
      </c>
      <c r="E158" s="97">
        <v>24237675.239622395</v>
      </c>
      <c r="F158" s="97">
        <v>24668811.837263431</v>
      </c>
      <c r="H158" s="194">
        <f t="shared" si="11"/>
        <v>1</v>
      </c>
      <c r="I158" s="194">
        <f t="shared" si="12"/>
        <v>1.0203581893309892</v>
      </c>
      <c r="J158" s="194">
        <f t="shared" si="13"/>
        <v>1.0167460002735607</v>
      </c>
      <c r="K158" s="194">
        <f t="shared" si="14"/>
        <v>1.0191300607234166</v>
      </c>
      <c r="L158" s="194">
        <f t="shared" si="15"/>
        <v>1.0177878692316265</v>
      </c>
    </row>
    <row r="159" spans="1:12" x14ac:dyDescent="0.2">
      <c r="A159" t="s">
        <v>293</v>
      </c>
      <c r="B159" s="97">
        <v>15857705.966063527</v>
      </c>
      <c r="C159" s="97">
        <v>16012014.57620349</v>
      </c>
      <c r="D159" s="97">
        <v>16303208.76097111</v>
      </c>
      <c r="E159" s="97">
        <v>16571513.874075083</v>
      </c>
      <c r="F159" s="97">
        <v>16725500.684329694</v>
      </c>
      <c r="H159" s="194">
        <f t="shared" si="11"/>
        <v>1</v>
      </c>
      <c r="I159" s="194">
        <f t="shared" si="12"/>
        <v>1.0097308280573616</v>
      </c>
      <c r="J159" s="194">
        <f t="shared" si="13"/>
        <v>1.0181859804949456</v>
      </c>
      <c r="K159" s="194">
        <f t="shared" si="14"/>
        <v>1.0164571966805871</v>
      </c>
      <c r="L159" s="194">
        <f t="shared" si="15"/>
        <v>1.0092922596827747</v>
      </c>
    </row>
    <row r="160" spans="1:12" x14ac:dyDescent="0.2">
      <c r="A160" t="s">
        <v>294</v>
      </c>
      <c r="B160" s="97">
        <v>3920207.1199559439</v>
      </c>
      <c r="C160" s="97">
        <v>3966836.3246070822</v>
      </c>
      <c r="D160" s="97">
        <v>4048935.6286080964</v>
      </c>
      <c r="E160" s="97">
        <v>4131980.0146101504</v>
      </c>
      <c r="F160" s="97">
        <v>4179371.0362782278</v>
      </c>
      <c r="H160" s="194">
        <f t="shared" si="11"/>
        <v>1</v>
      </c>
      <c r="I160" s="194">
        <f t="shared" si="12"/>
        <v>1.0118945767976826</v>
      </c>
      <c r="J160" s="194">
        <f t="shared" si="13"/>
        <v>1.0206964183250353</v>
      </c>
      <c r="K160" s="194">
        <f t="shared" si="14"/>
        <v>1.0205101769006395</v>
      </c>
      <c r="L160" s="194">
        <f t="shared" si="15"/>
        <v>1.011469324996856</v>
      </c>
    </row>
    <row r="161" spans="1:12" x14ac:dyDescent="0.2">
      <c r="A161" t="s">
        <v>295</v>
      </c>
      <c r="B161" s="97">
        <v>45366680.065354697</v>
      </c>
      <c r="C161" s="97">
        <v>46287856.219709449</v>
      </c>
      <c r="D161" s="97">
        <v>47160712.758096285</v>
      </c>
      <c r="E161" s="97">
        <v>48094379.577085488</v>
      </c>
      <c r="F161" s="97">
        <v>48824509.009321868</v>
      </c>
      <c r="H161" s="194">
        <f t="shared" si="11"/>
        <v>1</v>
      </c>
      <c r="I161" s="194">
        <f t="shared" si="12"/>
        <v>1.0203051259873483</v>
      </c>
      <c r="J161" s="194">
        <f t="shared" si="13"/>
        <v>1.0188571389922174</v>
      </c>
      <c r="K161" s="194">
        <f t="shared" si="14"/>
        <v>1.0197975553036762</v>
      </c>
      <c r="L161" s="194">
        <f t="shared" si="15"/>
        <v>1.0151811799768855</v>
      </c>
    </row>
    <row r="162" spans="1:12" x14ac:dyDescent="0.2">
      <c r="A162" t="s">
        <v>297</v>
      </c>
      <c r="B162" s="97">
        <v>14351305.07901061</v>
      </c>
      <c r="C162" s="97">
        <v>14397555.404091608</v>
      </c>
      <c r="D162" s="97">
        <v>14670738.931821194</v>
      </c>
      <c r="E162" s="97">
        <v>14884891.713990027</v>
      </c>
      <c r="F162" s="97">
        <v>14965606.012468638</v>
      </c>
      <c r="H162" s="194">
        <f t="shared" si="11"/>
        <v>1</v>
      </c>
      <c r="I162" s="194">
        <f t="shared" si="12"/>
        <v>1.0032227260744837</v>
      </c>
      <c r="J162" s="194">
        <f t="shared" si="13"/>
        <v>1.0189742994600286</v>
      </c>
      <c r="K162" s="194">
        <f t="shared" si="14"/>
        <v>1.0145972730592547</v>
      </c>
      <c r="L162" s="194">
        <f t="shared" si="15"/>
        <v>1.005422565379011</v>
      </c>
    </row>
    <row r="163" spans="1:12" x14ac:dyDescent="0.2">
      <c r="A163" t="s">
        <v>296</v>
      </c>
      <c r="B163" s="97">
        <v>21056284.628258351</v>
      </c>
      <c r="C163" s="97">
        <v>21203952.941526409</v>
      </c>
      <c r="D163" s="97">
        <v>21297876.804189347</v>
      </c>
      <c r="E163" s="97">
        <v>21452244.784778804</v>
      </c>
      <c r="F163" s="97">
        <v>21484775.110638771</v>
      </c>
      <c r="H163" s="194">
        <f t="shared" si="11"/>
        <v>1</v>
      </c>
      <c r="I163" s="194">
        <f t="shared" si="12"/>
        <v>1.0070130279807237</v>
      </c>
      <c r="J163" s="194">
        <f t="shared" si="13"/>
        <v>1.0044295449495644</v>
      </c>
      <c r="K163" s="194">
        <f t="shared" si="14"/>
        <v>1.0072480455215653</v>
      </c>
      <c r="L163" s="194">
        <f t="shared" si="15"/>
        <v>1.0015164066132161</v>
      </c>
    </row>
    <row r="164" spans="1:12" x14ac:dyDescent="0.2">
      <c r="A164" t="s">
        <v>298</v>
      </c>
      <c r="B164" s="97">
        <v>35791162.13585984</v>
      </c>
      <c r="C164" s="97">
        <v>36154767.010576315</v>
      </c>
      <c r="D164" s="97">
        <v>36532647.7553363</v>
      </c>
      <c r="E164" s="97">
        <v>36906617.829131141</v>
      </c>
      <c r="F164" s="97">
        <v>37180632.926698573</v>
      </c>
      <c r="H164" s="194">
        <f t="shared" si="11"/>
        <v>1</v>
      </c>
      <c r="I164" s="194">
        <f t="shared" si="12"/>
        <v>1.0101590686923287</v>
      </c>
      <c r="J164" s="194">
        <f t="shared" si="13"/>
        <v>1.0104517543882787</v>
      </c>
      <c r="K164" s="194">
        <f t="shared" si="14"/>
        <v>1.0102365992276106</v>
      </c>
      <c r="L164" s="194">
        <f t="shared" si="15"/>
        <v>1.0074245518469358</v>
      </c>
    </row>
    <row r="165" spans="1:12" x14ac:dyDescent="0.2">
      <c r="A165" t="s">
        <v>299</v>
      </c>
      <c r="B165" s="97">
        <v>10921909.335610701</v>
      </c>
      <c r="C165" s="97">
        <v>11055947.429152925</v>
      </c>
      <c r="D165" s="97">
        <v>11152115.588400731</v>
      </c>
      <c r="E165" s="97">
        <v>11356824.679840291</v>
      </c>
      <c r="F165" s="97">
        <v>11568400.889118817</v>
      </c>
      <c r="H165" s="194">
        <f t="shared" si="11"/>
        <v>1</v>
      </c>
      <c r="I165" s="194">
        <f t="shared" si="12"/>
        <v>1.0122724048903422</v>
      </c>
      <c r="J165" s="194">
        <f t="shared" si="13"/>
        <v>1.0086983191503087</v>
      </c>
      <c r="K165" s="194">
        <f t="shared" si="14"/>
        <v>1.0183560769090734</v>
      </c>
      <c r="L165" s="194">
        <f t="shared" si="15"/>
        <v>1.0186298736876778</v>
      </c>
    </row>
    <row r="166" spans="1:12" x14ac:dyDescent="0.2">
      <c r="A166" t="s">
        <v>300</v>
      </c>
      <c r="B166" s="97">
        <v>28082732.346690197</v>
      </c>
      <c r="C166" s="97">
        <v>28621073.261275321</v>
      </c>
      <c r="D166" s="97">
        <v>29005695.593060784</v>
      </c>
      <c r="E166" s="97">
        <v>29486694.837607335</v>
      </c>
      <c r="F166" s="97">
        <v>29849513.330212601</v>
      </c>
      <c r="H166" s="194">
        <f t="shared" si="11"/>
        <v>1</v>
      </c>
      <c r="I166" s="194">
        <f t="shared" si="12"/>
        <v>1.0191698196578287</v>
      </c>
      <c r="J166" s="194">
        <f t="shared" si="13"/>
        <v>1.0134384314757987</v>
      </c>
      <c r="K166" s="194">
        <f t="shared" si="14"/>
        <v>1.0165829239641342</v>
      </c>
      <c r="L166" s="194">
        <f t="shared" si="15"/>
        <v>1.0123044815501847</v>
      </c>
    </row>
    <row r="167" spans="1:12" x14ac:dyDescent="0.2">
      <c r="A167" t="s">
        <v>301</v>
      </c>
      <c r="B167" s="97">
        <v>66769302.143170252</v>
      </c>
      <c r="C167" s="97">
        <v>68083667.642978087</v>
      </c>
      <c r="D167" s="97">
        <v>69327698.283986732</v>
      </c>
      <c r="E167" s="97">
        <v>70385370.960596979</v>
      </c>
      <c r="F167" s="97">
        <v>71459687.856406346</v>
      </c>
      <c r="H167" s="194">
        <f t="shared" si="11"/>
        <v>1</v>
      </c>
      <c r="I167" s="194">
        <f t="shared" si="12"/>
        <v>1.0196851765350117</v>
      </c>
      <c r="J167" s="194">
        <f t="shared" si="13"/>
        <v>1.0182720861562891</v>
      </c>
      <c r="K167" s="194">
        <f t="shared" si="14"/>
        <v>1.0152561343126913</v>
      </c>
      <c r="L167" s="194">
        <f t="shared" si="15"/>
        <v>1.0152633548867815</v>
      </c>
    </row>
    <row r="168" spans="1:12" x14ac:dyDescent="0.2">
      <c r="A168" t="s">
        <v>302</v>
      </c>
      <c r="B168" s="97">
        <v>11179314.459523497</v>
      </c>
      <c r="C168" s="97">
        <v>11453370.224641448</v>
      </c>
      <c r="D168" s="97">
        <v>11627926.917190569</v>
      </c>
      <c r="E168" s="97">
        <v>11884944.970746348</v>
      </c>
      <c r="F168" s="97">
        <v>12146335.969379626</v>
      </c>
      <c r="H168" s="194">
        <f t="shared" si="11"/>
        <v>1</v>
      </c>
      <c r="I168" s="194">
        <f t="shared" si="12"/>
        <v>1.024514541218982</v>
      </c>
      <c r="J168" s="194">
        <f t="shared" si="13"/>
        <v>1.0152406400147242</v>
      </c>
      <c r="K168" s="194">
        <f t="shared" si="14"/>
        <v>1.0221035147009574</v>
      </c>
      <c r="L168" s="194">
        <f t="shared" si="15"/>
        <v>1.0219934546837757</v>
      </c>
    </row>
    <row r="169" spans="1:12" x14ac:dyDescent="0.2">
      <c r="A169" t="s">
        <v>303</v>
      </c>
      <c r="B169" s="97">
        <v>17855321.729300167</v>
      </c>
      <c r="C169" s="97">
        <v>17883844.659254432</v>
      </c>
      <c r="D169" s="97">
        <v>18057059.751150183</v>
      </c>
      <c r="E169" s="97">
        <v>18230356.136454459</v>
      </c>
      <c r="F169" s="97">
        <v>18488034.646118749</v>
      </c>
      <c r="H169" s="194">
        <f t="shared" si="11"/>
        <v>1</v>
      </c>
      <c r="I169" s="194">
        <f t="shared" si="12"/>
        <v>1.0015974469901294</v>
      </c>
      <c r="J169" s="194">
        <f t="shared" si="13"/>
        <v>1.0096855623159373</v>
      </c>
      <c r="K169" s="194">
        <f t="shared" si="14"/>
        <v>1.0095971541154831</v>
      </c>
      <c r="L169" s="194">
        <f t="shared" si="15"/>
        <v>1.0141345845213094</v>
      </c>
    </row>
    <row r="170" spans="1:12" x14ac:dyDescent="0.2">
      <c r="A170" t="s">
        <v>304</v>
      </c>
      <c r="B170" s="97">
        <v>90799710.421896055</v>
      </c>
      <c r="C170" s="97">
        <v>92194212.455064759</v>
      </c>
      <c r="D170" s="97">
        <v>93768016.997632116</v>
      </c>
      <c r="E170" s="97">
        <v>95602827.059802264</v>
      </c>
      <c r="F170" s="97">
        <v>97362593.502754569</v>
      </c>
      <c r="H170" s="194">
        <f t="shared" si="11"/>
        <v>1</v>
      </c>
      <c r="I170" s="194">
        <f t="shared" si="12"/>
        <v>1.0153580008866683</v>
      </c>
      <c r="J170" s="194">
        <f t="shared" si="13"/>
        <v>1.0170705351307645</v>
      </c>
      <c r="K170" s="194">
        <f t="shared" si="14"/>
        <v>1.0195675468130725</v>
      </c>
      <c r="L170" s="194">
        <f t="shared" si="15"/>
        <v>1.0184070544467427</v>
      </c>
    </row>
    <row r="171" spans="1:12" x14ac:dyDescent="0.2">
      <c r="A171" t="s">
        <v>305</v>
      </c>
      <c r="B171" s="97">
        <v>22505196.067961749</v>
      </c>
      <c r="C171" s="97">
        <v>23069040.047595259</v>
      </c>
      <c r="D171" s="97">
        <v>23510141.767843135</v>
      </c>
      <c r="E171" s="97">
        <v>24085252.19982506</v>
      </c>
      <c r="F171" s="97">
        <v>24549754.711187128</v>
      </c>
      <c r="H171" s="194">
        <f t="shared" si="11"/>
        <v>1</v>
      </c>
      <c r="I171" s="194">
        <f t="shared" si="12"/>
        <v>1.0250539465610875</v>
      </c>
      <c r="J171" s="194">
        <f t="shared" si="13"/>
        <v>1.0191209395509224</v>
      </c>
      <c r="K171" s="194">
        <f t="shared" si="14"/>
        <v>1.0244622273085802</v>
      </c>
      <c r="L171" s="194">
        <f t="shared" si="15"/>
        <v>1.0192857648949776</v>
      </c>
    </row>
    <row r="172" spans="1:12" x14ac:dyDescent="0.2">
      <c r="A172" t="s">
        <v>306</v>
      </c>
      <c r="B172" s="97">
        <v>32222447.727632362</v>
      </c>
      <c r="C172" s="97">
        <v>32562253.177011929</v>
      </c>
      <c r="D172" s="97">
        <v>33002951.931468718</v>
      </c>
      <c r="E172" s="97">
        <v>33496911.170985203</v>
      </c>
      <c r="F172" s="97">
        <v>33799718.893417731</v>
      </c>
      <c r="H172" s="194">
        <f t="shared" si="11"/>
        <v>1</v>
      </c>
      <c r="I172" s="194">
        <f t="shared" si="12"/>
        <v>1.010545612557179</v>
      </c>
      <c r="J172" s="194">
        <f t="shared" si="13"/>
        <v>1.0135340374654389</v>
      </c>
      <c r="K172" s="194">
        <f t="shared" si="14"/>
        <v>1.0149671229574313</v>
      </c>
      <c r="L172" s="194">
        <f t="shared" si="15"/>
        <v>1.0090398700013516</v>
      </c>
    </row>
    <row r="173" spans="1:12" x14ac:dyDescent="0.2">
      <c r="A173" t="s">
        <v>307</v>
      </c>
      <c r="B173" s="97">
        <v>2527905.2944572028</v>
      </c>
      <c r="C173" s="97">
        <v>2578802.331287933</v>
      </c>
      <c r="D173" s="97">
        <v>2630728.1739964797</v>
      </c>
      <c r="E173" s="97">
        <v>2683704.3981253835</v>
      </c>
      <c r="F173" s="97">
        <v>2738268.5262805405</v>
      </c>
      <c r="H173" s="194">
        <f t="shared" si="11"/>
        <v>1</v>
      </c>
      <c r="I173" s="194">
        <f t="shared" si="12"/>
        <v>1.0201340758066884</v>
      </c>
      <c r="J173" s="194">
        <f t="shared" si="13"/>
        <v>1.0201356428441777</v>
      </c>
      <c r="K173" s="194">
        <f t="shared" si="14"/>
        <v>1.0201374754915955</v>
      </c>
      <c r="L173" s="194">
        <f t="shared" si="15"/>
        <v>1.0203316461355696</v>
      </c>
    </row>
    <row r="174" spans="1:12" x14ac:dyDescent="0.2">
      <c r="A174" t="s">
        <v>308</v>
      </c>
      <c r="B174" s="97">
        <v>21260014.612824362</v>
      </c>
      <c r="C174" s="97">
        <v>21488968.130202778</v>
      </c>
      <c r="D174" s="97">
        <v>21652146.07124259</v>
      </c>
      <c r="E174" s="97">
        <v>21996588.869060047</v>
      </c>
      <c r="F174" s="97">
        <v>22350018.902779859</v>
      </c>
      <c r="H174" s="194">
        <f t="shared" si="11"/>
        <v>1</v>
      </c>
      <c r="I174" s="194">
        <f t="shared" si="12"/>
        <v>1.010769207902628</v>
      </c>
      <c r="J174" s="194">
        <f t="shared" si="13"/>
        <v>1.0075935680136481</v>
      </c>
      <c r="K174" s="194">
        <f t="shared" si="14"/>
        <v>1.0159080211580012</v>
      </c>
      <c r="L174" s="194">
        <f t="shared" si="15"/>
        <v>1.0160674928200772</v>
      </c>
    </row>
    <row r="175" spans="1:12" x14ac:dyDescent="0.2">
      <c r="A175" t="s">
        <v>309</v>
      </c>
      <c r="B175" s="97">
        <v>19074878.590839785</v>
      </c>
      <c r="C175" s="97">
        <v>19217887.486450434</v>
      </c>
      <c r="D175" s="97">
        <v>19363138.299871303</v>
      </c>
      <c r="E175" s="97">
        <v>19512038.482728884</v>
      </c>
      <c r="F175" s="97">
        <v>19647326.745170165</v>
      </c>
      <c r="H175" s="194">
        <f t="shared" si="11"/>
        <v>1</v>
      </c>
      <c r="I175" s="194">
        <f t="shared" si="12"/>
        <v>1.0074972375278617</v>
      </c>
      <c r="J175" s="194">
        <f t="shared" si="13"/>
        <v>1.0075581050999116</v>
      </c>
      <c r="K175" s="194">
        <f t="shared" si="14"/>
        <v>1.0076898786008552</v>
      </c>
      <c r="L175" s="194">
        <f t="shared" si="15"/>
        <v>1.0069335791112257</v>
      </c>
    </row>
    <row r="176" spans="1:12" x14ac:dyDescent="0.2">
      <c r="A176" t="s">
        <v>310</v>
      </c>
      <c r="B176" s="97">
        <v>447162774.59191018</v>
      </c>
      <c r="C176" s="97">
        <v>458470426.51781607</v>
      </c>
      <c r="D176" s="97">
        <v>469346897.08807594</v>
      </c>
      <c r="E176" s="97">
        <v>480461428.7837193</v>
      </c>
      <c r="F176" s="97">
        <v>491097875.90725523</v>
      </c>
      <c r="H176" s="194">
        <f t="shared" si="11"/>
        <v>1</v>
      </c>
      <c r="I176" s="194">
        <f t="shared" si="12"/>
        <v>1.0252875520244848</v>
      </c>
      <c r="J176" s="194">
        <f t="shared" si="13"/>
        <v>1.0237233852854351</v>
      </c>
      <c r="K176" s="194">
        <f t="shared" si="14"/>
        <v>1.0236808462239768</v>
      </c>
      <c r="L176" s="194">
        <f t="shared" si="15"/>
        <v>1.0221379833766508</v>
      </c>
    </row>
    <row r="177" spans="1:12" x14ac:dyDescent="0.2">
      <c r="A177" t="s">
        <v>312</v>
      </c>
      <c r="B177" s="97">
        <v>5937700.638334576</v>
      </c>
      <c r="C177" s="97">
        <v>5991617.5982873887</v>
      </c>
      <c r="D177" s="97">
        <v>6082046.2162090503</v>
      </c>
      <c r="E177" s="97">
        <v>6176584.2394215371</v>
      </c>
      <c r="F177" s="97">
        <v>6274440.2133600656</v>
      </c>
      <c r="H177" s="194">
        <f t="shared" si="11"/>
        <v>1</v>
      </c>
      <c r="I177" s="194">
        <f t="shared" si="12"/>
        <v>1.0090804443061203</v>
      </c>
      <c r="J177" s="194">
        <f t="shared" si="13"/>
        <v>1.015092521583405</v>
      </c>
      <c r="K177" s="194">
        <f t="shared" si="14"/>
        <v>1.0155437857345668</v>
      </c>
      <c r="L177" s="194">
        <f t="shared" si="15"/>
        <v>1.0158430566386467</v>
      </c>
    </row>
    <row r="178" spans="1:12" x14ac:dyDescent="0.2">
      <c r="A178" t="s">
        <v>313</v>
      </c>
      <c r="B178" s="97">
        <v>24056451.677048679</v>
      </c>
      <c r="C178" s="97">
        <v>24591487.319336966</v>
      </c>
      <c r="D178" s="97">
        <v>25291225.373319514</v>
      </c>
      <c r="E178" s="97">
        <v>25817059.955031324</v>
      </c>
      <c r="F178" s="97">
        <v>26431567.853177778</v>
      </c>
      <c r="H178" s="194">
        <f t="shared" si="11"/>
        <v>1</v>
      </c>
      <c r="I178" s="194">
        <f t="shared" si="12"/>
        <v>1.0222408379037355</v>
      </c>
      <c r="J178" s="194">
        <f t="shared" si="13"/>
        <v>1.0284544828418054</v>
      </c>
      <c r="K178" s="194">
        <f t="shared" si="14"/>
        <v>1.0207911864273105</v>
      </c>
      <c r="L178" s="194">
        <f t="shared" si="15"/>
        <v>1.0238023965245002</v>
      </c>
    </row>
    <row r="179" spans="1:12" x14ac:dyDescent="0.2">
      <c r="A179" t="s">
        <v>314</v>
      </c>
      <c r="B179" s="97">
        <v>8973226.6280354653</v>
      </c>
      <c r="C179" s="97">
        <v>9055628.7726991046</v>
      </c>
      <c r="D179" s="97">
        <v>9143265.8538524099</v>
      </c>
      <c r="E179" s="97">
        <v>9208483.6046363451</v>
      </c>
      <c r="F179" s="97">
        <v>9408833.0696611349</v>
      </c>
      <c r="H179" s="194">
        <f t="shared" si="11"/>
        <v>1</v>
      </c>
      <c r="I179" s="194">
        <f t="shared" si="12"/>
        <v>1.0091831119484029</v>
      </c>
      <c r="J179" s="194">
        <f t="shared" si="13"/>
        <v>1.0096776362363167</v>
      </c>
      <c r="K179" s="194">
        <f t="shared" si="14"/>
        <v>1.007132872632863</v>
      </c>
      <c r="L179" s="194">
        <f t="shared" si="15"/>
        <v>1.0217570529119384</v>
      </c>
    </row>
    <row r="180" spans="1:12" x14ac:dyDescent="0.2">
      <c r="A180" t="s">
        <v>315</v>
      </c>
      <c r="B180" s="97">
        <v>9460403.5883054063</v>
      </c>
      <c r="C180" s="97">
        <v>9530320.520608902</v>
      </c>
      <c r="D180" s="97">
        <v>9588968.2820745111</v>
      </c>
      <c r="E180" s="97">
        <v>9695046.9020622093</v>
      </c>
      <c r="F180" s="97">
        <v>9803703.0011068452</v>
      </c>
      <c r="H180" s="194">
        <f t="shared" si="11"/>
        <v>1</v>
      </c>
      <c r="I180" s="194">
        <f t="shared" si="12"/>
        <v>1.0073904809293679</v>
      </c>
      <c r="J180" s="194">
        <f t="shared" si="13"/>
        <v>1.0061538078744345</v>
      </c>
      <c r="K180" s="194">
        <f t="shared" si="14"/>
        <v>1.0110625686588202</v>
      </c>
      <c r="L180" s="194">
        <f t="shared" si="15"/>
        <v>1.0112073825059602</v>
      </c>
    </row>
    <row r="181" spans="1:12" x14ac:dyDescent="0.2">
      <c r="A181" t="s">
        <v>316</v>
      </c>
      <c r="B181" s="97">
        <v>13547551.574692424</v>
      </c>
      <c r="C181" s="97">
        <v>13696488.859445149</v>
      </c>
      <c r="D181" s="97">
        <v>13893091.336185884</v>
      </c>
      <c r="E181" s="97">
        <v>14003584.187984336</v>
      </c>
      <c r="F181" s="97">
        <v>14076424.104187053</v>
      </c>
      <c r="H181" s="194">
        <f t="shared" si="11"/>
        <v>1</v>
      </c>
      <c r="I181" s="194">
        <f t="shared" si="12"/>
        <v>1.0109936680389502</v>
      </c>
      <c r="J181" s="194">
        <f t="shared" si="13"/>
        <v>1.0143542245577162</v>
      </c>
      <c r="K181" s="194">
        <f t="shared" si="14"/>
        <v>1.0079530789170488</v>
      </c>
      <c r="L181" s="194">
        <f t="shared" si="15"/>
        <v>1.0052015194985022</v>
      </c>
    </row>
    <row r="182" spans="1:12" x14ac:dyDescent="0.2">
      <c r="A182" t="s">
        <v>317</v>
      </c>
      <c r="B182" s="97">
        <v>2965825.2320964593</v>
      </c>
      <c r="C182" s="97">
        <v>3013294.9831336937</v>
      </c>
      <c r="D182" s="97">
        <v>3063193.2692943481</v>
      </c>
      <c r="E182" s="97">
        <v>3117378.4278937308</v>
      </c>
      <c r="F182" s="97">
        <v>3167168.2392782662</v>
      </c>
      <c r="H182" s="194">
        <f t="shared" si="11"/>
        <v>1</v>
      </c>
      <c r="I182" s="194">
        <f t="shared" si="12"/>
        <v>1.0160055793320226</v>
      </c>
      <c r="J182" s="194">
        <f t="shared" si="13"/>
        <v>1.0165593765097509</v>
      </c>
      <c r="K182" s="194">
        <f t="shared" si="14"/>
        <v>1.0176891086640005</v>
      </c>
      <c r="L182" s="194">
        <f t="shared" si="15"/>
        <v>1.0159716930543385</v>
      </c>
    </row>
    <row r="183" spans="1:12" x14ac:dyDescent="0.2">
      <c r="A183" t="s">
        <v>319</v>
      </c>
      <c r="B183" s="97">
        <v>7677410.0076908637</v>
      </c>
      <c r="C183" s="97">
        <v>7761455.3549004858</v>
      </c>
      <c r="D183" s="97">
        <v>7898885.0577614009</v>
      </c>
      <c r="E183" s="97">
        <v>8039661.2026441097</v>
      </c>
      <c r="F183" s="97">
        <v>8181965.1558369119</v>
      </c>
      <c r="H183" s="194">
        <f t="shared" si="11"/>
        <v>1</v>
      </c>
      <c r="I183" s="194">
        <f t="shared" si="12"/>
        <v>1.0109470963678415</v>
      </c>
      <c r="J183" s="194">
        <f t="shared" si="13"/>
        <v>1.0177066924406315</v>
      </c>
      <c r="K183" s="194">
        <f t="shared" si="14"/>
        <v>1.017822280467847</v>
      </c>
      <c r="L183" s="194">
        <f t="shared" si="15"/>
        <v>1.0177002425358423</v>
      </c>
    </row>
    <row r="184" spans="1:12" x14ac:dyDescent="0.2">
      <c r="A184" t="s">
        <v>320</v>
      </c>
      <c r="B184" s="97">
        <v>4345801.5946143772</v>
      </c>
      <c r="C184" s="97">
        <v>4416525.7642093245</v>
      </c>
      <c r="D184" s="97">
        <v>4489256.7489409307</v>
      </c>
      <c r="E184" s="97">
        <v>4564990.1893178588</v>
      </c>
      <c r="F184" s="97">
        <v>4641966.8221516665</v>
      </c>
      <c r="H184" s="194">
        <f t="shared" si="11"/>
        <v>1</v>
      </c>
      <c r="I184" s="194">
        <f t="shared" si="12"/>
        <v>1.0162741367858563</v>
      </c>
      <c r="J184" s="194">
        <f t="shared" si="13"/>
        <v>1.0164679181362428</v>
      </c>
      <c r="K184" s="194">
        <f t="shared" si="14"/>
        <v>1.0168699285009248</v>
      </c>
      <c r="L184" s="194">
        <f t="shared" si="15"/>
        <v>1.0168623873527558</v>
      </c>
    </row>
    <row r="185" spans="1:12" x14ac:dyDescent="0.2">
      <c r="A185" t="s">
        <v>321</v>
      </c>
      <c r="B185" s="97">
        <v>11350357.771960137</v>
      </c>
      <c r="C185" s="97">
        <v>11531210.422465228</v>
      </c>
      <c r="D185" s="97">
        <v>11769176.184195794</v>
      </c>
      <c r="E185" s="97">
        <v>12011175.513887206</v>
      </c>
      <c r="F185" s="97">
        <v>12255130.133206472</v>
      </c>
      <c r="H185" s="194">
        <f t="shared" si="11"/>
        <v>1</v>
      </c>
      <c r="I185" s="194">
        <f t="shared" si="12"/>
        <v>1.0159336519727922</v>
      </c>
      <c r="J185" s="194">
        <f t="shared" si="13"/>
        <v>1.0206366680523806</v>
      </c>
      <c r="K185" s="194">
        <f t="shared" si="14"/>
        <v>1.0205621299149537</v>
      </c>
      <c r="L185" s="194">
        <f t="shared" si="15"/>
        <v>1.0203106364599541</v>
      </c>
    </row>
    <row r="186" spans="1:12" x14ac:dyDescent="0.2">
      <c r="A186" t="s">
        <v>322</v>
      </c>
      <c r="B186" s="97">
        <v>33789121.715694271</v>
      </c>
      <c r="C186" s="97">
        <v>34115253.994621247</v>
      </c>
      <c r="D186" s="97">
        <v>34397298.066515245</v>
      </c>
      <c r="E186" s="97">
        <v>34715685.245303206</v>
      </c>
      <c r="F186" s="97">
        <v>34988795.699264728</v>
      </c>
      <c r="H186" s="194">
        <f t="shared" si="11"/>
        <v>1</v>
      </c>
      <c r="I186" s="194">
        <f t="shared" si="12"/>
        <v>1.0096519904148764</v>
      </c>
      <c r="J186" s="194">
        <f t="shared" si="13"/>
        <v>1.0082673888911531</v>
      </c>
      <c r="K186" s="194">
        <f t="shared" si="14"/>
        <v>1.0092561682656669</v>
      </c>
      <c r="L186" s="194">
        <f t="shared" si="15"/>
        <v>1.0078670621660413</v>
      </c>
    </row>
    <row r="187" spans="1:12" x14ac:dyDescent="0.2">
      <c r="A187" t="s">
        <v>323</v>
      </c>
      <c r="B187" s="97">
        <v>9498150.8499633875</v>
      </c>
      <c r="C187" s="97">
        <v>9589578.4088742342</v>
      </c>
      <c r="D187" s="97">
        <v>9737061.3239727542</v>
      </c>
      <c r="E187" s="97">
        <v>9940993.367329061</v>
      </c>
      <c r="F187" s="97">
        <v>10024957.240375048</v>
      </c>
      <c r="H187" s="194">
        <f t="shared" si="11"/>
        <v>1</v>
      </c>
      <c r="I187" s="194">
        <f t="shared" si="12"/>
        <v>1.0096258272115355</v>
      </c>
      <c r="J187" s="194">
        <f t="shared" si="13"/>
        <v>1.0153794993700702</v>
      </c>
      <c r="K187" s="194">
        <f t="shared" si="14"/>
        <v>1.0209439004819887</v>
      </c>
      <c r="L187" s="194">
        <f t="shared" si="15"/>
        <v>1.0084462256379663</v>
      </c>
    </row>
    <row r="188" spans="1:12" x14ac:dyDescent="0.2">
      <c r="A188" t="s">
        <v>324</v>
      </c>
      <c r="B188" s="97">
        <v>44342126.210880406</v>
      </c>
      <c r="C188" s="97">
        <v>45258698.493401311</v>
      </c>
      <c r="D188" s="97">
        <v>45781515.265254296</v>
      </c>
      <c r="E188" s="97">
        <v>46489213.178884</v>
      </c>
      <c r="F188" s="97">
        <v>47210453.955979593</v>
      </c>
      <c r="H188" s="194">
        <f t="shared" si="11"/>
        <v>1</v>
      </c>
      <c r="I188" s="194">
        <f t="shared" si="12"/>
        <v>1.0206704630752685</v>
      </c>
      <c r="J188" s="194">
        <f t="shared" si="13"/>
        <v>1.0115517411957662</v>
      </c>
      <c r="K188" s="194">
        <f t="shared" si="14"/>
        <v>1.0154581583752604</v>
      </c>
      <c r="L188" s="194">
        <f t="shared" si="15"/>
        <v>1.0155141532363725</v>
      </c>
    </row>
    <row r="189" spans="1:12" x14ac:dyDescent="0.2">
      <c r="A189" t="s">
        <v>130</v>
      </c>
      <c r="B189" s="97">
        <v>27255101.623226732</v>
      </c>
      <c r="C189" s="97">
        <v>27848484.085374862</v>
      </c>
      <c r="D189" s="97">
        <v>28481763.160690583</v>
      </c>
      <c r="E189" s="97">
        <v>28961133.708340395</v>
      </c>
      <c r="F189" s="97">
        <v>29327174.579204053</v>
      </c>
      <c r="H189" s="194">
        <f t="shared" si="11"/>
        <v>1</v>
      </c>
      <c r="I189" s="194">
        <f t="shared" si="12"/>
        <v>1.0217714272487779</v>
      </c>
      <c r="J189" s="194">
        <f t="shared" si="13"/>
        <v>1.0227401632840869</v>
      </c>
      <c r="K189" s="194">
        <f t="shared" si="14"/>
        <v>1.0168307890542192</v>
      </c>
      <c r="L189" s="194">
        <f t="shared" si="15"/>
        <v>1.0126390380483705</v>
      </c>
    </row>
    <row r="190" spans="1:12" x14ac:dyDescent="0.2">
      <c r="A190" t="s">
        <v>325</v>
      </c>
      <c r="B190" s="97">
        <v>10959385.748213435</v>
      </c>
      <c r="C190" s="97">
        <v>10919954.011071866</v>
      </c>
      <c r="D190" s="97">
        <v>11058772.271975379</v>
      </c>
      <c r="E190" s="97">
        <v>11222907.305839198</v>
      </c>
      <c r="F190" s="97">
        <v>11335002.099328745</v>
      </c>
      <c r="H190" s="194">
        <f t="shared" si="11"/>
        <v>1</v>
      </c>
      <c r="I190" s="194">
        <f t="shared" si="12"/>
        <v>0.99640201211568846</v>
      </c>
      <c r="J190" s="194">
        <f t="shared" si="13"/>
        <v>1.012712348491831</v>
      </c>
      <c r="K190" s="194">
        <f t="shared" si="14"/>
        <v>1.0148420665357005</v>
      </c>
      <c r="L190" s="194">
        <f t="shared" si="15"/>
        <v>1.0099880352242796</v>
      </c>
    </row>
    <row r="191" spans="1:12" x14ac:dyDescent="0.2">
      <c r="A191" t="s">
        <v>326</v>
      </c>
      <c r="B191" s="97">
        <v>45058283.372370459</v>
      </c>
      <c r="C191" s="97">
        <v>46304971.338023931</v>
      </c>
      <c r="D191" s="97">
        <v>47722726.210451819</v>
      </c>
      <c r="E191" s="97">
        <v>49080130.152348526</v>
      </c>
      <c r="F191" s="97">
        <v>50480768.919846103</v>
      </c>
      <c r="H191" s="194">
        <f t="shared" si="11"/>
        <v>1</v>
      </c>
      <c r="I191" s="194">
        <f t="shared" si="12"/>
        <v>1.0276683413646854</v>
      </c>
      <c r="J191" s="194">
        <f t="shared" si="13"/>
        <v>1.030617768059467</v>
      </c>
      <c r="K191" s="194">
        <f t="shared" si="14"/>
        <v>1.0284435540398658</v>
      </c>
      <c r="L191" s="194">
        <f t="shared" si="15"/>
        <v>1.0285377965207079</v>
      </c>
    </row>
    <row r="192" spans="1:12" x14ac:dyDescent="0.2">
      <c r="A192" t="s">
        <v>327</v>
      </c>
      <c r="B192" s="97">
        <v>10404944.042948475</v>
      </c>
      <c r="C192" s="97">
        <v>10552433.796160974</v>
      </c>
      <c r="D192" s="97">
        <v>10677551.603378752</v>
      </c>
      <c r="E192" s="97">
        <v>10936988.547615077</v>
      </c>
      <c r="F192" s="97">
        <v>11137209.498990154</v>
      </c>
      <c r="H192" s="194">
        <f t="shared" si="11"/>
        <v>1</v>
      </c>
      <c r="I192" s="194">
        <f t="shared" si="12"/>
        <v>1.0141749684192154</v>
      </c>
      <c r="J192" s="194">
        <f t="shared" si="13"/>
        <v>1.0118567725355734</v>
      </c>
      <c r="K192" s="194">
        <f t="shared" si="14"/>
        <v>1.024297418909615</v>
      </c>
      <c r="L192" s="194">
        <f t="shared" si="15"/>
        <v>1.0183067716038467</v>
      </c>
    </row>
    <row r="193" spans="1:12" x14ac:dyDescent="0.2">
      <c r="A193" t="s">
        <v>328</v>
      </c>
      <c r="B193" s="97">
        <v>5203388.2393529862</v>
      </c>
      <c r="C193" s="97">
        <v>5280370.5472139288</v>
      </c>
      <c r="D193" s="97">
        <v>5359732.3766897172</v>
      </c>
      <c r="E193" s="97">
        <v>5404322.6226726538</v>
      </c>
      <c r="F193" s="97">
        <v>5529255.6544975396</v>
      </c>
      <c r="H193" s="194">
        <f t="shared" si="11"/>
        <v>1</v>
      </c>
      <c r="I193" s="194">
        <f t="shared" si="12"/>
        <v>1.0147946500087632</v>
      </c>
      <c r="J193" s="194">
        <f t="shared" si="13"/>
        <v>1.0150295947540391</v>
      </c>
      <c r="K193" s="194">
        <f t="shared" si="14"/>
        <v>1.0083194911329652</v>
      </c>
      <c r="L193" s="194">
        <f t="shared" si="15"/>
        <v>1.0231172416133627</v>
      </c>
    </row>
    <row r="194" spans="1:12" x14ac:dyDescent="0.2">
      <c r="A194" t="s">
        <v>329</v>
      </c>
      <c r="B194" s="97">
        <v>135377339.61092618</v>
      </c>
      <c r="C194" s="97">
        <v>138220358.90946713</v>
      </c>
      <c r="D194" s="97">
        <v>140477116.95287046</v>
      </c>
      <c r="E194" s="97">
        <v>143190013.62771136</v>
      </c>
      <c r="F194" s="97">
        <v>146001383.16189989</v>
      </c>
      <c r="H194" s="194">
        <f t="shared" si="11"/>
        <v>1</v>
      </c>
      <c r="I194" s="194">
        <f t="shared" si="12"/>
        <v>1.021000702973716</v>
      </c>
      <c r="J194" s="194">
        <f t="shared" si="13"/>
        <v>1.0163272477456196</v>
      </c>
      <c r="K194" s="194">
        <f t="shared" si="14"/>
        <v>1.0193120184531625</v>
      </c>
      <c r="L194" s="194">
        <f t="shared" si="15"/>
        <v>1.0196338380237744</v>
      </c>
    </row>
    <row r="195" spans="1:12" x14ac:dyDescent="0.2">
      <c r="A195" t="s">
        <v>330</v>
      </c>
      <c r="B195" s="97">
        <v>11054783.709351439</v>
      </c>
      <c r="C195" s="97">
        <v>11181196.982125908</v>
      </c>
      <c r="D195" s="97">
        <v>11223499.682436252</v>
      </c>
      <c r="E195" s="97">
        <v>11300601.317472221</v>
      </c>
      <c r="F195" s="97">
        <v>11458700.530616159</v>
      </c>
      <c r="H195" s="194">
        <f t="shared" si="11"/>
        <v>1</v>
      </c>
      <c r="I195" s="194">
        <f t="shared" si="12"/>
        <v>1.0114351647303179</v>
      </c>
      <c r="J195" s="194">
        <f t="shared" si="13"/>
        <v>1.0037833785039265</v>
      </c>
      <c r="K195" s="194">
        <f t="shared" si="14"/>
        <v>1.0068696607312804</v>
      </c>
      <c r="L195" s="194">
        <f t="shared" si="15"/>
        <v>1.0139903363283416</v>
      </c>
    </row>
    <row r="196" spans="1:12" x14ac:dyDescent="0.2">
      <c r="A196" t="s">
        <v>332</v>
      </c>
      <c r="B196" s="97">
        <v>7049827.7939305538</v>
      </c>
      <c r="C196" s="97">
        <v>7177993.2082537394</v>
      </c>
      <c r="D196" s="97">
        <v>7240679.1182210427</v>
      </c>
      <c r="E196" s="97">
        <v>7343007.5198370116</v>
      </c>
      <c r="F196" s="97">
        <v>7389910.3147630244</v>
      </c>
      <c r="H196" s="194">
        <f t="shared" si="11"/>
        <v>1</v>
      </c>
      <c r="I196" s="194">
        <f t="shared" si="12"/>
        <v>1.018179935463605</v>
      </c>
      <c r="J196" s="194">
        <f t="shared" si="13"/>
        <v>1.0087330689997343</v>
      </c>
      <c r="K196" s="194">
        <f t="shared" si="14"/>
        <v>1.0141324314950597</v>
      </c>
      <c r="L196" s="194">
        <f t="shared" si="15"/>
        <v>1.006387409354996</v>
      </c>
    </row>
    <row r="197" spans="1:12" x14ac:dyDescent="0.2">
      <c r="A197" t="s">
        <v>333</v>
      </c>
      <c r="B197" s="97">
        <v>22229703.508266583</v>
      </c>
      <c r="C197" s="97">
        <v>22310962.584033981</v>
      </c>
      <c r="D197" s="97">
        <v>22513670.907961726</v>
      </c>
      <c r="E197" s="97">
        <v>22660708.696113005</v>
      </c>
      <c r="F197" s="97">
        <v>22729608.603333034</v>
      </c>
      <c r="H197" s="194">
        <f t="shared" si="11"/>
        <v>1</v>
      </c>
      <c r="I197" s="194">
        <f t="shared" si="12"/>
        <v>1.0036554277809948</v>
      </c>
      <c r="J197" s="194">
        <f t="shared" si="13"/>
        <v>1.0090855929305715</v>
      </c>
      <c r="K197" s="194">
        <f t="shared" si="14"/>
        <v>1.006531044570758</v>
      </c>
      <c r="L197" s="194">
        <f t="shared" si="15"/>
        <v>1.0030405009897967</v>
      </c>
    </row>
    <row r="198" spans="1:12" x14ac:dyDescent="0.2">
      <c r="A198" t="s">
        <v>334</v>
      </c>
      <c r="B198" s="97">
        <v>4700052.7967241779</v>
      </c>
      <c r="C198" s="97">
        <v>4796518.6002043337</v>
      </c>
      <c r="D198" s="97">
        <v>4897701.6743071098</v>
      </c>
      <c r="E198" s="97">
        <v>5000322.3278178265</v>
      </c>
      <c r="F198" s="97">
        <v>5105095.0011682045</v>
      </c>
      <c r="H198" s="194">
        <f t="shared" ref="H198:H261" si="16">B198/B198</f>
        <v>1</v>
      </c>
      <c r="I198" s="194">
        <f t="shared" ref="I198:I261" si="17">C198/B198</f>
        <v>1.020524408480558</v>
      </c>
      <c r="J198" s="194">
        <f t="shared" ref="J198:J261" si="18">D198/C198</f>
        <v>1.0210951072093133</v>
      </c>
      <c r="K198" s="194">
        <f t="shared" ref="K198:K261" si="19">E198/D198</f>
        <v>1.0209528183492791</v>
      </c>
      <c r="L198" s="194">
        <f t="shared" ref="L198:L261" si="20">F198/E198</f>
        <v>1.0209531839112662</v>
      </c>
    </row>
    <row r="199" spans="1:12" x14ac:dyDescent="0.2">
      <c r="A199" t="s">
        <v>335</v>
      </c>
      <c r="B199" s="97">
        <v>7469498.8985362155</v>
      </c>
      <c r="C199" s="97">
        <v>7627269.7809383785</v>
      </c>
      <c r="D199" s="97">
        <v>7712344.8062377898</v>
      </c>
      <c r="E199" s="97">
        <v>7839995.3051769426</v>
      </c>
      <c r="F199" s="97">
        <v>7972014.8818418281</v>
      </c>
      <c r="H199" s="194">
        <f t="shared" si="16"/>
        <v>1</v>
      </c>
      <c r="I199" s="194">
        <f t="shared" si="17"/>
        <v>1.0211220169579356</v>
      </c>
      <c r="J199" s="194">
        <f t="shared" si="18"/>
        <v>1.0111540600690467</v>
      </c>
      <c r="K199" s="194">
        <f t="shared" si="19"/>
        <v>1.0165514512312661</v>
      </c>
      <c r="L199" s="194">
        <f t="shared" si="20"/>
        <v>1.0168392418012941</v>
      </c>
    </row>
    <row r="200" spans="1:12" x14ac:dyDescent="0.2">
      <c r="A200" t="s">
        <v>336</v>
      </c>
      <c r="B200" s="97">
        <v>6546089.6699669557</v>
      </c>
      <c r="C200" s="97">
        <v>6632531.8748082817</v>
      </c>
      <c r="D200" s="97">
        <v>6721081.4172575669</v>
      </c>
      <c r="E200" s="97">
        <v>6815645.9143707035</v>
      </c>
      <c r="F200" s="97">
        <v>6912623.2786371578</v>
      </c>
      <c r="H200" s="194">
        <f t="shared" si="16"/>
        <v>1</v>
      </c>
      <c r="I200" s="194">
        <f t="shared" si="17"/>
        <v>1.013205166626103</v>
      </c>
      <c r="J200" s="194">
        <f t="shared" si="18"/>
        <v>1.0133507903347763</v>
      </c>
      <c r="K200" s="194">
        <f t="shared" si="19"/>
        <v>1.0140698335940888</v>
      </c>
      <c r="L200" s="194">
        <f t="shared" si="20"/>
        <v>1.0142286388531392</v>
      </c>
    </row>
    <row r="201" spans="1:12" x14ac:dyDescent="0.2">
      <c r="A201" t="s">
        <v>337</v>
      </c>
      <c r="B201" s="97">
        <v>6077944.4072752614</v>
      </c>
      <c r="C201" s="97">
        <v>6155996.9155413546</v>
      </c>
      <c r="D201" s="97">
        <v>6194782.1834028596</v>
      </c>
      <c r="E201" s="97">
        <v>6277798.592301622</v>
      </c>
      <c r="F201" s="97">
        <v>6406220.1958245765</v>
      </c>
      <c r="H201" s="194">
        <f t="shared" si="16"/>
        <v>1</v>
      </c>
      <c r="I201" s="194">
        <f t="shared" si="17"/>
        <v>1.0128419253346024</v>
      </c>
      <c r="J201" s="194">
        <f t="shared" si="18"/>
        <v>1.0063004040439962</v>
      </c>
      <c r="K201" s="194">
        <f t="shared" si="19"/>
        <v>1.0134010214469171</v>
      </c>
      <c r="L201" s="194">
        <f t="shared" si="20"/>
        <v>1.0204564707890496</v>
      </c>
    </row>
    <row r="202" spans="1:12" x14ac:dyDescent="0.2">
      <c r="A202" t="s">
        <v>131</v>
      </c>
      <c r="B202" s="97">
        <v>12271908.760621833</v>
      </c>
      <c r="C202" s="97">
        <v>12482017.845555611</v>
      </c>
      <c r="D202" s="97">
        <v>12704536.075539246</v>
      </c>
      <c r="E202" s="97">
        <v>13004861.259108918</v>
      </c>
      <c r="F202" s="97">
        <v>13244003.428011458</v>
      </c>
      <c r="H202" s="194">
        <f t="shared" si="16"/>
        <v>1</v>
      </c>
      <c r="I202" s="194">
        <f t="shared" si="17"/>
        <v>1.0171211413833174</v>
      </c>
      <c r="J202" s="194">
        <f t="shared" si="18"/>
        <v>1.0178271039776525</v>
      </c>
      <c r="K202" s="194">
        <f t="shared" si="19"/>
        <v>1.0236392090025157</v>
      </c>
      <c r="L202" s="194">
        <f t="shared" si="20"/>
        <v>1.0183886751375406</v>
      </c>
    </row>
    <row r="203" spans="1:12" x14ac:dyDescent="0.2">
      <c r="A203" t="s">
        <v>338</v>
      </c>
      <c r="B203" s="97">
        <v>9185848.202172393</v>
      </c>
      <c r="C203" s="97">
        <v>9403702.2922515497</v>
      </c>
      <c r="D203" s="97">
        <v>9581179.0959978886</v>
      </c>
      <c r="E203" s="97">
        <v>9762755.6556747686</v>
      </c>
      <c r="F203" s="97">
        <v>9948539.932760492</v>
      </c>
      <c r="H203" s="194">
        <f t="shared" si="16"/>
        <v>1</v>
      </c>
      <c r="I203" s="194">
        <f t="shared" si="17"/>
        <v>1.0237162736945333</v>
      </c>
      <c r="J203" s="194">
        <f t="shared" si="18"/>
        <v>1.0188730776699062</v>
      </c>
      <c r="K203" s="194">
        <f t="shared" si="19"/>
        <v>1.0189513793508698</v>
      </c>
      <c r="L203" s="194">
        <f t="shared" si="20"/>
        <v>1.0190299013555393</v>
      </c>
    </row>
    <row r="204" spans="1:12" x14ac:dyDescent="0.2">
      <c r="A204" t="s">
        <v>132</v>
      </c>
      <c r="B204" s="97">
        <v>11732680.484618913</v>
      </c>
      <c r="C204" s="97">
        <v>11684320.181825779</v>
      </c>
      <c r="D204" s="97">
        <v>11703612.518724967</v>
      </c>
      <c r="E204" s="97">
        <v>11841914.46933477</v>
      </c>
      <c r="F204" s="97">
        <v>11909687.17171354</v>
      </c>
      <c r="H204" s="194">
        <f t="shared" si="16"/>
        <v>1</v>
      </c>
      <c r="I204" s="194">
        <f t="shared" si="17"/>
        <v>0.99587815394303691</v>
      </c>
      <c r="J204" s="194">
        <f t="shared" si="18"/>
        <v>1.0016511304550859</v>
      </c>
      <c r="K204" s="194">
        <f t="shared" si="19"/>
        <v>1.0118170308858507</v>
      </c>
      <c r="L204" s="194">
        <f t="shared" si="20"/>
        <v>1.0057231204088048</v>
      </c>
    </row>
    <row r="205" spans="1:12" x14ac:dyDescent="0.2">
      <c r="A205" t="s">
        <v>339</v>
      </c>
      <c r="B205" s="97">
        <v>3927457.0281520095</v>
      </c>
      <c r="C205" s="97">
        <v>4001757.7084039622</v>
      </c>
      <c r="D205" s="97">
        <v>4073744.0872311112</v>
      </c>
      <c r="E205" s="97">
        <v>4147017.0231580236</v>
      </c>
      <c r="F205" s="97">
        <v>4221599.3044494009</v>
      </c>
      <c r="H205" s="194">
        <f t="shared" si="16"/>
        <v>1</v>
      </c>
      <c r="I205" s="194">
        <f t="shared" si="17"/>
        <v>1.0189182668885657</v>
      </c>
      <c r="J205" s="194">
        <f t="shared" si="18"/>
        <v>1.0179886899888948</v>
      </c>
      <c r="K205" s="194">
        <f t="shared" si="19"/>
        <v>1.0179866320411686</v>
      </c>
      <c r="L205" s="194">
        <f t="shared" si="20"/>
        <v>1.0179845611616472</v>
      </c>
    </row>
    <row r="206" spans="1:12" x14ac:dyDescent="0.2">
      <c r="A206" t="s">
        <v>340</v>
      </c>
      <c r="B206" s="97">
        <v>6807479.6218938585</v>
      </c>
      <c r="C206" s="97">
        <v>6927273.662403998</v>
      </c>
      <c r="D206" s="97">
        <v>7050061.0408917982</v>
      </c>
      <c r="E206" s="97">
        <v>7174999.8511542827</v>
      </c>
      <c r="F206" s="97">
        <v>7304029.7089067902</v>
      </c>
      <c r="H206" s="194">
        <f t="shared" si="16"/>
        <v>1</v>
      </c>
      <c r="I206" s="194">
        <f t="shared" si="17"/>
        <v>1.0175974144858053</v>
      </c>
      <c r="J206" s="194">
        <f t="shared" si="18"/>
        <v>1.0177252097248874</v>
      </c>
      <c r="K206" s="194">
        <f t="shared" si="19"/>
        <v>1.017721663619338</v>
      </c>
      <c r="L206" s="194">
        <f t="shared" si="20"/>
        <v>1.017983255808953</v>
      </c>
    </row>
    <row r="207" spans="1:12" x14ac:dyDescent="0.2">
      <c r="A207" t="s">
        <v>341</v>
      </c>
      <c r="B207" s="97">
        <v>14442312.180870911</v>
      </c>
      <c r="C207" s="97">
        <v>14528763.521478806</v>
      </c>
      <c r="D207" s="97">
        <v>14585487.697634157</v>
      </c>
      <c r="E207" s="97">
        <v>14699073.57909655</v>
      </c>
      <c r="F207" s="97">
        <v>14791549.280561464</v>
      </c>
      <c r="H207" s="194">
        <f t="shared" si="16"/>
        <v>1</v>
      </c>
      <c r="I207" s="194">
        <f t="shared" si="17"/>
        <v>1.0059859764506685</v>
      </c>
      <c r="J207" s="194">
        <f t="shared" si="18"/>
        <v>1.0039042672882308</v>
      </c>
      <c r="K207" s="194">
        <f t="shared" si="19"/>
        <v>1.0077875957127451</v>
      </c>
      <c r="L207" s="194">
        <f t="shared" si="20"/>
        <v>1.0062912605319849</v>
      </c>
    </row>
    <row r="208" spans="1:12" x14ac:dyDescent="0.2">
      <c r="A208" t="s">
        <v>342</v>
      </c>
      <c r="B208" s="97">
        <v>20338672.035265513</v>
      </c>
      <c r="C208" s="97">
        <v>20820808.873138364</v>
      </c>
      <c r="D208" s="97">
        <v>21400698.260984976</v>
      </c>
      <c r="E208" s="97">
        <v>21839635.14985393</v>
      </c>
      <c r="F208" s="97">
        <v>22247315.667656295</v>
      </c>
      <c r="H208" s="194">
        <f t="shared" si="16"/>
        <v>1</v>
      </c>
      <c r="I208" s="194">
        <f t="shared" si="17"/>
        <v>1.0237054236892589</v>
      </c>
      <c r="J208" s="194">
        <f t="shared" si="18"/>
        <v>1.0278514341772162</v>
      </c>
      <c r="K208" s="194">
        <f t="shared" si="19"/>
        <v>1.0205104003390939</v>
      </c>
      <c r="L208" s="194">
        <f t="shared" si="20"/>
        <v>1.0186670022189035</v>
      </c>
    </row>
    <row r="209" spans="1:12" x14ac:dyDescent="0.2">
      <c r="A209" t="s">
        <v>331</v>
      </c>
      <c r="B209" s="97">
        <v>105090454.18557759</v>
      </c>
      <c r="C209" s="97">
        <v>107023035.55190304</v>
      </c>
      <c r="D209" s="97">
        <v>109019616.49369542</v>
      </c>
      <c r="E209" s="97">
        <v>111059877.33846012</v>
      </c>
      <c r="F209" s="97">
        <v>113266091.04077581</v>
      </c>
      <c r="H209" s="194">
        <f t="shared" si="16"/>
        <v>1</v>
      </c>
      <c r="I209" s="194">
        <f t="shared" si="17"/>
        <v>1.0183896946806676</v>
      </c>
      <c r="J209" s="194">
        <f t="shared" si="18"/>
        <v>1.0186556186852325</v>
      </c>
      <c r="K209" s="194">
        <f t="shared" si="19"/>
        <v>1.0187146213716747</v>
      </c>
      <c r="L209" s="194">
        <f t="shared" si="20"/>
        <v>1.0198650831892435</v>
      </c>
    </row>
    <row r="210" spans="1:12" x14ac:dyDescent="0.2">
      <c r="A210" t="s">
        <v>343</v>
      </c>
      <c r="B210" s="97">
        <v>54210649.261547178</v>
      </c>
      <c r="C210" s="97">
        <v>54830049.738120757</v>
      </c>
      <c r="D210" s="97">
        <v>55514427.752225481</v>
      </c>
      <c r="E210" s="97">
        <v>56003345.865413085</v>
      </c>
      <c r="F210" s="97">
        <v>56550906.226618402</v>
      </c>
      <c r="H210" s="194">
        <f t="shared" si="16"/>
        <v>1</v>
      </c>
      <c r="I210" s="194">
        <f t="shared" si="17"/>
        <v>1.011425808120932</v>
      </c>
      <c r="J210" s="194">
        <f t="shared" si="18"/>
        <v>1.0124818054583837</v>
      </c>
      <c r="K210" s="194">
        <f t="shared" si="19"/>
        <v>1.0088070458975056</v>
      </c>
      <c r="L210" s="194">
        <f t="shared" si="20"/>
        <v>1.0097772794240045</v>
      </c>
    </row>
    <row r="211" spans="1:12" x14ac:dyDescent="0.2">
      <c r="A211" t="s">
        <v>344</v>
      </c>
      <c r="B211" s="97">
        <v>46790161.755157053</v>
      </c>
      <c r="C211" s="97">
        <v>47733194.049759448</v>
      </c>
      <c r="D211" s="97">
        <v>48615557.809830002</v>
      </c>
      <c r="E211" s="97">
        <v>49454049.255014978</v>
      </c>
      <c r="F211" s="97">
        <v>50204053.735130891</v>
      </c>
      <c r="H211" s="194">
        <f t="shared" si="16"/>
        <v>1</v>
      </c>
      <c r="I211" s="194">
        <f t="shared" si="17"/>
        <v>1.0201544995620464</v>
      </c>
      <c r="J211" s="194">
        <f t="shared" si="18"/>
        <v>1.018485328242454</v>
      </c>
      <c r="K211" s="194">
        <f t="shared" si="19"/>
        <v>1.0172473891683997</v>
      </c>
      <c r="L211" s="194">
        <f t="shared" si="20"/>
        <v>1.0151656839311263</v>
      </c>
    </row>
    <row r="212" spans="1:12" x14ac:dyDescent="0.2">
      <c r="A212" t="s">
        <v>345</v>
      </c>
      <c r="B212" s="97">
        <v>8255374.020881041</v>
      </c>
      <c r="C212" s="97">
        <v>8340088.2204354582</v>
      </c>
      <c r="D212" s="97">
        <v>8502321.6532986965</v>
      </c>
      <c r="E212" s="97">
        <v>8632518.3053018451</v>
      </c>
      <c r="F212" s="97">
        <v>8728627.1308657266</v>
      </c>
      <c r="H212" s="194">
        <f t="shared" si="16"/>
        <v>1</v>
      </c>
      <c r="I212" s="194">
        <f t="shared" si="17"/>
        <v>1.0102617033874106</v>
      </c>
      <c r="J212" s="194">
        <f t="shared" si="18"/>
        <v>1.0194522442179597</v>
      </c>
      <c r="K212" s="194">
        <f t="shared" si="19"/>
        <v>1.0153130706308477</v>
      </c>
      <c r="L212" s="194">
        <f t="shared" si="20"/>
        <v>1.0111333474387021</v>
      </c>
    </row>
    <row r="213" spans="1:12" x14ac:dyDescent="0.2">
      <c r="A213" t="s">
        <v>346</v>
      </c>
      <c r="B213" s="97">
        <v>10836721.784080897</v>
      </c>
      <c r="C213" s="97">
        <v>11004090.529999964</v>
      </c>
      <c r="D213" s="97">
        <v>11174754.653701227</v>
      </c>
      <c r="E213" s="97">
        <v>11299258.337364949</v>
      </c>
      <c r="F213" s="97">
        <v>11536891.115616115</v>
      </c>
      <c r="H213" s="194">
        <f t="shared" si="16"/>
        <v>1</v>
      </c>
      <c r="I213" s="194">
        <f t="shared" si="17"/>
        <v>1.0154445919396888</v>
      </c>
      <c r="J213" s="194">
        <f t="shared" si="18"/>
        <v>1.0155091530041478</v>
      </c>
      <c r="K213" s="194">
        <f t="shared" si="19"/>
        <v>1.0111415138427657</v>
      </c>
      <c r="L213" s="194">
        <f t="shared" si="20"/>
        <v>1.0210308297373245</v>
      </c>
    </row>
    <row r="214" spans="1:12" x14ac:dyDescent="0.2">
      <c r="A214" t="s">
        <v>347</v>
      </c>
      <c r="B214" s="97">
        <v>70125426.1916233</v>
      </c>
      <c r="C214" s="97">
        <v>71547279.78603898</v>
      </c>
      <c r="D214" s="97">
        <v>72752313.303598031</v>
      </c>
      <c r="E214" s="97">
        <v>74080374.661132082</v>
      </c>
      <c r="F214" s="97">
        <v>75641253.127190188</v>
      </c>
      <c r="H214" s="194">
        <f t="shared" si="16"/>
        <v>1</v>
      </c>
      <c r="I214" s="194">
        <f t="shared" si="17"/>
        <v>1.0202758638575735</v>
      </c>
      <c r="J214" s="194">
        <f t="shared" si="18"/>
        <v>1.0168424784445012</v>
      </c>
      <c r="K214" s="194">
        <f t="shared" si="19"/>
        <v>1.0182545584769518</v>
      </c>
      <c r="L214" s="194">
        <f t="shared" si="20"/>
        <v>1.0210700671155899</v>
      </c>
    </row>
    <row r="215" spans="1:12" x14ac:dyDescent="0.2">
      <c r="A215" t="s">
        <v>348</v>
      </c>
      <c r="B215" s="97">
        <v>7975203.458822282</v>
      </c>
      <c r="C215" s="97">
        <v>8005797.7542103557</v>
      </c>
      <c r="D215" s="97">
        <v>8199689.0195455123</v>
      </c>
      <c r="E215" s="97">
        <v>8334409.206066587</v>
      </c>
      <c r="F215" s="97">
        <v>8471254.8374530971</v>
      </c>
      <c r="H215" s="194">
        <f t="shared" si="16"/>
        <v>1</v>
      </c>
      <c r="I215" s="194">
        <f t="shared" si="17"/>
        <v>1.0038361774149134</v>
      </c>
      <c r="J215" s="194">
        <f t="shared" si="18"/>
        <v>1.024218856294888</v>
      </c>
      <c r="K215" s="194">
        <f t="shared" si="19"/>
        <v>1.0164299141345414</v>
      </c>
      <c r="L215" s="194">
        <f t="shared" si="20"/>
        <v>1.0164193559498975</v>
      </c>
    </row>
    <row r="216" spans="1:12" x14ac:dyDescent="0.2">
      <c r="A216" t="s">
        <v>349</v>
      </c>
      <c r="B216" s="97">
        <v>4930380.2405507984</v>
      </c>
      <c r="C216" s="97">
        <v>4989289.3479034584</v>
      </c>
      <c r="D216" s="97">
        <v>5050345.3713985318</v>
      </c>
      <c r="E216" s="97">
        <v>5113646.1195483143</v>
      </c>
      <c r="F216" s="97">
        <v>5177469.1491429005</v>
      </c>
      <c r="H216" s="194">
        <f t="shared" si="16"/>
        <v>1</v>
      </c>
      <c r="I216" s="194">
        <f t="shared" si="17"/>
        <v>1.0119481874578662</v>
      </c>
      <c r="J216" s="194">
        <f t="shared" si="18"/>
        <v>1.0122374188461789</v>
      </c>
      <c r="K216" s="194">
        <f t="shared" si="19"/>
        <v>1.0125339444126478</v>
      </c>
      <c r="L216" s="194">
        <f t="shared" si="20"/>
        <v>1.0124809241982164</v>
      </c>
    </row>
    <row r="217" spans="1:12" x14ac:dyDescent="0.2">
      <c r="A217" t="s">
        <v>350</v>
      </c>
      <c r="B217" s="97">
        <v>7055417.0866537457</v>
      </c>
      <c r="C217" s="97">
        <v>7124474.6628865236</v>
      </c>
      <c r="D217" s="97">
        <v>7229806.1456184089</v>
      </c>
      <c r="E217" s="97">
        <v>7338822.144402626</v>
      </c>
      <c r="F217" s="97">
        <v>7450891.4558450915</v>
      </c>
      <c r="H217" s="194">
        <f t="shared" si="16"/>
        <v>1</v>
      </c>
      <c r="I217" s="194">
        <f t="shared" si="17"/>
        <v>1.0097878800621738</v>
      </c>
      <c r="J217" s="194">
        <f t="shared" si="18"/>
        <v>1.014784456077946</v>
      </c>
      <c r="K217" s="194">
        <f t="shared" si="19"/>
        <v>1.015078689053134</v>
      </c>
      <c r="L217" s="194">
        <f t="shared" si="20"/>
        <v>1.0152707490708086</v>
      </c>
    </row>
    <row r="218" spans="1:12" x14ac:dyDescent="0.2">
      <c r="A218" t="s">
        <v>351</v>
      </c>
      <c r="B218" s="97">
        <v>6983102.1017443249</v>
      </c>
      <c r="C218" s="97">
        <v>7176383.4524575332</v>
      </c>
      <c r="D218" s="97">
        <v>7294048.1405740846</v>
      </c>
      <c r="E218" s="97">
        <v>7414697.7362241996</v>
      </c>
      <c r="F218" s="97">
        <v>7539583.6814925205</v>
      </c>
      <c r="H218" s="194">
        <f t="shared" si="16"/>
        <v>1</v>
      </c>
      <c r="I218" s="194">
        <f t="shared" si="17"/>
        <v>1.0276784368747707</v>
      </c>
      <c r="J218" s="194">
        <f t="shared" si="18"/>
        <v>1.0163960982430862</v>
      </c>
      <c r="K218" s="194">
        <f t="shared" si="19"/>
        <v>1.0165408279908363</v>
      </c>
      <c r="L218" s="194">
        <f t="shared" si="20"/>
        <v>1.0168430257997161</v>
      </c>
    </row>
    <row r="219" spans="1:12" x14ac:dyDescent="0.2">
      <c r="A219" t="s">
        <v>352</v>
      </c>
      <c r="B219" s="97">
        <v>56311413.117097393</v>
      </c>
      <c r="C219" s="97">
        <v>57338129.52277717</v>
      </c>
      <c r="D219" s="97">
        <v>58298382.112173885</v>
      </c>
      <c r="E219" s="97">
        <v>59271108.271099575</v>
      </c>
      <c r="F219" s="97">
        <v>60198171.758677848</v>
      </c>
      <c r="H219" s="194">
        <f t="shared" si="16"/>
        <v>1</v>
      </c>
      <c r="I219" s="194">
        <f t="shared" si="17"/>
        <v>1.0182328297026531</v>
      </c>
      <c r="J219" s="194">
        <f t="shared" si="18"/>
        <v>1.0167471906982117</v>
      </c>
      <c r="K219" s="194">
        <f t="shared" si="19"/>
        <v>1.0166853028108744</v>
      </c>
      <c r="L219" s="194">
        <f t="shared" si="20"/>
        <v>1.015641068888707</v>
      </c>
    </row>
    <row r="220" spans="1:12" x14ac:dyDescent="0.2">
      <c r="A220" t="s">
        <v>353</v>
      </c>
      <c r="B220" s="97">
        <v>3603413.0882873568</v>
      </c>
      <c r="C220" s="97">
        <v>3653209.4583846945</v>
      </c>
      <c r="D220" s="97">
        <v>3705175.7798502771</v>
      </c>
      <c r="E220" s="97">
        <v>3761056.1760690412</v>
      </c>
      <c r="F220" s="97">
        <v>3821051.6706813276</v>
      </c>
      <c r="H220" s="194">
        <f t="shared" si="16"/>
        <v>1</v>
      </c>
      <c r="I220" s="194">
        <f t="shared" si="17"/>
        <v>1.013819223296712</v>
      </c>
      <c r="J220" s="194">
        <f t="shared" si="18"/>
        <v>1.0142248403924148</v>
      </c>
      <c r="K220" s="194">
        <f t="shared" si="19"/>
        <v>1.0150817125931397</v>
      </c>
      <c r="L220" s="194">
        <f t="shared" si="20"/>
        <v>1.0159517677491836</v>
      </c>
    </row>
    <row r="221" spans="1:12" x14ac:dyDescent="0.2">
      <c r="A221" t="s">
        <v>354</v>
      </c>
      <c r="B221" s="97">
        <v>152313186.08529204</v>
      </c>
      <c r="C221" s="97">
        <v>156391591.12931973</v>
      </c>
      <c r="D221" s="97">
        <v>160066486.65187031</v>
      </c>
      <c r="E221" s="97">
        <v>163594674.92911747</v>
      </c>
      <c r="F221" s="97">
        <v>166618783.83127412</v>
      </c>
      <c r="H221" s="194">
        <f t="shared" si="16"/>
        <v>1</v>
      </c>
      <c r="I221" s="194">
        <f t="shared" si="17"/>
        <v>1.0267764410216189</v>
      </c>
      <c r="J221" s="194">
        <f t="shared" si="18"/>
        <v>1.0234980378165717</v>
      </c>
      <c r="K221" s="194">
        <f t="shared" si="19"/>
        <v>1.0220420173582034</v>
      </c>
      <c r="L221" s="194">
        <f t="shared" si="20"/>
        <v>1.0184853749271909</v>
      </c>
    </row>
    <row r="222" spans="1:12" x14ac:dyDescent="0.2">
      <c r="A222" t="s">
        <v>355</v>
      </c>
      <c r="B222" s="97">
        <v>9838922.043566091</v>
      </c>
      <c r="C222" s="97">
        <v>9874408.1759706624</v>
      </c>
      <c r="D222" s="97">
        <v>9872653.2215854954</v>
      </c>
      <c r="E222" s="97">
        <v>9935869.0910209678</v>
      </c>
      <c r="F222" s="97">
        <v>9955176.5719236284</v>
      </c>
      <c r="H222" s="194">
        <f t="shared" si="16"/>
        <v>1</v>
      </c>
      <c r="I222" s="194">
        <f t="shared" si="17"/>
        <v>1.0036067093780641</v>
      </c>
      <c r="J222" s="194">
        <f t="shared" si="18"/>
        <v>0.99982227244874911</v>
      </c>
      <c r="K222" s="194">
        <f t="shared" si="19"/>
        <v>1.0064031287250379</v>
      </c>
      <c r="L222" s="194">
        <f t="shared" si="20"/>
        <v>1.0019432100730985</v>
      </c>
    </row>
    <row r="223" spans="1:12" x14ac:dyDescent="0.2">
      <c r="A223" t="s">
        <v>356</v>
      </c>
      <c r="B223" s="97">
        <v>8055592.5669742525</v>
      </c>
      <c r="C223" s="97">
        <v>8090549.3257723497</v>
      </c>
      <c r="D223" s="97">
        <v>8220817.5981176216</v>
      </c>
      <c r="E223" s="97">
        <v>8316476.5327662621</v>
      </c>
      <c r="F223" s="97">
        <v>8448332.6503632125</v>
      </c>
      <c r="H223" s="194">
        <f t="shared" si="16"/>
        <v>1</v>
      </c>
      <c r="I223" s="194">
        <f t="shared" si="17"/>
        <v>1.0043394397752203</v>
      </c>
      <c r="J223" s="194">
        <f t="shared" si="18"/>
        <v>1.0161012889360064</v>
      </c>
      <c r="K223" s="194">
        <f t="shared" si="19"/>
        <v>1.0116361825946052</v>
      </c>
      <c r="L223" s="194">
        <f t="shared" si="20"/>
        <v>1.0158548054668883</v>
      </c>
    </row>
    <row r="224" spans="1:12" x14ac:dyDescent="0.2">
      <c r="A224" t="s">
        <v>357</v>
      </c>
      <c r="B224" s="97">
        <v>12307821.364641918</v>
      </c>
      <c r="C224" s="97">
        <v>12581585.718872346</v>
      </c>
      <c r="D224" s="97">
        <v>12953627.198670492</v>
      </c>
      <c r="E224" s="97">
        <v>13216776.11363589</v>
      </c>
      <c r="F224" s="97">
        <v>13480822.795595037</v>
      </c>
      <c r="H224" s="194">
        <f t="shared" si="16"/>
        <v>1</v>
      </c>
      <c r="I224" s="194">
        <f t="shared" si="17"/>
        <v>1.0222431205425928</v>
      </c>
      <c r="J224" s="194">
        <f t="shared" si="18"/>
        <v>1.0295703171373767</v>
      </c>
      <c r="K224" s="194">
        <f t="shared" si="19"/>
        <v>1.0203146895405797</v>
      </c>
      <c r="L224" s="194">
        <f t="shared" si="20"/>
        <v>1.0199781459327837</v>
      </c>
    </row>
    <row r="225" spans="1:12" x14ac:dyDescent="0.2">
      <c r="A225" t="s">
        <v>358</v>
      </c>
      <c r="B225" s="97">
        <v>4496395.5979947764</v>
      </c>
      <c r="C225" s="97">
        <v>4529443.0654916922</v>
      </c>
      <c r="D225" s="97">
        <v>4598148.9741638051</v>
      </c>
      <c r="E225" s="97">
        <v>4669811.4489564952</v>
      </c>
      <c r="F225" s="97">
        <v>4746608.6441754913</v>
      </c>
      <c r="H225" s="194">
        <f t="shared" si="16"/>
        <v>1</v>
      </c>
      <c r="I225" s="194">
        <f t="shared" si="17"/>
        <v>1.0073497686706334</v>
      </c>
      <c r="J225" s="194">
        <f t="shared" si="18"/>
        <v>1.0151687321550766</v>
      </c>
      <c r="K225" s="194">
        <f t="shared" si="19"/>
        <v>1.0155850702522577</v>
      </c>
      <c r="L225" s="194">
        <f t="shared" si="20"/>
        <v>1.0164454595348078</v>
      </c>
    </row>
    <row r="226" spans="1:12" x14ac:dyDescent="0.2">
      <c r="A226" t="s">
        <v>133</v>
      </c>
      <c r="B226" s="97">
        <v>63430447.929720633</v>
      </c>
      <c r="C226" s="97">
        <v>63855702.267402433</v>
      </c>
      <c r="D226" s="97">
        <v>64731196.268851139</v>
      </c>
      <c r="E226" s="97">
        <v>65407984.257591262</v>
      </c>
      <c r="F226" s="97">
        <v>66195713.059987806</v>
      </c>
      <c r="H226" s="194">
        <f t="shared" si="16"/>
        <v>1</v>
      </c>
      <c r="I226" s="194">
        <f t="shared" si="17"/>
        <v>1.0067042619366802</v>
      </c>
      <c r="J226" s="194">
        <f t="shared" si="18"/>
        <v>1.0137105061938319</v>
      </c>
      <c r="K226" s="194">
        <f t="shared" si="19"/>
        <v>1.0104553604405702</v>
      </c>
      <c r="L226" s="194">
        <f t="shared" si="20"/>
        <v>1.0120433126221149</v>
      </c>
    </row>
    <row r="227" spans="1:12" x14ac:dyDescent="0.2">
      <c r="A227" t="s">
        <v>359</v>
      </c>
      <c r="B227" s="97">
        <v>18121603.589114208</v>
      </c>
      <c r="C227" s="97">
        <v>18269054.384653725</v>
      </c>
      <c r="D227" s="97">
        <v>18299221.120073762</v>
      </c>
      <c r="E227" s="97">
        <v>18438202.605731912</v>
      </c>
      <c r="F227" s="97">
        <v>18508183.689951375</v>
      </c>
      <c r="H227" s="194">
        <f t="shared" si="16"/>
        <v>1</v>
      </c>
      <c r="I227" s="194">
        <f t="shared" si="17"/>
        <v>1.0081367410347775</v>
      </c>
      <c r="J227" s="194">
        <f t="shared" si="18"/>
        <v>1.001651247775877</v>
      </c>
      <c r="K227" s="194">
        <f t="shared" si="19"/>
        <v>1.0075949399565258</v>
      </c>
      <c r="L227" s="194">
        <f t="shared" si="20"/>
        <v>1.0037954395944053</v>
      </c>
    </row>
    <row r="228" spans="1:12" x14ac:dyDescent="0.2">
      <c r="A228" t="s">
        <v>360</v>
      </c>
      <c r="B228" s="97">
        <v>9249447.8488868345</v>
      </c>
      <c r="C228" s="97">
        <v>9376746.6049393807</v>
      </c>
      <c r="D228" s="97">
        <v>9478113.993221825</v>
      </c>
      <c r="E228" s="97">
        <v>9581429.9585032649</v>
      </c>
      <c r="F228" s="97">
        <v>9650045.109370904</v>
      </c>
      <c r="H228" s="194">
        <f t="shared" si="16"/>
        <v>1</v>
      </c>
      <c r="I228" s="194">
        <f t="shared" si="17"/>
        <v>1.01376284921352</v>
      </c>
      <c r="J228" s="194">
        <f t="shared" si="18"/>
        <v>1.0108105073703333</v>
      </c>
      <c r="K228" s="194">
        <f t="shared" si="19"/>
        <v>1.0109004771788275</v>
      </c>
      <c r="L228" s="194">
        <f t="shared" si="20"/>
        <v>1.0071612641500076</v>
      </c>
    </row>
    <row r="229" spans="1:12" x14ac:dyDescent="0.2">
      <c r="A229" t="s">
        <v>361</v>
      </c>
      <c r="B229" s="97">
        <v>107332250.38611865</v>
      </c>
      <c r="C229" s="97">
        <v>108313781.96743466</v>
      </c>
      <c r="D229" s="97">
        <v>109207649.8609063</v>
      </c>
      <c r="E229" s="97">
        <v>109709343.28400402</v>
      </c>
      <c r="F229" s="97">
        <v>110588837.13464622</v>
      </c>
      <c r="H229" s="194">
        <f t="shared" si="16"/>
        <v>1</v>
      </c>
      <c r="I229" s="194">
        <f t="shared" si="17"/>
        <v>1.0091447964408184</v>
      </c>
      <c r="J229" s="194">
        <f t="shared" si="18"/>
        <v>1.0082525776243358</v>
      </c>
      <c r="K229" s="194">
        <f t="shared" si="19"/>
        <v>1.0045939402938961</v>
      </c>
      <c r="L229" s="194">
        <f t="shared" si="20"/>
        <v>1.0080165811253237</v>
      </c>
    </row>
    <row r="230" spans="1:12" x14ac:dyDescent="0.2">
      <c r="A230" t="s">
        <v>362</v>
      </c>
      <c r="B230" s="97">
        <v>6627862.055227017</v>
      </c>
      <c r="C230" s="97">
        <v>6761081.1154894456</v>
      </c>
      <c r="D230" s="97">
        <v>6896729.9564358406</v>
      </c>
      <c r="E230" s="97">
        <v>6973207.3046107963</v>
      </c>
      <c r="F230" s="97">
        <v>7176280.6952753551</v>
      </c>
      <c r="H230" s="194">
        <f t="shared" si="16"/>
        <v>1</v>
      </c>
      <c r="I230" s="194">
        <f t="shared" si="17"/>
        <v>1.0200998540935786</v>
      </c>
      <c r="J230" s="194">
        <f t="shared" si="18"/>
        <v>1.0200631879176287</v>
      </c>
      <c r="K230" s="194">
        <f t="shared" si="19"/>
        <v>1.011088928906603</v>
      </c>
      <c r="L230" s="194">
        <f t="shared" si="20"/>
        <v>1.0291219494550641</v>
      </c>
    </row>
    <row r="231" spans="1:12" x14ac:dyDescent="0.2">
      <c r="A231" t="s">
        <v>363</v>
      </c>
      <c r="B231" s="97">
        <v>8113007.288345377</v>
      </c>
      <c r="C231" s="97">
        <v>8231947.7066051774</v>
      </c>
      <c r="D231" s="97">
        <v>8312217.9592175754</v>
      </c>
      <c r="E231" s="97">
        <v>8396837.6973075103</v>
      </c>
      <c r="F231" s="97">
        <v>8526005.1421997454</v>
      </c>
      <c r="H231" s="194">
        <f t="shared" si="16"/>
        <v>1</v>
      </c>
      <c r="I231" s="194">
        <f t="shared" si="17"/>
        <v>1.0146604599296567</v>
      </c>
      <c r="J231" s="194">
        <f t="shared" si="18"/>
        <v>1.0097510644471162</v>
      </c>
      <c r="K231" s="194">
        <f t="shared" si="19"/>
        <v>1.010180163526162</v>
      </c>
      <c r="L231" s="194">
        <f t="shared" si="20"/>
        <v>1.0153828678781838</v>
      </c>
    </row>
    <row r="232" spans="1:12" x14ac:dyDescent="0.2">
      <c r="A232" t="s">
        <v>364</v>
      </c>
      <c r="B232" s="97">
        <v>64704025.071046717</v>
      </c>
      <c r="C232" s="97">
        <v>65442046.09245076</v>
      </c>
      <c r="D232" s="97">
        <v>66091588.029871553</v>
      </c>
      <c r="E232" s="97">
        <v>66839191.699879557</v>
      </c>
      <c r="F232" s="97">
        <v>67563970.895490125</v>
      </c>
      <c r="H232" s="194">
        <f t="shared" si="16"/>
        <v>1</v>
      </c>
      <c r="I232" s="194">
        <f t="shared" si="17"/>
        <v>1.0114061068162865</v>
      </c>
      <c r="J232" s="194">
        <f t="shared" si="18"/>
        <v>1.0099254527663022</v>
      </c>
      <c r="K232" s="194">
        <f t="shared" si="19"/>
        <v>1.0113116312119799</v>
      </c>
      <c r="L232" s="194">
        <f t="shared" si="20"/>
        <v>1.010843625980173</v>
      </c>
    </row>
    <row r="233" spans="1:12" x14ac:dyDescent="0.2">
      <c r="A233" t="s">
        <v>365</v>
      </c>
      <c r="B233" s="97">
        <v>3116364.3628878705</v>
      </c>
      <c r="C233" s="97">
        <v>3208280.8159900135</v>
      </c>
      <c r="D233" s="97">
        <v>3260151.8514626278</v>
      </c>
      <c r="E233" s="97">
        <v>3310057.3031721739</v>
      </c>
      <c r="F233" s="97">
        <v>3364887.3680773173</v>
      </c>
      <c r="H233" s="194">
        <f t="shared" si="16"/>
        <v>1</v>
      </c>
      <c r="I233" s="194">
        <f t="shared" si="17"/>
        <v>1.0294947709570668</v>
      </c>
      <c r="J233" s="194">
        <f t="shared" si="18"/>
        <v>1.0161678601243662</v>
      </c>
      <c r="K233" s="194">
        <f t="shared" si="19"/>
        <v>1.0153077077336619</v>
      </c>
      <c r="L233" s="194">
        <f t="shared" si="20"/>
        <v>1.0165646875214509</v>
      </c>
    </row>
    <row r="234" spans="1:12" x14ac:dyDescent="0.2">
      <c r="A234" t="s">
        <v>366</v>
      </c>
      <c r="B234" s="97">
        <v>149247945.68321574</v>
      </c>
      <c r="C234" s="97">
        <v>153383673.0631969</v>
      </c>
      <c r="D234" s="97">
        <v>157688616.01871839</v>
      </c>
      <c r="E234" s="97">
        <v>162378874.2128996</v>
      </c>
      <c r="F234" s="97">
        <v>166454076.48823783</v>
      </c>
      <c r="H234" s="194">
        <f t="shared" si="16"/>
        <v>1</v>
      </c>
      <c r="I234" s="194">
        <f t="shared" si="17"/>
        <v>1.0277104476115162</v>
      </c>
      <c r="J234" s="194">
        <f t="shared" si="18"/>
        <v>1.0280665006225778</v>
      </c>
      <c r="K234" s="194">
        <f t="shared" si="19"/>
        <v>1.0297437970641106</v>
      </c>
      <c r="L234" s="194">
        <f t="shared" si="20"/>
        <v>1.0250968747941627</v>
      </c>
    </row>
    <row r="235" spans="1:12" x14ac:dyDescent="0.2">
      <c r="A235" t="s">
        <v>367</v>
      </c>
      <c r="B235" s="97">
        <v>14099054.021852382</v>
      </c>
      <c r="C235" s="97">
        <v>14188635.53852105</v>
      </c>
      <c r="D235" s="97">
        <v>14329003.256367054</v>
      </c>
      <c r="E235" s="97">
        <v>14416118.640229899</v>
      </c>
      <c r="F235" s="97">
        <v>14387602.273046751</v>
      </c>
      <c r="H235" s="194">
        <f t="shared" si="16"/>
        <v>1</v>
      </c>
      <c r="I235" s="194">
        <f t="shared" si="17"/>
        <v>1.0063537253300698</v>
      </c>
      <c r="J235" s="194">
        <f t="shared" si="18"/>
        <v>1.009892968035222</v>
      </c>
      <c r="K235" s="194">
        <f t="shared" si="19"/>
        <v>1.0060796541325465</v>
      </c>
      <c r="L235" s="194">
        <f t="shared" si="20"/>
        <v>0.99802191089746095</v>
      </c>
    </row>
    <row r="236" spans="1:12" x14ac:dyDescent="0.2">
      <c r="A236" t="s">
        <v>368</v>
      </c>
      <c r="B236" s="97">
        <v>3278515.4856170509</v>
      </c>
      <c r="C236" s="97">
        <v>3335240.6174921822</v>
      </c>
      <c r="D236" s="97">
        <v>3390271.0697401739</v>
      </c>
      <c r="E236" s="97">
        <v>3448888.2555075209</v>
      </c>
      <c r="F236" s="97">
        <v>3509423.3083277433</v>
      </c>
      <c r="H236" s="194">
        <f t="shared" si="16"/>
        <v>1</v>
      </c>
      <c r="I236" s="194">
        <f t="shared" si="17"/>
        <v>1.0173020783717466</v>
      </c>
      <c r="J236" s="194">
        <f t="shared" si="18"/>
        <v>1.0164996947924465</v>
      </c>
      <c r="K236" s="194">
        <f t="shared" si="19"/>
        <v>1.0172898227196445</v>
      </c>
      <c r="L236" s="194">
        <f t="shared" si="20"/>
        <v>1.0175520481777147</v>
      </c>
    </row>
    <row r="237" spans="1:12" x14ac:dyDescent="0.2">
      <c r="A237" t="s">
        <v>369</v>
      </c>
      <c r="B237" s="97">
        <v>15472923.016545534</v>
      </c>
      <c r="C237" s="97">
        <v>15710939.744775523</v>
      </c>
      <c r="D237" s="97">
        <v>15860361.143999135</v>
      </c>
      <c r="E237" s="97">
        <v>16149980.468579121</v>
      </c>
      <c r="F237" s="97">
        <v>16374382.134478213</v>
      </c>
      <c r="H237" s="194">
        <f t="shared" si="16"/>
        <v>1</v>
      </c>
      <c r="I237" s="194">
        <f t="shared" si="17"/>
        <v>1.0153827901796881</v>
      </c>
      <c r="J237" s="194">
        <f t="shared" si="18"/>
        <v>1.0095106595563961</v>
      </c>
      <c r="K237" s="194">
        <f t="shared" si="19"/>
        <v>1.0182605756546448</v>
      </c>
      <c r="L237" s="194">
        <f t="shared" si="20"/>
        <v>1.013894856797857</v>
      </c>
    </row>
    <row r="238" spans="1:12" x14ac:dyDescent="0.2">
      <c r="A238" t="s">
        <v>370</v>
      </c>
      <c r="B238" s="97">
        <v>47646448.563842356</v>
      </c>
      <c r="C238" s="97">
        <v>48668247.123286121</v>
      </c>
      <c r="D238" s="97">
        <v>49691344.538995318</v>
      </c>
      <c r="E238" s="97">
        <v>50657520.311518326</v>
      </c>
      <c r="F238" s="97">
        <v>51704797.044994332</v>
      </c>
      <c r="H238" s="194">
        <f t="shared" si="16"/>
        <v>1</v>
      </c>
      <c r="I238" s="194">
        <f t="shared" si="17"/>
        <v>1.0214454296226221</v>
      </c>
      <c r="J238" s="194">
        <f t="shared" si="18"/>
        <v>1.0210218669498716</v>
      </c>
      <c r="K238" s="194">
        <f t="shared" si="19"/>
        <v>1.0194435425623229</v>
      </c>
      <c r="L238" s="194">
        <f t="shared" si="20"/>
        <v>1.0206736675430574</v>
      </c>
    </row>
    <row r="239" spans="1:12" x14ac:dyDescent="0.2">
      <c r="A239" t="s">
        <v>371</v>
      </c>
      <c r="B239" s="97">
        <v>7382545.6490434911</v>
      </c>
      <c r="C239" s="97">
        <v>7632868.1397132054</v>
      </c>
      <c r="D239" s="97">
        <v>7753226.0613348633</v>
      </c>
      <c r="E239" s="97">
        <v>7875362.6944185263</v>
      </c>
      <c r="F239" s="97">
        <v>8002520.2833280861</v>
      </c>
      <c r="H239" s="194">
        <f t="shared" si="16"/>
        <v>1</v>
      </c>
      <c r="I239" s="194">
        <f t="shared" si="17"/>
        <v>1.0339073407154817</v>
      </c>
      <c r="J239" s="194">
        <f t="shared" si="18"/>
        <v>1.0157683742753847</v>
      </c>
      <c r="K239" s="194">
        <f t="shared" si="19"/>
        <v>1.0157530081178407</v>
      </c>
      <c r="L239" s="194">
        <f t="shared" si="20"/>
        <v>1.016146251778306</v>
      </c>
    </row>
    <row r="240" spans="1:12" x14ac:dyDescent="0.2">
      <c r="A240" t="s">
        <v>372</v>
      </c>
      <c r="B240" s="97">
        <v>46893405.565126143</v>
      </c>
      <c r="C240" s="97">
        <v>48198186.092369124</v>
      </c>
      <c r="D240" s="97">
        <v>49232353.920787908</v>
      </c>
      <c r="E240" s="97">
        <v>50042479.213552274</v>
      </c>
      <c r="F240" s="97">
        <v>50953082.853689663</v>
      </c>
      <c r="H240" s="194">
        <f t="shared" si="16"/>
        <v>1</v>
      </c>
      <c r="I240" s="194">
        <f t="shared" si="17"/>
        <v>1.0278243926095512</v>
      </c>
      <c r="J240" s="194">
        <f t="shared" si="18"/>
        <v>1.0214565715489139</v>
      </c>
      <c r="K240" s="194">
        <f t="shared" si="19"/>
        <v>1.0164551403345006</v>
      </c>
      <c r="L240" s="194">
        <f t="shared" si="20"/>
        <v>1.0181966132463474</v>
      </c>
    </row>
    <row r="241" spans="1:12" x14ac:dyDescent="0.2">
      <c r="A241" t="s">
        <v>373</v>
      </c>
      <c r="B241" s="97">
        <v>15415028.098385911</v>
      </c>
      <c r="C241" s="97">
        <v>15581509.492984517</v>
      </c>
      <c r="D241" s="97">
        <v>15667559.681444358</v>
      </c>
      <c r="E241" s="97">
        <v>15875762.295818958</v>
      </c>
      <c r="F241" s="97">
        <v>16073207.589657865</v>
      </c>
      <c r="H241" s="194">
        <f t="shared" si="16"/>
        <v>1</v>
      </c>
      <c r="I241" s="194">
        <f t="shared" si="17"/>
        <v>1.0107999410403954</v>
      </c>
      <c r="J241" s="194">
        <f t="shared" si="18"/>
        <v>1.0055225835788622</v>
      </c>
      <c r="K241" s="194">
        <f t="shared" si="19"/>
        <v>1.0132887711046146</v>
      </c>
      <c r="L241" s="194">
        <f t="shared" si="20"/>
        <v>1.0124369016214678</v>
      </c>
    </row>
    <row r="242" spans="1:12" x14ac:dyDescent="0.2">
      <c r="A242" t="s">
        <v>374</v>
      </c>
      <c r="B242" s="97">
        <v>24157552.770948768</v>
      </c>
      <c r="C242" s="97">
        <v>24740496.477393951</v>
      </c>
      <c r="D242" s="97">
        <v>25473902.254804071</v>
      </c>
      <c r="E242" s="97">
        <v>26046483.158540819</v>
      </c>
      <c r="F242" s="97">
        <v>26552807.016798198</v>
      </c>
      <c r="H242" s="194">
        <f t="shared" si="16"/>
        <v>1</v>
      </c>
      <c r="I242" s="194">
        <f t="shared" si="17"/>
        <v>1.0241309089530881</v>
      </c>
      <c r="J242" s="194">
        <f t="shared" si="18"/>
        <v>1.0296439393639596</v>
      </c>
      <c r="K242" s="194">
        <f t="shared" si="19"/>
        <v>1.0224771571316196</v>
      </c>
      <c r="L242" s="194">
        <f t="shared" si="20"/>
        <v>1.0194392408055808</v>
      </c>
    </row>
    <row r="243" spans="1:12" x14ac:dyDescent="0.2">
      <c r="A243" t="s">
        <v>375</v>
      </c>
      <c r="B243" s="97">
        <v>5260434.5039594136</v>
      </c>
      <c r="C243" s="97">
        <v>5347361.1685499903</v>
      </c>
      <c r="D243" s="97">
        <v>5437346.1340840701</v>
      </c>
      <c r="E243" s="97">
        <v>5531364.6325907316</v>
      </c>
      <c r="F243" s="97">
        <v>5629592.4460298708</v>
      </c>
      <c r="H243" s="194">
        <f t="shared" si="16"/>
        <v>1</v>
      </c>
      <c r="I243" s="194">
        <f t="shared" si="17"/>
        <v>1.0165246168401392</v>
      </c>
      <c r="J243" s="194">
        <f t="shared" si="18"/>
        <v>1.0168279199211974</v>
      </c>
      <c r="K243" s="194">
        <f t="shared" si="19"/>
        <v>1.0172912476395986</v>
      </c>
      <c r="L243" s="194">
        <f t="shared" si="20"/>
        <v>1.0177583327015511</v>
      </c>
    </row>
    <row r="244" spans="1:12" x14ac:dyDescent="0.2">
      <c r="A244" t="s">
        <v>376</v>
      </c>
      <c r="B244" s="97">
        <v>17435398.201910309</v>
      </c>
      <c r="C244" s="97">
        <v>17574727.068220951</v>
      </c>
      <c r="D244" s="97">
        <v>17660101.049522668</v>
      </c>
      <c r="E244" s="97">
        <v>17786470.896052759</v>
      </c>
      <c r="F244" s="97">
        <v>17878878.061193574</v>
      </c>
      <c r="H244" s="194">
        <f t="shared" si="16"/>
        <v>1</v>
      </c>
      <c r="I244" s="194">
        <f t="shared" si="17"/>
        <v>1.0079911490805742</v>
      </c>
      <c r="J244" s="194">
        <f t="shared" si="18"/>
        <v>1.0048577699653778</v>
      </c>
      <c r="K244" s="194">
        <f t="shared" si="19"/>
        <v>1.0071556695047057</v>
      </c>
      <c r="L244" s="194">
        <f t="shared" si="20"/>
        <v>1.0051953625697228</v>
      </c>
    </row>
    <row r="245" spans="1:12" x14ac:dyDescent="0.2">
      <c r="A245" t="s">
        <v>377</v>
      </c>
      <c r="B245" s="97">
        <v>8572519.4429393578</v>
      </c>
      <c r="C245" s="97">
        <v>8817356.7965161111</v>
      </c>
      <c r="D245" s="97">
        <v>8880627.661702631</v>
      </c>
      <c r="E245" s="97">
        <v>8964542.0430318099</v>
      </c>
      <c r="F245" s="97">
        <v>9145862.5476376377</v>
      </c>
      <c r="H245" s="194">
        <f t="shared" si="16"/>
        <v>1</v>
      </c>
      <c r="I245" s="194">
        <f t="shared" si="17"/>
        <v>1.0285607230413936</v>
      </c>
      <c r="J245" s="194">
        <f t="shared" si="18"/>
        <v>1.00717571792167</v>
      </c>
      <c r="K245" s="194">
        <f t="shared" si="19"/>
        <v>1.0094491498265439</v>
      </c>
      <c r="L245" s="194">
        <f t="shared" si="20"/>
        <v>1.0202264101986971</v>
      </c>
    </row>
    <row r="246" spans="1:12" x14ac:dyDescent="0.2">
      <c r="A246" t="s">
        <v>378</v>
      </c>
      <c r="B246" s="97">
        <v>26239197.296570048</v>
      </c>
      <c r="C246" s="97">
        <v>26494663.997640032</v>
      </c>
      <c r="D246" s="97">
        <v>26973910.107105341</v>
      </c>
      <c r="E246" s="97">
        <v>27424196.070736587</v>
      </c>
      <c r="F246" s="97">
        <v>27833041.245842841</v>
      </c>
      <c r="H246" s="194">
        <f t="shared" si="16"/>
        <v>1</v>
      </c>
      <c r="I246" s="194">
        <f t="shared" si="17"/>
        <v>1.0097360715033528</v>
      </c>
      <c r="J246" s="194">
        <f t="shared" si="18"/>
        <v>1.0180884011025011</v>
      </c>
      <c r="K246" s="194">
        <f t="shared" si="19"/>
        <v>1.0166933886056302</v>
      </c>
      <c r="L246" s="194">
        <f t="shared" si="20"/>
        <v>1.0149081918044818</v>
      </c>
    </row>
    <row r="247" spans="1:12" x14ac:dyDescent="0.2">
      <c r="A247" t="s">
        <v>379</v>
      </c>
      <c r="B247" s="97">
        <v>6577579.2520401748</v>
      </c>
      <c r="C247" s="97">
        <v>6667022.9034710433</v>
      </c>
      <c r="D247" s="97">
        <v>6762600.0788612282</v>
      </c>
      <c r="E247" s="97">
        <v>6858029.9785026601</v>
      </c>
      <c r="F247" s="97">
        <v>6957277.6228483804</v>
      </c>
      <c r="H247" s="194">
        <f t="shared" si="16"/>
        <v>1</v>
      </c>
      <c r="I247" s="194">
        <f t="shared" si="17"/>
        <v>1.0135982628264228</v>
      </c>
      <c r="J247" s="194">
        <f t="shared" si="18"/>
        <v>1.0143358102670421</v>
      </c>
      <c r="K247" s="194">
        <f t="shared" si="19"/>
        <v>1.0141114214249827</v>
      </c>
      <c r="L247" s="194">
        <f t="shared" si="20"/>
        <v>1.0144717425640926</v>
      </c>
    </row>
    <row r="248" spans="1:12" x14ac:dyDescent="0.2">
      <c r="A248" t="s">
        <v>380</v>
      </c>
      <c r="B248" s="97">
        <v>18755270.860687144</v>
      </c>
      <c r="C248" s="97">
        <v>18624222.235461861</v>
      </c>
      <c r="D248" s="97">
        <v>18610713.224889707</v>
      </c>
      <c r="E248" s="97">
        <v>18579478.278407324</v>
      </c>
      <c r="F248" s="97">
        <v>18662250.83271816</v>
      </c>
      <c r="H248" s="194">
        <f t="shared" si="16"/>
        <v>1</v>
      </c>
      <c r="I248" s="194">
        <f t="shared" si="17"/>
        <v>0.99301270420466314</v>
      </c>
      <c r="J248" s="194">
        <f t="shared" si="18"/>
        <v>0.99927465370626689</v>
      </c>
      <c r="K248" s="194">
        <f t="shared" si="19"/>
        <v>0.99832166848712656</v>
      </c>
      <c r="L248" s="194">
        <f t="shared" si="20"/>
        <v>1.0044550526699683</v>
      </c>
    </row>
    <row r="249" spans="1:12" x14ac:dyDescent="0.2">
      <c r="A249" t="s">
        <v>381</v>
      </c>
      <c r="B249" s="97">
        <v>14800638.277025428</v>
      </c>
      <c r="C249" s="97">
        <v>15062649.607432147</v>
      </c>
      <c r="D249" s="97">
        <v>15360292.71133961</v>
      </c>
      <c r="E249" s="97">
        <v>15623846.754001349</v>
      </c>
      <c r="F249" s="97">
        <v>15800858.493037952</v>
      </c>
      <c r="H249" s="194">
        <f t="shared" si="16"/>
        <v>1</v>
      </c>
      <c r="I249" s="194">
        <f t="shared" si="17"/>
        <v>1.0177027048092535</v>
      </c>
      <c r="J249" s="194">
        <f t="shared" si="18"/>
        <v>1.0197603417502721</v>
      </c>
      <c r="K249" s="194">
        <f t="shared" si="19"/>
        <v>1.017158139341132</v>
      </c>
      <c r="L249" s="194">
        <f t="shared" si="20"/>
        <v>1.0113295875096362</v>
      </c>
    </row>
    <row r="250" spans="1:12" x14ac:dyDescent="0.2">
      <c r="A250" t="s">
        <v>382</v>
      </c>
      <c r="B250" s="97">
        <v>8655124.4667649027</v>
      </c>
      <c r="C250" s="97">
        <v>8848561.1322235093</v>
      </c>
      <c r="D250" s="97">
        <v>8945630.6127886586</v>
      </c>
      <c r="E250" s="97">
        <v>9023188.866382923</v>
      </c>
      <c r="F250" s="97">
        <v>9233819.199808266</v>
      </c>
      <c r="H250" s="194">
        <f t="shared" si="16"/>
        <v>1</v>
      </c>
      <c r="I250" s="194">
        <f t="shared" si="17"/>
        <v>1.022349379977306</v>
      </c>
      <c r="J250" s="194">
        <f t="shared" si="18"/>
        <v>1.0109700864484796</v>
      </c>
      <c r="K250" s="194">
        <f t="shared" si="19"/>
        <v>1.0086699593300206</v>
      </c>
      <c r="L250" s="194">
        <f t="shared" si="20"/>
        <v>1.0233432256095263</v>
      </c>
    </row>
    <row r="251" spans="1:12" x14ac:dyDescent="0.2">
      <c r="A251" t="s">
        <v>383</v>
      </c>
      <c r="B251" s="97">
        <v>11578255.554213908</v>
      </c>
      <c r="C251" s="97">
        <v>11584414.997418042</v>
      </c>
      <c r="D251" s="97">
        <v>11799984.39769098</v>
      </c>
      <c r="E251" s="97">
        <v>11945816.887836378</v>
      </c>
      <c r="F251" s="97">
        <v>12013630.544287302</v>
      </c>
      <c r="H251" s="194">
        <f t="shared" si="16"/>
        <v>1</v>
      </c>
      <c r="I251" s="194">
        <f t="shared" si="17"/>
        <v>1.0005319836978286</v>
      </c>
      <c r="J251" s="194">
        <f t="shared" si="18"/>
        <v>1.0186085702489927</v>
      </c>
      <c r="K251" s="194">
        <f t="shared" si="19"/>
        <v>1.0123587019465834</v>
      </c>
      <c r="L251" s="194">
        <f t="shared" si="20"/>
        <v>1.0056767701269533</v>
      </c>
    </row>
    <row r="252" spans="1:12" x14ac:dyDescent="0.2">
      <c r="A252" t="s">
        <v>407</v>
      </c>
      <c r="B252" s="97">
        <v>9664346.4279554784</v>
      </c>
      <c r="C252" s="97">
        <v>9756991.3322193231</v>
      </c>
      <c r="D252" s="97">
        <v>9894157.9797762427</v>
      </c>
      <c r="E252" s="97">
        <v>10036287.596722677</v>
      </c>
      <c r="F252" s="97">
        <v>10137122.135759691</v>
      </c>
      <c r="H252" s="194">
        <f t="shared" si="16"/>
        <v>1</v>
      </c>
      <c r="I252" s="194">
        <f t="shared" si="17"/>
        <v>1.0095862565517992</v>
      </c>
      <c r="J252" s="194">
        <f t="shared" si="18"/>
        <v>1.014058293472494</v>
      </c>
      <c r="K252" s="194">
        <f t="shared" si="19"/>
        <v>1.0143650037968819</v>
      </c>
      <c r="L252" s="194">
        <f t="shared" si="20"/>
        <v>1.0100469957706215</v>
      </c>
    </row>
    <row r="253" spans="1:12" x14ac:dyDescent="0.2">
      <c r="A253" t="s">
        <v>134</v>
      </c>
      <c r="B253" s="97">
        <v>46658015.781240441</v>
      </c>
      <c r="C253" s="97">
        <v>47478988.0114467</v>
      </c>
      <c r="D253" s="97">
        <v>48023219.172584251</v>
      </c>
      <c r="E253" s="97">
        <v>48610568.135069996</v>
      </c>
      <c r="F253" s="97">
        <v>49310508.042216435</v>
      </c>
      <c r="H253" s="194">
        <f t="shared" si="16"/>
        <v>1</v>
      </c>
      <c r="I253" s="194">
        <f t="shared" si="17"/>
        <v>1.0175955238657264</v>
      </c>
      <c r="J253" s="194">
        <f t="shared" si="18"/>
        <v>1.0114625686842007</v>
      </c>
      <c r="K253" s="194">
        <f t="shared" si="19"/>
        <v>1.0122305204150299</v>
      </c>
      <c r="L253" s="194">
        <f t="shared" si="20"/>
        <v>1.0143989246371607</v>
      </c>
    </row>
    <row r="254" spans="1:12" x14ac:dyDescent="0.2">
      <c r="A254" t="s">
        <v>135</v>
      </c>
      <c r="B254" s="97">
        <v>12196044.510802662</v>
      </c>
      <c r="C254" s="97">
        <v>12256412.470098387</v>
      </c>
      <c r="D254" s="97">
        <v>12239151.552249016</v>
      </c>
      <c r="E254" s="97">
        <v>12353632.666261122</v>
      </c>
      <c r="F254" s="97">
        <v>12361591.467112385</v>
      </c>
      <c r="H254" s="194">
        <f t="shared" si="16"/>
        <v>1</v>
      </c>
      <c r="I254" s="194">
        <f t="shared" si="17"/>
        <v>1.0049497982105799</v>
      </c>
      <c r="J254" s="194">
        <f t="shared" si="18"/>
        <v>0.99859168268924681</v>
      </c>
      <c r="K254" s="194">
        <f t="shared" si="19"/>
        <v>1.0093536805654693</v>
      </c>
      <c r="L254" s="194">
        <f t="shared" si="20"/>
        <v>1.0006442478148958</v>
      </c>
    </row>
    <row r="255" spans="1:12" x14ac:dyDescent="0.2">
      <c r="A255" t="s">
        <v>384</v>
      </c>
      <c r="B255" s="97">
        <v>11174748.416306239</v>
      </c>
      <c r="C255" s="97">
        <v>11269506.505969774</v>
      </c>
      <c r="D255" s="97">
        <v>11485573.524676938</v>
      </c>
      <c r="E255" s="97">
        <v>11646158.995067462</v>
      </c>
      <c r="F255" s="97">
        <v>11808594.652253218</v>
      </c>
      <c r="H255" s="194">
        <f t="shared" si="16"/>
        <v>1</v>
      </c>
      <c r="I255" s="194">
        <f t="shared" si="17"/>
        <v>1.008479662014159</v>
      </c>
      <c r="J255" s="194">
        <f t="shared" si="18"/>
        <v>1.0191727134273987</v>
      </c>
      <c r="K255" s="194">
        <f t="shared" si="19"/>
        <v>1.0139814933965208</v>
      </c>
      <c r="L255" s="194">
        <f t="shared" si="20"/>
        <v>1.0139475733805929</v>
      </c>
    </row>
    <row r="256" spans="1:12" x14ac:dyDescent="0.2">
      <c r="A256" t="s">
        <v>385</v>
      </c>
      <c r="B256" s="97">
        <v>12560864.763456538</v>
      </c>
      <c r="C256" s="97">
        <v>12830199.686042596</v>
      </c>
      <c r="D256" s="97">
        <v>13017536.893826794</v>
      </c>
      <c r="E256" s="97">
        <v>13210602.756176427</v>
      </c>
      <c r="F256" s="97">
        <v>13459837.900686013</v>
      </c>
      <c r="H256" s="194">
        <f t="shared" si="16"/>
        <v>1</v>
      </c>
      <c r="I256" s="194">
        <f t="shared" si="17"/>
        <v>1.0214423869421503</v>
      </c>
      <c r="J256" s="194">
        <f t="shared" si="18"/>
        <v>1.0146012698452382</v>
      </c>
      <c r="K256" s="194">
        <f t="shared" si="19"/>
        <v>1.014831212995539</v>
      </c>
      <c r="L256" s="194">
        <f t="shared" si="20"/>
        <v>1.0188662961947788</v>
      </c>
    </row>
    <row r="257" spans="1:12" x14ac:dyDescent="0.2">
      <c r="A257" t="s">
        <v>386</v>
      </c>
      <c r="B257" s="97">
        <v>4010884.9015585724</v>
      </c>
      <c r="C257" s="97">
        <v>4087722.1520181932</v>
      </c>
      <c r="D257" s="97">
        <v>4164943.5494387387</v>
      </c>
      <c r="E257" s="97">
        <v>4207382.3221268505</v>
      </c>
      <c r="F257" s="97">
        <v>4286827.4909969922</v>
      </c>
      <c r="H257" s="194">
        <f t="shared" si="16"/>
        <v>1</v>
      </c>
      <c r="I257" s="194">
        <f t="shared" si="17"/>
        <v>1.0191571816059251</v>
      </c>
      <c r="J257" s="194">
        <f t="shared" si="18"/>
        <v>1.0188910582835038</v>
      </c>
      <c r="K257" s="194">
        <f t="shared" si="19"/>
        <v>1.0101895193018475</v>
      </c>
      <c r="L257" s="194">
        <f t="shared" si="20"/>
        <v>1.0188823270118181</v>
      </c>
    </row>
    <row r="258" spans="1:12" x14ac:dyDescent="0.2">
      <c r="A258" t="s">
        <v>387</v>
      </c>
      <c r="B258" s="97">
        <v>13188066.100246301</v>
      </c>
      <c r="C258" s="97">
        <v>13226460.51152738</v>
      </c>
      <c r="D258" s="97">
        <v>13135717.719619688</v>
      </c>
      <c r="E258" s="97">
        <v>13226408.067702634</v>
      </c>
      <c r="F258" s="97">
        <v>13405208.608675959</v>
      </c>
      <c r="H258" s="194">
        <f t="shared" si="16"/>
        <v>1</v>
      </c>
      <c r="I258" s="194">
        <f t="shared" si="17"/>
        <v>1.0029112995786669</v>
      </c>
      <c r="J258" s="194">
        <f t="shared" si="18"/>
        <v>0.99313929892062913</v>
      </c>
      <c r="K258" s="194">
        <f t="shared" si="19"/>
        <v>1.0069041029975461</v>
      </c>
      <c r="L258" s="194">
        <f t="shared" si="20"/>
        <v>1.0135184503652155</v>
      </c>
    </row>
    <row r="259" spans="1:12" x14ac:dyDescent="0.2">
      <c r="A259" t="s">
        <v>388</v>
      </c>
      <c r="B259" s="97">
        <v>454947124.59900004</v>
      </c>
      <c r="C259" s="97">
        <v>468303519.58395755</v>
      </c>
      <c r="D259" s="97">
        <v>481566592.49576199</v>
      </c>
      <c r="E259" s="97">
        <v>494853471.17613035</v>
      </c>
      <c r="F259" s="97">
        <v>507574125.25103176</v>
      </c>
      <c r="H259" s="194">
        <f t="shared" si="16"/>
        <v>1</v>
      </c>
      <c r="I259" s="194">
        <f t="shared" si="17"/>
        <v>1.0293581259508566</v>
      </c>
      <c r="J259" s="194">
        <f t="shared" si="18"/>
        <v>1.0283215315648009</v>
      </c>
      <c r="K259" s="194">
        <f t="shared" si="19"/>
        <v>1.0275909477264773</v>
      </c>
      <c r="L259" s="194">
        <f t="shared" si="20"/>
        <v>1.0257059004651778</v>
      </c>
    </row>
    <row r="260" spans="1:12" x14ac:dyDescent="0.2">
      <c r="A260" t="s">
        <v>389</v>
      </c>
      <c r="B260" s="97">
        <v>3102968.2892573453</v>
      </c>
      <c r="C260" s="97">
        <v>3115023.9621720943</v>
      </c>
      <c r="D260" s="97">
        <v>3162631.8997880551</v>
      </c>
      <c r="E260" s="97">
        <v>3212882.9249240593</v>
      </c>
      <c r="F260" s="97">
        <v>3264895.0624796664</v>
      </c>
      <c r="H260" s="194">
        <f t="shared" si="16"/>
        <v>1</v>
      </c>
      <c r="I260" s="194">
        <f t="shared" si="17"/>
        <v>1.0038852066121611</v>
      </c>
      <c r="J260" s="194">
        <f t="shared" si="18"/>
        <v>1.0152833295005423</v>
      </c>
      <c r="K260" s="194">
        <f t="shared" si="19"/>
        <v>1.0158889895277954</v>
      </c>
      <c r="L260" s="194">
        <f t="shared" si="20"/>
        <v>1.0161886189976364</v>
      </c>
    </row>
    <row r="261" spans="1:12" x14ac:dyDescent="0.2">
      <c r="A261" t="s">
        <v>390</v>
      </c>
      <c r="B261" s="97">
        <v>10063852.07133564</v>
      </c>
      <c r="C261" s="97">
        <v>10230209.339745259</v>
      </c>
      <c r="D261" s="97">
        <v>10397675.135407379</v>
      </c>
      <c r="E261" s="97">
        <v>10570893.139272196</v>
      </c>
      <c r="F261" s="97">
        <v>10748492.548347259</v>
      </c>
      <c r="H261" s="194">
        <f t="shared" si="16"/>
        <v>1</v>
      </c>
      <c r="I261" s="194">
        <f t="shared" si="17"/>
        <v>1.0165301782290148</v>
      </c>
      <c r="J261" s="194">
        <f t="shared" si="18"/>
        <v>1.0163697330231065</v>
      </c>
      <c r="K261" s="194">
        <f t="shared" si="19"/>
        <v>1.0166593013927656</v>
      </c>
      <c r="L261" s="194">
        <f t="shared" si="20"/>
        <v>1.0168007950449578</v>
      </c>
    </row>
    <row r="262" spans="1:12" x14ac:dyDescent="0.2">
      <c r="A262" t="s">
        <v>391</v>
      </c>
      <c r="B262" s="97">
        <v>11491913.843876887</v>
      </c>
      <c r="C262" s="97">
        <v>11649035.086345265</v>
      </c>
      <c r="D262" s="97">
        <v>11769033.12866726</v>
      </c>
      <c r="E262" s="97">
        <v>11889174.47259867</v>
      </c>
      <c r="F262" s="97">
        <v>11910144.304900086</v>
      </c>
      <c r="H262" s="194">
        <f t="shared" ref="H262:H299" si="21">B262/B262</f>
        <v>1</v>
      </c>
      <c r="I262" s="194">
        <f t="shared" ref="I262:I299" si="22">C262/B262</f>
        <v>1.0136723303535811</v>
      </c>
      <c r="J262" s="194">
        <f t="shared" ref="J262:J299" si="23">D262/C262</f>
        <v>1.0103011143354401</v>
      </c>
      <c r="K262" s="194">
        <f t="shared" ref="K262:K299" si="24">E262/D262</f>
        <v>1.0102082594736492</v>
      </c>
      <c r="L262" s="194">
        <f t="shared" ref="L262:L299" si="25">F262/E262</f>
        <v>1.0017637753024606</v>
      </c>
    </row>
    <row r="263" spans="1:12" x14ac:dyDescent="0.2">
      <c r="A263" t="s">
        <v>392</v>
      </c>
      <c r="B263" s="97">
        <v>10957517.279537523</v>
      </c>
      <c r="C263" s="97">
        <v>11026842.790659156</v>
      </c>
      <c r="D263" s="97">
        <v>11202953.175559981</v>
      </c>
      <c r="E263" s="97">
        <v>11448506.053447571</v>
      </c>
      <c r="F263" s="97">
        <v>11634733.983148245</v>
      </c>
      <c r="H263" s="194">
        <f t="shared" si="21"/>
        <v>1</v>
      </c>
      <c r="I263" s="194">
        <f t="shared" si="22"/>
        <v>1.0063267535293869</v>
      </c>
      <c r="J263" s="194">
        <f t="shared" si="23"/>
        <v>1.0159710615490054</v>
      </c>
      <c r="K263" s="194">
        <f t="shared" si="24"/>
        <v>1.0219185846838386</v>
      </c>
      <c r="L263" s="194">
        <f t="shared" si="25"/>
        <v>1.0162665704006502</v>
      </c>
    </row>
    <row r="264" spans="1:12" x14ac:dyDescent="0.2">
      <c r="A264" t="s">
        <v>393</v>
      </c>
      <c r="B264" s="97">
        <v>8043015.3972601881</v>
      </c>
      <c r="C264" s="97">
        <v>8291020.0908471784</v>
      </c>
      <c r="D264" s="97">
        <v>8379172.4193589687</v>
      </c>
      <c r="E264" s="97">
        <v>8589326.6030467916</v>
      </c>
      <c r="F264" s="97">
        <v>8741920.287810076</v>
      </c>
      <c r="H264" s="194">
        <f t="shared" si="21"/>
        <v>1</v>
      </c>
      <c r="I264" s="194">
        <f t="shared" si="22"/>
        <v>1.0308347903538109</v>
      </c>
      <c r="J264" s="194">
        <f t="shared" si="23"/>
        <v>1.0106322656978126</v>
      </c>
      <c r="K264" s="194">
        <f t="shared" si="24"/>
        <v>1.0250805417492412</v>
      </c>
      <c r="L264" s="194">
        <f t="shared" si="25"/>
        <v>1.0177655003489048</v>
      </c>
    </row>
    <row r="265" spans="1:12" x14ac:dyDescent="0.2">
      <c r="A265" t="s">
        <v>394</v>
      </c>
      <c r="B265" s="97">
        <v>5673835.2904656883</v>
      </c>
      <c r="C265" s="97">
        <v>5762435.1329327691</v>
      </c>
      <c r="D265" s="97">
        <v>5885151.5012158463</v>
      </c>
      <c r="E265" s="97">
        <v>6007240.0208930196</v>
      </c>
      <c r="F265" s="97">
        <v>6132692.193803749</v>
      </c>
      <c r="H265" s="194">
        <f t="shared" si="21"/>
        <v>1</v>
      </c>
      <c r="I265" s="194">
        <f t="shared" si="22"/>
        <v>1.0156155118947432</v>
      </c>
      <c r="J265" s="194">
        <f t="shared" si="23"/>
        <v>1.0212959218545894</v>
      </c>
      <c r="K265" s="194">
        <f t="shared" si="24"/>
        <v>1.0207451787183304</v>
      </c>
      <c r="L265" s="194">
        <f t="shared" si="25"/>
        <v>1.0208834959939024</v>
      </c>
    </row>
    <row r="266" spans="1:12" x14ac:dyDescent="0.2">
      <c r="A266" t="s">
        <v>395</v>
      </c>
      <c r="B266" s="97">
        <v>45391351.560235962</v>
      </c>
      <c r="C266" s="97">
        <v>46019788.482700989</v>
      </c>
      <c r="D266" s="97">
        <v>46750448.230159432</v>
      </c>
      <c r="E266" s="97">
        <v>47437967.378794335</v>
      </c>
      <c r="F266" s="97">
        <v>48075900.639298543</v>
      </c>
      <c r="H266" s="194">
        <f t="shared" si="21"/>
        <v>1</v>
      </c>
      <c r="I266" s="194">
        <f t="shared" si="22"/>
        <v>1.0138448603283177</v>
      </c>
      <c r="J266" s="194">
        <f t="shared" si="23"/>
        <v>1.0158770774822901</v>
      </c>
      <c r="K266" s="194">
        <f t="shared" si="24"/>
        <v>1.0147061509496154</v>
      </c>
      <c r="L266" s="194">
        <f t="shared" si="25"/>
        <v>1.0134477359750742</v>
      </c>
    </row>
    <row r="267" spans="1:12" x14ac:dyDescent="0.2">
      <c r="A267" t="s">
        <v>396</v>
      </c>
      <c r="B267" s="97">
        <v>410389703.16042709</v>
      </c>
      <c r="C267" s="97">
        <v>421436545.58372718</v>
      </c>
      <c r="D267" s="97">
        <v>432342376.46850294</v>
      </c>
      <c r="E267" s="97">
        <v>443478564.55250478</v>
      </c>
      <c r="F267" s="97">
        <v>454243452.04457611</v>
      </c>
      <c r="H267" s="194">
        <f t="shared" si="21"/>
        <v>1</v>
      </c>
      <c r="I267" s="194">
        <f t="shared" si="22"/>
        <v>1.0269179327313231</v>
      </c>
      <c r="J267" s="194">
        <f t="shared" si="23"/>
        <v>1.025877753125729</v>
      </c>
      <c r="K267" s="194">
        <f t="shared" si="24"/>
        <v>1.0257577991196825</v>
      </c>
      <c r="L267" s="194">
        <f t="shared" si="25"/>
        <v>1.0242737492914313</v>
      </c>
    </row>
    <row r="268" spans="1:12" x14ac:dyDescent="0.2">
      <c r="A268" t="s">
        <v>318</v>
      </c>
      <c r="B268" s="97">
        <v>7874748.9510301994</v>
      </c>
      <c r="C268" s="97">
        <v>7975311.4551420817</v>
      </c>
      <c r="D268" s="97">
        <v>8080300.1295571197</v>
      </c>
      <c r="E268" s="97">
        <v>8185119.1544783516</v>
      </c>
      <c r="F268" s="97">
        <v>8298270.3792860024</v>
      </c>
      <c r="H268" s="194">
        <f t="shared" si="21"/>
        <v>1</v>
      </c>
      <c r="I268" s="194">
        <f t="shared" si="22"/>
        <v>1.0127702488977413</v>
      </c>
      <c r="J268" s="194">
        <f t="shared" si="23"/>
        <v>1.0131642099503646</v>
      </c>
      <c r="K268" s="194">
        <f t="shared" si="24"/>
        <v>1.0129721697511966</v>
      </c>
      <c r="L268" s="194">
        <f t="shared" si="25"/>
        <v>1.0138240168129675</v>
      </c>
    </row>
    <row r="269" spans="1:12" x14ac:dyDescent="0.2">
      <c r="A269" t="s">
        <v>397</v>
      </c>
      <c r="B269" s="97">
        <v>6280180.1739970064</v>
      </c>
      <c r="C269" s="97">
        <v>6390802.3019751506</v>
      </c>
      <c r="D269" s="97">
        <v>6505490.5582753662</v>
      </c>
      <c r="E269" s="97">
        <v>6621129.4903456289</v>
      </c>
      <c r="F269" s="97">
        <v>6694738.124824848</v>
      </c>
      <c r="H269" s="194">
        <f t="shared" si="21"/>
        <v>1</v>
      </c>
      <c r="I269" s="194">
        <f t="shared" si="22"/>
        <v>1.017614483169794</v>
      </c>
      <c r="J269" s="194">
        <f t="shared" si="23"/>
        <v>1.0179458307237528</v>
      </c>
      <c r="K269" s="194">
        <f t="shared" si="24"/>
        <v>1.0177755898704923</v>
      </c>
      <c r="L269" s="194">
        <f t="shared" si="25"/>
        <v>1.0111172322768418</v>
      </c>
    </row>
    <row r="270" spans="1:12" x14ac:dyDescent="0.2">
      <c r="A270" t="s">
        <v>398</v>
      </c>
      <c r="B270" s="97">
        <v>79806825.470393673</v>
      </c>
      <c r="C270" s="97">
        <v>81403198.593289182</v>
      </c>
      <c r="D270" s="97">
        <v>82939196.126088351</v>
      </c>
      <c r="E270" s="97">
        <v>84606478.163158745</v>
      </c>
      <c r="F270" s="97">
        <v>86295717.158389851</v>
      </c>
      <c r="H270" s="194">
        <f t="shared" si="21"/>
        <v>1</v>
      </c>
      <c r="I270" s="194">
        <f t="shared" si="22"/>
        <v>1.0200029648277105</v>
      </c>
      <c r="J270" s="194">
        <f t="shared" si="23"/>
        <v>1.0188690071071211</v>
      </c>
      <c r="K270" s="194">
        <f t="shared" si="24"/>
        <v>1.0201024619835439</v>
      </c>
      <c r="L270" s="194">
        <f t="shared" si="25"/>
        <v>1.0199658351453125</v>
      </c>
    </row>
    <row r="271" spans="1:12" x14ac:dyDescent="0.2">
      <c r="A271" t="s">
        <v>399</v>
      </c>
      <c r="B271" s="97">
        <v>18682901.386515696</v>
      </c>
      <c r="C271" s="97">
        <v>19071437.605891231</v>
      </c>
      <c r="D271" s="97">
        <v>19287873.053921539</v>
      </c>
      <c r="E271" s="97">
        <v>19586869.425409302</v>
      </c>
      <c r="F271" s="97">
        <v>19642827.292654406</v>
      </c>
      <c r="H271" s="194">
        <f t="shared" si="21"/>
        <v>1</v>
      </c>
      <c r="I271" s="194">
        <f t="shared" si="22"/>
        <v>1.0207963533788151</v>
      </c>
      <c r="J271" s="194">
        <f t="shared" si="23"/>
        <v>1.0113486698015597</v>
      </c>
      <c r="K271" s="194">
        <f t="shared" si="24"/>
        <v>1.0155017803493358</v>
      </c>
      <c r="L271" s="194">
        <f t="shared" si="25"/>
        <v>1.002856907146811</v>
      </c>
    </row>
    <row r="272" spans="1:12" x14ac:dyDescent="0.2">
      <c r="A272" t="s">
        <v>400</v>
      </c>
      <c r="B272" s="97">
        <v>26388694.246282261</v>
      </c>
      <c r="C272" s="97">
        <v>26715188.407788001</v>
      </c>
      <c r="D272" s="97">
        <v>27138338.11655755</v>
      </c>
      <c r="E272" s="97">
        <v>27617074.803399157</v>
      </c>
      <c r="F272" s="97">
        <v>27979801.257355995</v>
      </c>
      <c r="H272" s="194">
        <f t="shared" si="21"/>
        <v>1</v>
      </c>
      <c r="I272" s="194">
        <f t="shared" si="22"/>
        <v>1.0123725015894538</v>
      </c>
      <c r="J272" s="194">
        <f t="shared" si="23"/>
        <v>1.0158392934502454</v>
      </c>
      <c r="K272" s="194">
        <f t="shared" si="24"/>
        <v>1.0176406044019888</v>
      </c>
      <c r="L272" s="194">
        <f t="shared" si="25"/>
        <v>1.0131341373602751</v>
      </c>
    </row>
    <row r="273" spans="1:12" x14ac:dyDescent="0.2">
      <c r="A273" t="s">
        <v>401</v>
      </c>
      <c r="B273" s="97">
        <v>9333913.5291813761</v>
      </c>
      <c r="C273" s="97">
        <v>9474109.0266752988</v>
      </c>
      <c r="D273" s="97">
        <v>9584761.1312672049</v>
      </c>
      <c r="E273" s="97">
        <v>9735508.2488325834</v>
      </c>
      <c r="F273" s="97">
        <v>9852948.3060869258</v>
      </c>
      <c r="H273" s="194">
        <f t="shared" si="21"/>
        <v>1</v>
      </c>
      <c r="I273" s="194">
        <f t="shared" si="22"/>
        <v>1.015020012458399</v>
      </c>
      <c r="J273" s="194">
        <f t="shared" si="23"/>
        <v>1.0116794206484594</v>
      </c>
      <c r="K273" s="194">
        <f t="shared" si="24"/>
        <v>1.0157277907608584</v>
      </c>
      <c r="L273" s="194">
        <f t="shared" si="25"/>
        <v>1.0120630638126598</v>
      </c>
    </row>
    <row r="274" spans="1:12" x14ac:dyDescent="0.2">
      <c r="A274" t="s">
        <v>402</v>
      </c>
      <c r="B274" s="97">
        <v>9602392.406810971</v>
      </c>
      <c r="C274" s="97">
        <v>9723388.6106198542</v>
      </c>
      <c r="D274" s="97">
        <v>9935042.8602860235</v>
      </c>
      <c r="E274" s="97">
        <v>10059848.951926704</v>
      </c>
      <c r="F274" s="97">
        <v>10222716.531349692</v>
      </c>
      <c r="H274" s="194">
        <f t="shared" si="21"/>
        <v>1</v>
      </c>
      <c r="I274" s="194">
        <f t="shared" si="22"/>
        <v>1.012600631038892</v>
      </c>
      <c r="J274" s="194">
        <f t="shared" si="23"/>
        <v>1.0217675399124746</v>
      </c>
      <c r="K274" s="194">
        <f t="shared" si="24"/>
        <v>1.0125622096850309</v>
      </c>
      <c r="L274" s="194">
        <f t="shared" si="25"/>
        <v>1.0161898633072215</v>
      </c>
    </row>
    <row r="275" spans="1:12" x14ac:dyDescent="0.2">
      <c r="A275" t="s">
        <v>403</v>
      </c>
      <c r="B275" s="97">
        <v>4683564.1211436344</v>
      </c>
      <c r="C275" s="97">
        <v>4773928.8166330662</v>
      </c>
      <c r="D275" s="97">
        <v>4906089.4978741519</v>
      </c>
      <c r="E275" s="97">
        <v>4997478.4669071799</v>
      </c>
      <c r="F275" s="97">
        <v>5050581.3828314571</v>
      </c>
      <c r="H275" s="194">
        <f t="shared" si="21"/>
        <v>1</v>
      </c>
      <c r="I275" s="194">
        <f t="shared" si="22"/>
        <v>1.0192940019933723</v>
      </c>
      <c r="J275" s="194">
        <f t="shared" si="23"/>
        <v>1.0276838399392589</v>
      </c>
      <c r="K275" s="194">
        <f t="shared" si="24"/>
        <v>1.0186276603948272</v>
      </c>
      <c r="L275" s="194">
        <f t="shared" si="25"/>
        <v>1.0106259419176931</v>
      </c>
    </row>
    <row r="276" spans="1:12" x14ac:dyDescent="0.2">
      <c r="A276" t="s">
        <v>404</v>
      </c>
      <c r="B276" s="97">
        <v>9094361.7292690128</v>
      </c>
      <c r="C276" s="97">
        <v>9350711.8312850576</v>
      </c>
      <c r="D276" s="97">
        <v>9518865.4308887068</v>
      </c>
      <c r="E276" s="97">
        <v>9669157.6170918308</v>
      </c>
      <c r="F276" s="97">
        <v>9818531.0806581769</v>
      </c>
      <c r="H276" s="194">
        <f t="shared" si="21"/>
        <v>1</v>
      </c>
      <c r="I276" s="194">
        <f t="shared" si="22"/>
        <v>1.0281878057688223</v>
      </c>
      <c r="J276" s="194">
        <f t="shared" si="23"/>
        <v>1.0179829731294949</v>
      </c>
      <c r="K276" s="194">
        <f t="shared" si="24"/>
        <v>1.0157888760266982</v>
      </c>
      <c r="L276" s="194">
        <f t="shared" si="25"/>
        <v>1.0154484464398743</v>
      </c>
    </row>
    <row r="277" spans="1:12" x14ac:dyDescent="0.2">
      <c r="A277" t="s">
        <v>405</v>
      </c>
      <c r="B277" s="97">
        <v>17861289.312531378</v>
      </c>
      <c r="C277" s="97">
        <v>18342785.284033194</v>
      </c>
      <c r="D277" s="97">
        <v>18672134.884449068</v>
      </c>
      <c r="E277" s="97">
        <v>18903367.286539841</v>
      </c>
      <c r="F277" s="97">
        <v>19053202.812822826</v>
      </c>
      <c r="H277" s="194">
        <f t="shared" si="21"/>
        <v>1</v>
      </c>
      <c r="I277" s="194">
        <f t="shared" si="22"/>
        <v>1.0269575148286749</v>
      </c>
      <c r="J277" s="194">
        <f t="shared" si="23"/>
        <v>1.0179552666247782</v>
      </c>
      <c r="K277" s="194">
        <f t="shared" si="24"/>
        <v>1.0123838223921227</v>
      </c>
      <c r="L277" s="194">
        <f t="shared" si="25"/>
        <v>1.0079263934309564</v>
      </c>
    </row>
    <row r="278" spans="1:12" x14ac:dyDescent="0.2">
      <c r="A278" t="s">
        <v>406</v>
      </c>
      <c r="B278" s="97">
        <v>25497311.444269039</v>
      </c>
      <c r="C278" s="97">
        <v>25899404.96850289</v>
      </c>
      <c r="D278" s="97">
        <v>26207349.561499588</v>
      </c>
      <c r="E278" s="97">
        <v>26610583.493285153</v>
      </c>
      <c r="F278" s="97">
        <v>26957005.969922293</v>
      </c>
      <c r="H278" s="194">
        <f t="shared" si="21"/>
        <v>1</v>
      </c>
      <c r="I278" s="194">
        <f t="shared" si="22"/>
        <v>1.0157700361903932</v>
      </c>
      <c r="J278" s="194">
        <f t="shared" si="23"/>
        <v>1.0118900257890557</v>
      </c>
      <c r="K278" s="194">
        <f t="shared" si="24"/>
        <v>1.0153862919575027</v>
      </c>
      <c r="L278" s="194">
        <f t="shared" si="25"/>
        <v>1.0130182217434109</v>
      </c>
    </row>
    <row r="279" spans="1:12" x14ac:dyDescent="0.2">
      <c r="A279" t="s">
        <v>408</v>
      </c>
      <c r="B279" s="97">
        <v>210644998.64056069</v>
      </c>
      <c r="C279" s="97">
        <v>216017703.97132963</v>
      </c>
      <c r="D279" s="97">
        <v>221567381.83139452</v>
      </c>
      <c r="E279" s="97">
        <v>227110681.97223598</v>
      </c>
      <c r="F279" s="97">
        <v>232699246.93862993</v>
      </c>
      <c r="H279" s="194">
        <f t="shared" si="21"/>
        <v>1</v>
      </c>
      <c r="I279" s="194">
        <f t="shared" si="22"/>
        <v>1.0255059714944232</v>
      </c>
      <c r="J279" s="194">
        <f t="shared" si="23"/>
        <v>1.0256908473612953</v>
      </c>
      <c r="K279" s="194">
        <f t="shared" si="24"/>
        <v>1.0250185749139724</v>
      </c>
      <c r="L279" s="194">
        <f t="shared" si="25"/>
        <v>1.0246072307910077</v>
      </c>
    </row>
    <row r="280" spans="1:12" x14ac:dyDescent="0.2">
      <c r="A280" t="s">
        <v>409</v>
      </c>
      <c r="B280" s="97">
        <v>39113234.608126514</v>
      </c>
      <c r="C280" s="97">
        <v>39942279.515468583</v>
      </c>
      <c r="D280" s="97">
        <v>40766196.794349529</v>
      </c>
      <c r="E280" s="97">
        <v>41583406.647194356</v>
      </c>
      <c r="F280" s="97">
        <v>42357869.600637585</v>
      </c>
      <c r="H280" s="194">
        <f t="shared" si="21"/>
        <v>1</v>
      </c>
      <c r="I280" s="194">
        <f t="shared" si="22"/>
        <v>1.0211960201105388</v>
      </c>
      <c r="J280" s="194">
        <f t="shared" si="23"/>
        <v>1.0206276979900926</v>
      </c>
      <c r="K280" s="194">
        <f t="shared" si="24"/>
        <v>1.0200462617831962</v>
      </c>
      <c r="L280" s="194">
        <f t="shared" si="25"/>
        <v>1.0186243267660584</v>
      </c>
    </row>
    <row r="281" spans="1:12" x14ac:dyDescent="0.2">
      <c r="A281" t="s">
        <v>410</v>
      </c>
      <c r="B281" s="97">
        <v>4761125.8060415536</v>
      </c>
      <c r="C281" s="97">
        <v>4838892.4308652999</v>
      </c>
      <c r="D281" s="97">
        <v>4919827.5526448982</v>
      </c>
      <c r="E281" s="97">
        <v>5002075.6770560127</v>
      </c>
      <c r="F281" s="97">
        <v>5086672.2724792603</v>
      </c>
      <c r="H281" s="194">
        <f t="shared" si="21"/>
        <v>1</v>
      </c>
      <c r="I281" s="194">
        <f t="shared" si="22"/>
        <v>1.0163336630855386</v>
      </c>
      <c r="J281" s="194">
        <f t="shared" si="23"/>
        <v>1.016725960110902</v>
      </c>
      <c r="K281" s="194">
        <f t="shared" si="24"/>
        <v>1.016717684416987</v>
      </c>
      <c r="L281" s="194">
        <f t="shared" si="25"/>
        <v>1.0169122981907857</v>
      </c>
    </row>
    <row r="282" spans="1:12" x14ac:dyDescent="0.2">
      <c r="A282" t="s">
        <v>412</v>
      </c>
      <c r="B282" s="97">
        <v>41801385.904732704</v>
      </c>
      <c r="C282" s="97">
        <v>42118336.936000846</v>
      </c>
      <c r="D282" s="97">
        <v>42304661.130794622</v>
      </c>
      <c r="E282" s="97">
        <v>42500172.199086189</v>
      </c>
      <c r="F282" s="97">
        <v>42805631.240402035</v>
      </c>
      <c r="H282" s="194">
        <f t="shared" si="21"/>
        <v>1</v>
      </c>
      <c r="I282" s="194">
        <f t="shared" si="22"/>
        <v>1.007582309160526</v>
      </c>
      <c r="J282" s="194">
        <f t="shared" si="23"/>
        <v>1.0044238260185081</v>
      </c>
      <c r="K282" s="194">
        <f t="shared" si="24"/>
        <v>1.0046215018171898</v>
      </c>
      <c r="L282" s="194">
        <f t="shared" si="25"/>
        <v>1.0071872424395121</v>
      </c>
    </row>
    <row r="283" spans="1:12" x14ac:dyDescent="0.2">
      <c r="A283" t="s">
        <v>413</v>
      </c>
      <c r="B283" s="97">
        <v>2512046.836961898</v>
      </c>
      <c r="C283" s="97">
        <v>2560136.4356774772</v>
      </c>
      <c r="D283" s="97">
        <v>2609749.9476022869</v>
      </c>
      <c r="E283" s="97">
        <v>2637473.334841141</v>
      </c>
      <c r="F283" s="97">
        <v>2665997.0562581802</v>
      </c>
      <c r="H283" s="194">
        <f t="shared" si="21"/>
        <v>1</v>
      </c>
      <c r="I283" s="194">
        <f t="shared" si="22"/>
        <v>1.0191435915955052</v>
      </c>
      <c r="J283" s="194">
        <f t="shared" si="23"/>
        <v>1.0193792452751373</v>
      </c>
      <c r="K283" s="194">
        <f t="shared" si="24"/>
        <v>1.0106230051903344</v>
      </c>
      <c r="L283" s="194">
        <f t="shared" si="25"/>
        <v>1.0108147904436566</v>
      </c>
    </row>
    <row r="284" spans="1:12" x14ac:dyDescent="0.2">
      <c r="A284" t="s">
        <v>414</v>
      </c>
      <c r="B284" s="97">
        <v>5026257.914355142</v>
      </c>
      <c r="C284" s="97">
        <v>5138588.2008908466</v>
      </c>
      <c r="D284" s="97">
        <v>5266483.3049722919</v>
      </c>
      <c r="E284" s="97">
        <v>5346924.7357173152</v>
      </c>
      <c r="F284" s="97">
        <v>5376952.4624503059</v>
      </c>
      <c r="H284" s="194">
        <f t="shared" si="21"/>
        <v>1</v>
      </c>
      <c r="I284" s="194">
        <f t="shared" si="22"/>
        <v>1.0223486913027058</v>
      </c>
      <c r="J284" s="194">
        <f t="shared" si="23"/>
        <v>1.0248891522498871</v>
      </c>
      <c r="K284" s="194">
        <f t="shared" si="24"/>
        <v>1.0152742211617904</v>
      </c>
      <c r="L284" s="194">
        <f t="shared" si="25"/>
        <v>1.0056158873029213</v>
      </c>
    </row>
    <row r="285" spans="1:12" x14ac:dyDescent="0.2">
      <c r="A285" t="s">
        <v>415</v>
      </c>
      <c r="B285" s="97">
        <v>9817919.5727326404</v>
      </c>
      <c r="C285" s="97">
        <v>10098917.197718794</v>
      </c>
      <c r="D285" s="97">
        <v>10284772.604167342</v>
      </c>
      <c r="E285" s="97">
        <v>10490831.170800759</v>
      </c>
      <c r="F285" s="97">
        <v>10575304.155399935</v>
      </c>
      <c r="H285" s="194">
        <f t="shared" si="21"/>
        <v>1</v>
      </c>
      <c r="I285" s="194">
        <f t="shared" si="22"/>
        <v>1.0286208929401468</v>
      </c>
      <c r="J285" s="194">
        <f t="shared" si="23"/>
        <v>1.0184034983959005</v>
      </c>
      <c r="K285" s="194">
        <f t="shared" si="24"/>
        <v>1.0200353060358303</v>
      </c>
      <c r="L285" s="194">
        <f t="shared" si="25"/>
        <v>1.0080520774020547</v>
      </c>
    </row>
    <row r="286" spans="1:12" x14ac:dyDescent="0.2">
      <c r="A286" t="s">
        <v>416</v>
      </c>
      <c r="B286" s="97">
        <v>7008259.187972106</v>
      </c>
      <c r="C286" s="97">
        <v>7061811.8419535058</v>
      </c>
      <c r="D286" s="97">
        <v>7145819.9395105531</v>
      </c>
      <c r="E286" s="97">
        <v>7230669.3613011418</v>
      </c>
      <c r="F286" s="97">
        <v>7372302.2422269527</v>
      </c>
      <c r="H286" s="194">
        <f t="shared" si="21"/>
        <v>1</v>
      </c>
      <c r="I286" s="194">
        <f t="shared" si="22"/>
        <v>1.0076413632180312</v>
      </c>
      <c r="J286" s="194">
        <f t="shared" si="23"/>
        <v>1.0118961110034062</v>
      </c>
      <c r="K286" s="194">
        <f t="shared" si="24"/>
        <v>1.0118739938186017</v>
      </c>
      <c r="L286" s="194">
        <f t="shared" si="25"/>
        <v>1.0195877966269398</v>
      </c>
    </row>
    <row r="287" spans="1:12" x14ac:dyDescent="0.2">
      <c r="A287" t="s">
        <v>417</v>
      </c>
      <c r="B287" s="97">
        <v>8780521.6541046333</v>
      </c>
      <c r="C287" s="97">
        <v>8988496.1104212627</v>
      </c>
      <c r="D287" s="97">
        <v>9052512.948301062</v>
      </c>
      <c r="E287" s="97">
        <v>9279537.2507111263</v>
      </c>
      <c r="F287" s="97">
        <v>9448942.9786130264</v>
      </c>
      <c r="H287" s="194">
        <f t="shared" si="21"/>
        <v>1</v>
      </c>
      <c r="I287" s="194">
        <f t="shared" si="22"/>
        <v>1.0236858884368685</v>
      </c>
      <c r="J287" s="194">
        <f t="shared" si="23"/>
        <v>1.0071220855072271</v>
      </c>
      <c r="K287" s="194">
        <f t="shared" si="24"/>
        <v>1.0250785946075527</v>
      </c>
      <c r="L287" s="194">
        <f t="shared" si="25"/>
        <v>1.0182558379071023</v>
      </c>
    </row>
    <row r="288" spans="1:12" x14ac:dyDescent="0.2">
      <c r="A288" t="s">
        <v>418</v>
      </c>
      <c r="B288" s="97">
        <v>60042482.268665127</v>
      </c>
      <c r="C288" s="97">
        <v>61383120.90967378</v>
      </c>
      <c r="D288" s="97">
        <v>62270187.689839236</v>
      </c>
      <c r="E288" s="97">
        <v>63387763.746432692</v>
      </c>
      <c r="F288" s="97">
        <v>64283734.722211979</v>
      </c>
      <c r="H288" s="194">
        <f t="shared" si="21"/>
        <v>1</v>
      </c>
      <c r="I288" s="194">
        <f t="shared" si="22"/>
        <v>1.0223281681628327</v>
      </c>
      <c r="J288" s="194">
        <f t="shared" si="23"/>
        <v>1.0144513144170495</v>
      </c>
      <c r="K288" s="194">
        <f t="shared" si="24"/>
        <v>1.0179472087375097</v>
      </c>
      <c r="L288" s="194">
        <f t="shared" si="25"/>
        <v>1.0141347623393593</v>
      </c>
    </row>
    <row r="289" spans="1:12" x14ac:dyDescent="0.2">
      <c r="A289" t="s">
        <v>419</v>
      </c>
      <c r="B289" s="97">
        <v>14284163.67728097</v>
      </c>
      <c r="C289" s="97">
        <v>14461213.236728203</v>
      </c>
      <c r="D289" s="97">
        <v>14583803.766919939</v>
      </c>
      <c r="E289" s="97">
        <v>14771553.461569857</v>
      </c>
      <c r="F289" s="97">
        <v>14925751.833584251</v>
      </c>
      <c r="H289" s="194">
        <f t="shared" si="21"/>
        <v>1</v>
      </c>
      <c r="I289" s="194">
        <f t="shared" si="22"/>
        <v>1.0123948145265818</v>
      </c>
      <c r="J289" s="194">
        <f t="shared" si="23"/>
        <v>1.0084771953905212</v>
      </c>
      <c r="K289" s="194">
        <f t="shared" si="24"/>
        <v>1.0128738494874558</v>
      </c>
      <c r="L289" s="194">
        <f t="shared" si="25"/>
        <v>1.010438873095884</v>
      </c>
    </row>
    <row r="290" spans="1:12" x14ac:dyDescent="0.2">
      <c r="A290" t="s">
        <v>420</v>
      </c>
      <c r="B290" s="97">
        <v>5344065.9339432474</v>
      </c>
      <c r="C290" s="97">
        <v>5431506.3018801827</v>
      </c>
      <c r="D290" s="97">
        <v>5576438.424851073</v>
      </c>
      <c r="E290" s="97">
        <v>5558431.9138030782</v>
      </c>
      <c r="F290" s="97">
        <v>5708057.1845245119</v>
      </c>
      <c r="H290" s="194">
        <f t="shared" si="21"/>
        <v>1</v>
      </c>
      <c r="I290" s="194">
        <f t="shared" si="22"/>
        <v>1.0163621424244695</v>
      </c>
      <c r="J290" s="194">
        <f t="shared" si="23"/>
        <v>1.0266835965781205</v>
      </c>
      <c r="K290" s="194">
        <f t="shared" si="24"/>
        <v>0.99677096568165269</v>
      </c>
      <c r="L290" s="194">
        <f t="shared" si="25"/>
        <v>1.0269186117670839</v>
      </c>
    </row>
    <row r="291" spans="1:12" x14ac:dyDescent="0.2">
      <c r="A291" t="s">
        <v>421</v>
      </c>
      <c r="B291" s="97">
        <v>7350044.2936676331</v>
      </c>
      <c r="C291" s="97">
        <v>7503132.7337039737</v>
      </c>
      <c r="D291" s="97">
        <v>7638686.3552744137</v>
      </c>
      <c r="E291" s="97">
        <v>7774749.0262511894</v>
      </c>
      <c r="F291" s="97">
        <v>7915179.3500309391</v>
      </c>
      <c r="H291" s="194">
        <f t="shared" si="21"/>
        <v>1</v>
      </c>
      <c r="I291" s="194">
        <f t="shared" si="22"/>
        <v>1.0208282336704055</v>
      </c>
      <c r="J291" s="194">
        <f t="shared" si="23"/>
        <v>1.018066269967681</v>
      </c>
      <c r="K291" s="194">
        <f t="shared" si="24"/>
        <v>1.0178123128308345</v>
      </c>
      <c r="L291" s="194">
        <f t="shared" si="25"/>
        <v>1.0180623610235637</v>
      </c>
    </row>
    <row r="292" spans="1:12" x14ac:dyDescent="0.2">
      <c r="A292" t="s">
        <v>422</v>
      </c>
      <c r="B292" s="97">
        <v>15079057.16151307</v>
      </c>
      <c r="C292" s="97">
        <v>15159301.892107956</v>
      </c>
      <c r="D292" s="97">
        <v>15208788.29955483</v>
      </c>
      <c r="E292" s="97">
        <v>15297983.787949547</v>
      </c>
      <c r="F292" s="97">
        <v>15469705.634783193</v>
      </c>
      <c r="H292" s="194">
        <f t="shared" si="21"/>
        <v>1</v>
      </c>
      <c r="I292" s="194">
        <f t="shared" si="22"/>
        <v>1.00532160132662</v>
      </c>
      <c r="J292" s="194">
        <f t="shared" si="23"/>
        <v>1.0032644252221561</v>
      </c>
      <c r="K292" s="194">
        <f t="shared" si="24"/>
        <v>1.0058647333790114</v>
      </c>
      <c r="L292" s="194">
        <f t="shared" si="25"/>
        <v>1.0112251293512884</v>
      </c>
    </row>
    <row r="293" spans="1:12" x14ac:dyDescent="0.2">
      <c r="A293" t="s">
        <v>136</v>
      </c>
      <c r="B293" s="97">
        <v>17827079.214606382</v>
      </c>
      <c r="C293" s="97">
        <v>18371173.22265894</v>
      </c>
      <c r="D293" s="97">
        <v>18909496.49443543</v>
      </c>
      <c r="E293" s="97">
        <v>19446682.555824</v>
      </c>
      <c r="F293" s="97">
        <v>19857686.979748856</v>
      </c>
      <c r="H293" s="194">
        <f t="shared" si="21"/>
        <v>1</v>
      </c>
      <c r="I293" s="194">
        <f t="shared" si="22"/>
        <v>1.0305206479144806</v>
      </c>
      <c r="J293" s="194">
        <f t="shared" si="23"/>
        <v>1.0293026071471867</v>
      </c>
      <c r="K293" s="194">
        <f t="shared" si="24"/>
        <v>1.0284082689111607</v>
      </c>
      <c r="L293" s="194">
        <f t="shared" si="25"/>
        <v>1.0211349376812739</v>
      </c>
    </row>
    <row r="294" spans="1:12" x14ac:dyDescent="0.2">
      <c r="A294" t="s">
        <v>423</v>
      </c>
      <c r="B294" s="97">
        <v>9172041.4749348387</v>
      </c>
      <c r="C294" s="97">
        <v>9388864.356511876</v>
      </c>
      <c r="D294" s="97">
        <v>9456624.6111497991</v>
      </c>
      <c r="E294" s="97">
        <v>9642166.498860199</v>
      </c>
      <c r="F294" s="97">
        <v>9778909.8749324959</v>
      </c>
      <c r="H294" s="194">
        <f t="shared" si="21"/>
        <v>1</v>
      </c>
      <c r="I294" s="194">
        <f t="shared" si="22"/>
        <v>1.0236395443881896</v>
      </c>
      <c r="J294" s="194">
        <f t="shared" si="23"/>
        <v>1.0072170873989597</v>
      </c>
      <c r="K294" s="194">
        <f t="shared" si="24"/>
        <v>1.0196203080210711</v>
      </c>
      <c r="L294" s="194">
        <f t="shared" si="25"/>
        <v>1.0141818102900899</v>
      </c>
    </row>
    <row r="295" spans="1:12" x14ac:dyDescent="0.2">
      <c r="A295" t="s">
        <v>424</v>
      </c>
      <c r="B295" s="97">
        <v>36802430.576225512</v>
      </c>
      <c r="C295" s="97">
        <v>37836693.780310653</v>
      </c>
      <c r="D295" s="97">
        <v>39067059.620914854</v>
      </c>
      <c r="E295" s="97">
        <v>40171302.543374486</v>
      </c>
      <c r="F295" s="97">
        <v>41235491.227702551</v>
      </c>
      <c r="H295" s="194">
        <f t="shared" si="21"/>
        <v>1</v>
      </c>
      <c r="I295" s="194">
        <f t="shared" si="22"/>
        <v>1.0281031222093597</v>
      </c>
      <c r="J295" s="194">
        <f t="shared" si="23"/>
        <v>1.0325177947034172</v>
      </c>
      <c r="K295" s="194">
        <f t="shared" si="24"/>
        <v>1.0282653195089315</v>
      </c>
      <c r="L295" s="194">
        <f t="shared" si="25"/>
        <v>1.0264912665746653</v>
      </c>
    </row>
    <row r="296" spans="1:12" x14ac:dyDescent="0.2">
      <c r="A296" t="s">
        <v>425</v>
      </c>
      <c r="B296" s="97">
        <v>73943926.540278226</v>
      </c>
      <c r="C296" s="97">
        <v>76157429.174958378</v>
      </c>
      <c r="D296" s="97">
        <v>77935637.531542897</v>
      </c>
      <c r="E296" s="97">
        <v>79772138.576565921</v>
      </c>
      <c r="F296" s="97">
        <v>81557249.719128996</v>
      </c>
      <c r="H296" s="194">
        <f t="shared" si="21"/>
        <v>1</v>
      </c>
      <c r="I296" s="194">
        <f t="shared" si="22"/>
        <v>1.0299348809056608</v>
      </c>
      <c r="J296" s="194">
        <f t="shared" si="23"/>
        <v>1.0233491121726206</v>
      </c>
      <c r="K296" s="194">
        <f t="shared" si="24"/>
        <v>1.0235643295312717</v>
      </c>
      <c r="L296" s="194">
        <f t="shared" si="25"/>
        <v>1.0223776267556086</v>
      </c>
    </row>
    <row r="297" spans="1:12" x14ac:dyDescent="0.2">
      <c r="A297" t="s">
        <v>426</v>
      </c>
      <c r="B297" s="97">
        <v>4869825.1569811283</v>
      </c>
      <c r="C297" s="97">
        <v>4956371.4093580414</v>
      </c>
      <c r="D297" s="97">
        <v>5045423.9584105648</v>
      </c>
      <c r="E297" s="97">
        <v>5136066.6797242556</v>
      </c>
      <c r="F297" s="97">
        <v>5231394.651038019</v>
      </c>
      <c r="H297" s="194">
        <f t="shared" si="21"/>
        <v>1</v>
      </c>
      <c r="I297" s="194">
        <f t="shared" si="22"/>
        <v>1.017771942438805</v>
      </c>
      <c r="J297" s="194">
        <f t="shared" si="23"/>
        <v>1.0179672872949725</v>
      </c>
      <c r="K297" s="194">
        <f t="shared" si="24"/>
        <v>1.0179653329553391</v>
      </c>
      <c r="L297" s="194">
        <f t="shared" si="25"/>
        <v>1.0185605011107217</v>
      </c>
    </row>
    <row r="298" spans="1:12" x14ac:dyDescent="0.2">
      <c r="A298" t="s">
        <v>427</v>
      </c>
      <c r="B298" s="97">
        <v>17492907.736309003</v>
      </c>
      <c r="C298" s="97">
        <v>17739040.360567894</v>
      </c>
      <c r="D298" s="97">
        <v>17871319.62471462</v>
      </c>
      <c r="E298" s="97">
        <v>17940926.555168562</v>
      </c>
      <c r="F298" s="97">
        <v>17890497.240670145</v>
      </c>
      <c r="H298" s="194">
        <f t="shared" si="21"/>
        <v>1</v>
      </c>
      <c r="I298" s="194">
        <f t="shared" si="22"/>
        <v>1.0140704237379592</v>
      </c>
      <c r="J298" s="194">
        <f t="shared" si="23"/>
        <v>1.007456957166678</v>
      </c>
      <c r="K298" s="194">
        <f t="shared" si="24"/>
        <v>1.003894895951482</v>
      </c>
      <c r="L298" s="194">
        <f t="shared" si="25"/>
        <v>0.99718914659489033</v>
      </c>
    </row>
    <row r="299" spans="1:12" x14ac:dyDescent="0.2">
      <c r="A299" t="s">
        <v>428</v>
      </c>
      <c r="B299" s="97">
        <v>46172003.149409205</v>
      </c>
      <c r="C299" s="97">
        <v>46665664.093995765</v>
      </c>
      <c r="D299" s="97">
        <v>47179105.956004128</v>
      </c>
      <c r="E299" s="97">
        <v>47806449.146172613</v>
      </c>
      <c r="F299" s="97">
        <v>48335555.183585927</v>
      </c>
      <c r="H299" s="194">
        <f t="shared" si="21"/>
        <v>1</v>
      </c>
      <c r="I299" s="194">
        <f t="shared" si="22"/>
        <v>1.0106917809692837</v>
      </c>
      <c r="J299" s="194">
        <f t="shared" si="23"/>
        <v>1.011002561990207</v>
      </c>
      <c r="K299" s="194">
        <f t="shared" si="24"/>
        <v>1.0132970554964205</v>
      </c>
      <c r="L299" s="194">
        <f t="shared" si="25"/>
        <v>1.0110676707193944</v>
      </c>
    </row>
  </sheetData>
  <hyperlinks>
    <hyperlink ref="N7" r:id="rId1" xr:uid="{00000000-0004-0000-0800-000000000000}"/>
    <hyperlink ref="N5" r:id="rId2" xr:uid="{00000000-0004-0000-0800-000001000000}"/>
  </hyperlinks>
  <pageMargins left="0.7" right="0.7" top="0.75" bottom="0.75" header="0.3" footer="0.3"/>
  <pageSetup paperSize="9" orientation="portrait"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MunicipalityTaxHTField0 xmlns="2ca64109-ff74-4a3f-8df8-1404b228dfda">
      <Terms xmlns="http://schemas.microsoft.com/office/infopath/2007/PartnerControls"/>
    </MunicipalityTaxHTField0>
    <ExpertServiceTaxHTField0 xmlns="2ca64109-ff74-4a3f-8df8-1404b228dfda">
      <Terms xmlns="http://schemas.microsoft.com/office/infopath/2007/PartnerControls">
        <TermInfo xmlns="http://schemas.microsoft.com/office/infopath/2007/PartnerControls">
          <TermName xmlns="http://schemas.microsoft.com/office/infopath/2007/PartnerControls">Kuntatalous</TermName>
          <TermId xmlns="http://schemas.microsoft.com/office/infopath/2007/PartnerControls">f60f4e25-53fd-466c-b326-d92406949689</TermId>
        </TermInfo>
      </Terms>
    </ExpertServiceTaxHTField0>
    <KN2KeywordsTaxHTField0 xmlns="2ca64109-ff74-4a3f-8df8-1404b228dfda">
      <Terms xmlns="http://schemas.microsoft.com/office/infopath/2007/PartnerControls"/>
    </KN2KeywordsTaxHTField0>
    <KN2LanguageTaxHTField0 xmlns="2ca64109-ff74-4a3f-8df8-1404b228dfda">
      <Terms xmlns="http://schemas.microsoft.com/office/infopath/2007/PartnerControls"/>
    </KN2LanguageTaxHTField0>
    <KN2ArticleDateTime xmlns="f674653e-f7ee-4492-bd39-da975c8607c5">2017-02-24T13:06:00+00:00</KN2ArticleDateTime>
    <KN2Description xmlns="a86a36f1-5a8f-416f-bf33-cf6bc51d313a">Excel-tiedosto *-xlsm-markoversio</KN2Description>
    <ThemeTaxHTField0 xmlns="2ca64109-ff74-4a3f-8df8-1404b228dfda">
      <Terms xmlns="http://schemas.microsoft.com/office/infopath/2007/PartnerControls"/>
    </ThemeTaxHTField0>
    <TaxCatchAll xmlns="2ca64109-ff74-4a3f-8df8-1404b228dfda">
      <Value>7</Value>
    </TaxCatchAll>
  </documentManagement>
</p:properties>
</file>

<file path=customXml/item2.xml><?xml version="1.0" encoding="utf-8"?>
<ct:contentTypeSchema xmlns:ct="http://schemas.microsoft.com/office/2006/metadata/contentType" xmlns:ma="http://schemas.microsoft.com/office/2006/metadata/properties/metaAttributes" ct:_="" ma:_="" ma:contentTypeName="KN2 Dokumentti" ma:contentTypeID="0x010100FB67A0028CB54352919050D117ADD96100710A1A8FEBEDEE45AE907C3B8C4F8D4F" ma:contentTypeVersion="8" ma:contentTypeDescription="KN2 Dokumentti sisältölaji." ma:contentTypeScope="" ma:versionID="4d185c6ea3fcb246cdf877fdbf2a1ba8">
  <xsd:schema xmlns:xsd="http://www.w3.org/2001/XMLSchema" xmlns:xs="http://www.w3.org/2001/XMLSchema" xmlns:p="http://schemas.microsoft.com/office/2006/metadata/properties" xmlns:ns2="a86a36f1-5a8f-416f-bf33-cf6bc51d313a" xmlns:ns3="2ca64109-ff74-4a3f-8df8-1404b228dfda" xmlns:ns4="f674653e-f7ee-4492-bd39-da975c8607c5" targetNamespace="http://schemas.microsoft.com/office/2006/metadata/properties" ma:root="true" ma:fieldsID="7c2349090df3c877161d5ecabcfec02a" ns2:_="" ns3:_="" ns4:_="">
    <xsd:import namespace="a86a36f1-5a8f-416f-bf33-cf6bc51d313a"/>
    <xsd:import namespace="2ca64109-ff74-4a3f-8df8-1404b228dfda"/>
    <xsd:import namespace="f674653e-f7ee-4492-bd39-da975c8607c5"/>
    <xsd:element name="properties">
      <xsd:complexType>
        <xsd:sequence>
          <xsd:element name="documentManagement">
            <xsd:complexType>
              <xsd:all>
                <xsd:element ref="ns2:KN2Description" minOccurs="0"/>
                <xsd:element ref="ns3:ExpertServiceTaxHTField0" minOccurs="0"/>
                <xsd:element ref="ns3:ThemeTaxHTField0" minOccurs="0"/>
                <xsd:element ref="ns3:KN2KeywordsTaxHTField0" minOccurs="0"/>
                <xsd:element ref="ns3:MunicipalityTaxHTField0" minOccurs="0"/>
                <xsd:element ref="ns3:KN2LanguageTaxHTField0" minOccurs="0"/>
                <xsd:element ref="ns4:KN2ArticleDateTime" minOccurs="0"/>
                <xsd:element ref="ns3:_dlc_DocId" minOccurs="0"/>
                <xsd:element ref="ns3:_dlc_DocIdUrl" minOccurs="0"/>
                <xsd:element ref="ns3:_dlc_DocIdPersistId"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6a36f1-5a8f-416f-bf33-cf6bc51d313a" elementFormDefault="qualified">
    <xsd:import namespace="http://schemas.microsoft.com/office/2006/documentManagement/types"/>
    <xsd:import namespace="http://schemas.microsoft.com/office/infopath/2007/PartnerControls"/>
    <xsd:element name="KN2Description" ma:index="8" nillable="true" ma:displayName="Kuvausteksti" ma:internalName="KN2Description">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ca64109-ff74-4a3f-8df8-1404b228dfda" elementFormDefault="qualified">
    <xsd:import namespace="http://schemas.microsoft.com/office/2006/documentManagement/types"/>
    <xsd:import namespace="http://schemas.microsoft.com/office/infopath/2007/PartnerControls"/>
    <xsd:element name="ExpertServiceTaxHTField0" ma:index="9" ma:taxonomy="true" ma:internalName="ExpertServiceTaxHTField0" ma:taxonomyFieldName="ExpertService" ma:displayName="Asiantuntijapalvelut" ma:default="" ma:fieldId="{969cb6fd-1f4d-4c41-ae54-a504ad3b65cf}" ma:taxonomyMulti="true" ma:sspId="af6aced0-8844-4989-b18d-bf2834524db8" ma:termSetId="0f91e407-31c2-4981-adcd-3a992993f5f0" ma:anchorId="00000000-0000-0000-0000-000000000000" ma:open="false" ma:isKeyword="false">
      <xsd:complexType>
        <xsd:sequence>
          <xsd:element ref="pc:Terms" minOccurs="0" maxOccurs="1"/>
        </xsd:sequence>
      </xsd:complexType>
    </xsd:element>
    <xsd:element name="ThemeTaxHTField0" ma:index="11" nillable="true" ma:taxonomy="true" ma:internalName="ThemeTaxHTField0" ma:taxonomyFieldName="Theme" ma:displayName="Teemat" ma:fieldId="{040ee926-e7cf-4076-a1f3-29b285211891}" ma:taxonomyMulti="true" ma:sspId="af6aced0-8844-4989-b18d-bf2834524db8" ma:termSetId="75b7cd61-4408-4d77-8374-d2cb507445cc" ma:anchorId="00000000-0000-0000-0000-000000000000" ma:open="false" ma:isKeyword="false">
      <xsd:complexType>
        <xsd:sequence>
          <xsd:element ref="pc:Terms" minOccurs="0" maxOccurs="1"/>
        </xsd:sequence>
      </xsd:complexType>
    </xsd:element>
    <xsd:element name="KN2KeywordsTaxHTField0" ma:index="13" nillable="true" ma:taxonomy="true" ma:internalName="KN2KeywordsTaxHTField0" ma:taxonomyFieldName="KN2Keywords" ma:displayName="Asiasanat" ma:fieldId="{11851b79-a7e3-4a1d-bd9d-944d2d87b293}" ma:taxonomyMulti="true" ma:sspId="af6aced0-8844-4989-b18d-bf2834524db8" ma:termSetId="1b86b395-74cd-4831-bbe4-19296048be4b" ma:anchorId="00000000-0000-0000-0000-000000000000" ma:open="false" ma:isKeyword="false">
      <xsd:complexType>
        <xsd:sequence>
          <xsd:element ref="pc:Terms" minOccurs="0" maxOccurs="1"/>
        </xsd:sequence>
      </xsd:complexType>
    </xsd:element>
    <xsd:element name="MunicipalityTaxHTField0" ma:index="15" nillable="true" ma:taxonomy="true" ma:internalName="MunicipalityTaxHTField0" ma:taxonomyFieldName="Municipality" ma:displayName="Kunta" ma:fieldId="{4e88d9db-f7ea-4b86-8eef-f1494b580dd0}" ma:taxonomyMulti="true" ma:sspId="af6aced0-8844-4989-b18d-bf2834524db8" ma:termSetId="788596fa-2187-4349-9e27-21ebbd15ae24" ma:anchorId="00000000-0000-0000-0000-000000000000" ma:open="false" ma:isKeyword="false">
      <xsd:complexType>
        <xsd:sequence>
          <xsd:element ref="pc:Terms" minOccurs="0" maxOccurs="1"/>
        </xsd:sequence>
      </xsd:complexType>
    </xsd:element>
    <xsd:element name="KN2LanguageTaxHTField0" ma:index="17" nillable="true" ma:taxonomy="true" ma:internalName="KN2LanguageTaxHTField0" ma:taxonomyFieldName="KN2Language" ma:displayName="Kieli" ma:fieldId="{c18774ba-aa5a-42e7-a16a-d0ce5e6458ba}" ma:sspId="af6aced0-8844-4989-b18d-bf2834524db8" ma:termSetId="8851a166-5db3-4141-857a-f8e0095ce3d9" ma:anchorId="00000000-0000-0000-0000-000000000000" ma:open="false" ma:isKeyword="false">
      <xsd:complexType>
        <xsd:sequence>
          <xsd:element ref="pc:Terms" minOccurs="0" maxOccurs="1"/>
        </xsd:sequence>
      </xsd:complexType>
    </xsd:element>
    <xsd:element name="_dlc_DocId" ma:index="20" nillable="true" ma:displayName="Tiedostotunnisteen arvo" ma:description="Tälle kohteelle määritetyn tiedostotunnisteen arvo." ma:internalName="_dlc_DocId" ma:readOnly="true">
      <xsd:simpleType>
        <xsd:restriction base="dms:Text"/>
      </xsd:simpleType>
    </xsd:element>
    <xsd:element name="_dlc_DocIdUrl" ma:index="21" nillable="true" ma:displayName="Tiedostotunniste" ma:description="Tämän tiedoston pysyvä linkki."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TaxCatchAll" ma:index="23" nillable="true" ma:displayName="Luokituksen Kaikki-sarake" ma:description="" ma:hidden="true" ma:list="{04c7fbc9-91a9-4b02-980f-703bf088685b}" ma:internalName="TaxCatchAll" ma:showField="CatchAllData" ma:web="2ca64109-ff74-4a3f-8df8-1404b228dfd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674653e-f7ee-4492-bd39-da975c8607c5" elementFormDefault="qualified">
    <xsd:import namespace="http://schemas.microsoft.com/office/2006/documentManagement/types"/>
    <xsd:import namespace="http://schemas.microsoft.com/office/infopath/2007/PartnerControls"/>
    <xsd:element name="KN2ArticleDateTime" ma:index="19" nillable="true" ma:displayName="Aika" ma:default="[today]" ma:format="DateTime" ma:internalName="KN2ArticleDateTim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2B29C5B-92B1-458A-9A46-2AD97E3B980E}">
  <ds:schemaRefs>
    <ds:schemaRef ds:uri="http://schemas.microsoft.com/office/2006/metadata/properties"/>
    <ds:schemaRef ds:uri="http://schemas.microsoft.com/office/infopath/2007/PartnerControls"/>
    <ds:schemaRef ds:uri="2ca64109-ff74-4a3f-8df8-1404b228dfda"/>
    <ds:schemaRef ds:uri="f674653e-f7ee-4492-bd39-da975c8607c5"/>
    <ds:schemaRef ds:uri="a86a36f1-5a8f-416f-bf33-cf6bc51d313a"/>
  </ds:schemaRefs>
</ds:datastoreItem>
</file>

<file path=customXml/itemProps2.xml><?xml version="1.0" encoding="utf-8"?>
<ds:datastoreItem xmlns:ds="http://schemas.openxmlformats.org/officeDocument/2006/customXml" ds:itemID="{329940BC-5A3F-4740-A75E-1714131986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6a36f1-5a8f-416f-bf33-cf6bc51d313a"/>
    <ds:schemaRef ds:uri="2ca64109-ff74-4a3f-8df8-1404b228dfda"/>
    <ds:schemaRef ds:uri="f674653e-f7ee-4492-bd39-da975c8607c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4552C89-B12F-4792-BEAD-4730D3C90CB8}">
  <ds:schemaRefs>
    <ds:schemaRef ds:uri="http://schemas.microsoft.com/sharepoint/events"/>
  </ds:schemaRefs>
</ds:datastoreItem>
</file>

<file path=customXml/itemProps4.xml><?xml version="1.0" encoding="utf-8"?>
<ds:datastoreItem xmlns:ds="http://schemas.openxmlformats.org/officeDocument/2006/customXml" ds:itemID="{507F0009-D2E5-4BAC-B33C-EA60D663E11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12</vt:i4>
      </vt:variant>
      <vt:variant>
        <vt:lpstr>Nimetyt alueet</vt:lpstr>
      </vt:variant>
      <vt:variant>
        <vt:i4>12</vt:i4>
      </vt:variant>
    </vt:vector>
  </HeadingPairs>
  <TitlesOfParts>
    <vt:vector size="24" baseType="lpstr">
      <vt:lpstr>Info</vt:lpstr>
      <vt:lpstr>Kuviot</vt:lpstr>
      <vt:lpstr>Tuloslaskelma</vt:lpstr>
      <vt:lpstr>Muutosrajoitin (lopullinen)</vt:lpstr>
      <vt:lpstr>Siirtymätasaus (lopullinen)</vt:lpstr>
      <vt:lpstr>Rahoituslaskelma</vt:lpstr>
      <vt:lpstr>Tase</vt:lpstr>
      <vt:lpstr>Taustatiedot</vt:lpstr>
      <vt:lpstr>Painelaskelmat</vt:lpstr>
      <vt:lpstr>Väestötiedot</vt:lpstr>
      <vt:lpstr>Tilitykset</vt:lpstr>
      <vt:lpstr>Tausta1</vt:lpstr>
      <vt:lpstr>alue5</vt:lpstr>
      <vt:lpstr>kunnat</vt:lpstr>
      <vt:lpstr>linkki</vt:lpstr>
      <vt:lpstr>painelaskelmat</vt:lpstr>
      <vt:lpstr>paineprosentit</vt:lpstr>
      <vt:lpstr>pela_kerroin</vt:lpstr>
      <vt:lpstr>sote_kerroin</vt:lpstr>
      <vt:lpstr>Tuloslaskelma!Tulostusalue</vt:lpstr>
      <vt:lpstr>vero2</vt:lpstr>
      <vt:lpstr>vero4</vt:lpstr>
      <vt:lpstr>väestö</vt:lpstr>
      <vt:lpstr>väestö2</vt:lpstr>
    </vt:vector>
  </TitlesOfParts>
  <Company>Pukin perhe oy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Jakoavain - uusi työkalu maakuntauudistuksen vaikutuksista</dc:title>
  <dc:creator>Mehtonen Mikko;PUKKI HEIKKI</dc:creator>
  <cp:lastModifiedBy>Mehtonen Mikko</cp:lastModifiedBy>
  <cp:lastPrinted>2017-02-24T12:08:37Z</cp:lastPrinted>
  <dcterms:created xsi:type="dcterms:W3CDTF">1999-06-12T09:52:58Z</dcterms:created>
  <dcterms:modified xsi:type="dcterms:W3CDTF">2023-03-28T10:13:25Z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0x010100FB67A0028CB54352919050D117ADD96100710A1A8FEBEDEE45AE907C3B8C4F8D4F</vt:lpwstr>
  </property>
  <property fmtid="{D5CDD505-2E9C-101B-9397-08002B2CF9AE}" pid="3" name="_dlc_DocIdItemGuid">
    <vt:lpwstr>34d8ddd3-e612-4d0f-8197-f8875860191e</vt:lpwstr>
  </property>
  <property fmtid="{D5CDD505-2E9C-101B-9397-08002B2CF9AE}" pid="4" name="KN2Keywords">
    <vt:lpwstr/>
  </property>
  <property fmtid="{D5CDD505-2E9C-101B-9397-08002B2CF9AE}" pid="5" name="Theme">
    <vt:lpwstr/>
  </property>
  <property fmtid="{D5CDD505-2E9C-101B-9397-08002B2CF9AE}" pid="6" name="KN2Language">
    <vt:lpwstr/>
  </property>
  <property fmtid="{D5CDD505-2E9C-101B-9397-08002B2CF9AE}" pid="7" name="Municipality">
    <vt:lpwstr/>
  </property>
  <property fmtid="{D5CDD505-2E9C-101B-9397-08002B2CF9AE}" pid="8" name="ExpertService">
    <vt:lpwstr>7;#Kuntatalous|f60f4e25-53fd-466c-b326-d92406949689</vt:lpwstr>
  </property>
  <property fmtid="{D5CDD505-2E9C-101B-9397-08002B2CF9AE}" pid="9" name="_dlc_DocId">
    <vt:lpwstr>G94TWSLYV3F3-13212-20</vt:lpwstr>
  </property>
  <property fmtid="{D5CDD505-2E9C-101B-9397-08002B2CF9AE}" pid="10" name="_dlc_DocIdUrl">
    <vt:lpwstr>http://www.kunnat.net/fi/asiantuntijapalvelut/kuntatalous/budjetointi-taloussuunnittelu/kuntatalouden-2019-jakoavain/_layouts/DocIdRedir.aspx?ID=G94TWSLYV3F3-13212-20, G94TWSLYV3F3-13212-20</vt:lpwstr>
  </property>
  <property fmtid="{D5CDD505-2E9C-101B-9397-08002B2CF9AE}" pid="11" name="Workbook id">
    <vt:lpwstr>104b7bbb-6345-48d0-b88d-bc22bddb4390</vt:lpwstr>
  </property>
  <property fmtid="{D5CDD505-2E9C-101B-9397-08002B2CF9AE}" pid="12" name="Workbook type">
    <vt:lpwstr>Custom</vt:lpwstr>
  </property>
  <property fmtid="{D5CDD505-2E9C-101B-9397-08002B2CF9AE}" pid="13" name="Workbook version">
    <vt:lpwstr>Custom</vt:lpwstr>
  </property>
</Properties>
</file>