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ämäTyökirja"/>
  <bookViews>
    <workbookView xWindow="32767" yWindow="32767" windowWidth="23040" windowHeight="11625" tabRatio="757" activeTab="1"/>
  </bookViews>
  <sheets>
    <sheet name="Kuviot" sheetId="1" r:id="rId1"/>
    <sheet name="Tuloslaskelma" sheetId="2" r:id="rId2"/>
    <sheet name="Muutosrajoitin" sheetId="3" r:id="rId3"/>
    <sheet name="Rahoituslaskelma" sheetId="4" state="hidden" r:id="rId4"/>
    <sheet name="Tase" sheetId="5" state="hidden" r:id="rId5"/>
    <sheet name="VMn tiedot (13_10_2020)" sheetId="6" r:id="rId6"/>
    <sheet name="Painelaskelmat" sheetId="7" state="hidden" r:id="rId7"/>
    <sheet name="Väestötiedot" sheetId="8" state="hidden" r:id="rId8"/>
    <sheet name="Tilitykset" sheetId="9" state="hidden" r:id="rId9"/>
    <sheet name="Tausta1" sheetId="10" state="hidden" r:id="rId10"/>
  </sheets>
  <definedNames>
    <definedName name="_xlfn._FV" hidden="1">#NAME?</definedName>
    <definedName name="alue1">#REF!</definedName>
    <definedName name="alue2">#REF!</definedName>
    <definedName name="alue3">#REF!</definedName>
    <definedName name="alue4">#REF!</definedName>
    <definedName name="alue5">'VMn tiedot (13_10_2020)'!$B$18:$BL$331</definedName>
    <definedName name="kunnat">'VMn tiedot (13_10_2020)'!$B$18:$B$313</definedName>
    <definedName name="linkki">'Tuloslaskelma'!$A$8</definedName>
    <definedName name="Lähtötaso">#REF!</definedName>
    <definedName name="painelaskelmat">'Tuloslaskelma'!$A$107:$A$108</definedName>
    <definedName name="paineprosentit">'Painelaskelmat'!$A$4:$L$299</definedName>
    <definedName name="po1">#REF!</definedName>
    <definedName name="TPA17">#REF!</definedName>
    <definedName name="_xlnm.Print_Area" localSheetId="1">'Tuloslaskelma'!$A$1:$B$74</definedName>
    <definedName name="vero1">#REF!</definedName>
    <definedName name="vero2">'Tuloslaskelma'!$A$110:$A$111</definedName>
    <definedName name="vero3">#REF!</definedName>
    <definedName name="vero4">'Tilitykset'!$B$4:$Z$350</definedName>
    <definedName name="väestö">'Väestötiedot'!$A$5:$B$300</definedName>
  </definedNames>
  <calcPr fullCalcOnLoad="1"/>
</workbook>
</file>

<file path=xl/sharedStrings.xml><?xml version="1.0" encoding="utf-8"?>
<sst xmlns="http://schemas.openxmlformats.org/spreadsheetml/2006/main" count="2095" uniqueCount="690">
  <si>
    <t>TOIMINTAKATE</t>
  </si>
  <si>
    <t>Verotulot</t>
  </si>
  <si>
    <t>Valtionosuudet</t>
  </si>
  <si>
    <t>VUOSIKATE</t>
  </si>
  <si>
    <t>Satunnaiset tuotot</t>
  </si>
  <si>
    <t>Satunnaiset kulut</t>
  </si>
  <si>
    <t>TILIKAUDEN TULOS</t>
  </si>
  <si>
    <t xml:space="preserve">  Vuosikate</t>
  </si>
  <si>
    <t xml:space="preserve">  Satunnaiset erät, netto</t>
  </si>
  <si>
    <t>Valmistus omaan käyttöön</t>
  </si>
  <si>
    <t>Poistot ja arvonalentumiset</t>
  </si>
  <si>
    <t>Antolainauksen muutokset</t>
  </si>
  <si>
    <t>Lainakannan muutokset</t>
  </si>
  <si>
    <t>Oman pääoman muutokset</t>
  </si>
  <si>
    <t>Muut maksuvalmiuden muutokset</t>
  </si>
  <si>
    <t xml:space="preserve">  Tulorahoituksen korjauserät</t>
  </si>
  <si>
    <t xml:space="preserve">  Investointimenot</t>
  </si>
  <si>
    <t>Rahavarojen muutos</t>
  </si>
  <si>
    <t>Toiminnan rahavirta</t>
  </si>
  <si>
    <t>Investointien rahavirta</t>
  </si>
  <si>
    <t xml:space="preserve">  Rahoitusosuudet investointimenoihin</t>
  </si>
  <si>
    <t xml:space="preserve">  Pysyvien vastaavien hyödykkeiden luovutustulot</t>
  </si>
  <si>
    <t>Rahoituksen rahavirta</t>
  </si>
  <si>
    <t>yhteensä</t>
  </si>
  <si>
    <t>Valmistevaraston muutos</t>
  </si>
  <si>
    <t>Poistoeron lisäys (-) tai vähennys (+)</t>
  </si>
  <si>
    <t>Varausten lisäys (-) tai vähennys (+)</t>
  </si>
  <si>
    <t>Toiminnan ja investointien rahavirta</t>
  </si>
  <si>
    <t>VASTAAVAA:</t>
  </si>
  <si>
    <t>VASTATTAVAA:</t>
  </si>
  <si>
    <t>PYSYVÄT VASTAAVAT</t>
  </si>
  <si>
    <t>OMA PÄÄOMA</t>
  </si>
  <si>
    <t xml:space="preserve">  Aineettomat hyödykkeet</t>
  </si>
  <si>
    <t xml:space="preserve">  Peruspääoma</t>
  </si>
  <si>
    <t xml:space="preserve">    Aineettomat oikeudet</t>
  </si>
  <si>
    <t xml:space="preserve">  Arvonkorotusrahasto</t>
  </si>
  <si>
    <t xml:space="preserve">    Muut pitkävaikuitteiset menot</t>
  </si>
  <si>
    <t xml:space="preserve">  Muut omat rahastot</t>
  </si>
  <si>
    <t xml:space="preserve">    Ennakkomaksut</t>
  </si>
  <si>
    <t xml:space="preserve">  Edell. tilikausien yli-/alijäämä</t>
  </si>
  <si>
    <t xml:space="preserve">  Tilikauden yli-/alijäämä</t>
  </si>
  <si>
    <t xml:space="preserve">  Aineelliset hyödykkeet</t>
  </si>
  <si>
    <t xml:space="preserve">    Maa- ja vesialueet</t>
  </si>
  <si>
    <t xml:space="preserve">    Rakennukset</t>
  </si>
  <si>
    <t xml:space="preserve">  Poistoero</t>
  </si>
  <si>
    <t xml:space="preserve">    Kiinteät rakenteet ja laitteet</t>
  </si>
  <si>
    <t xml:space="preserve">  Vapaaehtoiset varaukset</t>
  </si>
  <si>
    <t xml:space="preserve">    Koneet ja kalusto</t>
  </si>
  <si>
    <t xml:space="preserve">    Muut aineelliset hyödykkeet</t>
  </si>
  <si>
    <t>PAKOLLISET VARAUKSET</t>
  </si>
  <si>
    <t xml:space="preserve">    Ennakkomaksut ja keskener. hank.</t>
  </si>
  <si>
    <t xml:space="preserve">  Eläkevaraukset</t>
  </si>
  <si>
    <t xml:space="preserve">  Muut pakolliset varaukset</t>
  </si>
  <si>
    <t xml:space="preserve"> Sijoitukset</t>
  </si>
  <si>
    <t xml:space="preserve">    Osakkeet ja osuudet</t>
  </si>
  <si>
    <t>TOIMEKSIANTOJEN PÄÄOMAT</t>
  </si>
  <si>
    <t xml:space="preserve">    Joukkovelkakirjalainasaamiset</t>
  </si>
  <si>
    <t xml:space="preserve">  Valtion toimeksiannot</t>
  </si>
  <si>
    <t xml:space="preserve">    Muut lainasaamiset</t>
  </si>
  <si>
    <t xml:space="preserve">  Lahjoitusrahastojen pääomat</t>
  </si>
  <si>
    <t xml:space="preserve">    Muut saamiset</t>
  </si>
  <si>
    <t xml:space="preserve">  Muut toimeksiantojen pääomat</t>
  </si>
  <si>
    <t>VIERAS PÄÄOMA</t>
  </si>
  <si>
    <t>TOIMEKSIANTOJEN VARAT</t>
  </si>
  <si>
    <t xml:space="preserve">    Joukkovelkakirjalainat</t>
  </si>
  <si>
    <t xml:space="preserve">  Lahjoitusrahastojen erityiskatteet</t>
  </si>
  <si>
    <t xml:space="preserve">    Lainat rah.- ja vak.laitoksilta</t>
  </si>
  <si>
    <t xml:space="preserve">  Muut toimeksiantojen varat</t>
  </si>
  <si>
    <t xml:space="preserve">    Lainat julkisyhteisöiltä</t>
  </si>
  <si>
    <t xml:space="preserve">    Lainat muilta luotonantajilta</t>
  </si>
  <si>
    <t>VAIHTUVAT VASTAAVAT</t>
  </si>
  <si>
    <t xml:space="preserve">    Saadut ennakot</t>
  </si>
  <si>
    <t xml:space="preserve">  Vaihto-omaisuus</t>
  </si>
  <si>
    <t xml:space="preserve">    Ostovelat</t>
  </si>
  <si>
    <t xml:space="preserve">    Aineet ja tarvikkeet</t>
  </si>
  <si>
    <t xml:space="preserve">    Liittymismaksut ja muut velat</t>
  </si>
  <si>
    <t xml:space="preserve">    Keskeneräiset tuotteet</t>
  </si>
  <si>
    <t xml:space="preserve">    Siirtovelat</t>
  </si>
  <si>
    <t xml:space="preserve">    Valmiit tuotteet/tavarat</t>
  </si>
  <si>
    <t xml:space="preserve">    Muu vaihto-omaisuus</t>
  </si>
  <si>
    <t xml:space="preserve">  Lyhytaikainen</t>
  </si>
  <si>
    <t xml:space="preserve">  Saamiset</t>
  </si>
  <si>
    <t xml:space="preserve">    Pitkäaikaiset saamiset</t>
  </si>
  <si>
    <t xml:space="preserve">      Myyntisaamiset</t>
  </si>
  <si>
    <t xml:space="preserve">      Lainasaamiset</t>
  </si>
  <si>
    <t xml:space="preserve">      Muut saamiset</t>
  </si>
  <si>
    <t xml:space="preserve">      Siirtosaamiset</t>
  </si>
  <si>
    <t xml:space="preserve">    Lyhytaikaiset saamiset</t>
  </si>
  <si>
    <t>VASTATTAVAA YHTEENSÄ</t>
  </si>
  <si>
    <t xml:space="preserve">  Rahoitusarvopaperit</t>
  </si>
  <si>
    <t xml:space="preserve">    Sijoitukset rahamarkkinainstrum.</t>
  </si>
  <si>
    <t xml:space="preserve">    Muut arvopaperit</t>
  </si>
  <si>
    <t>Omavaraisuus-%</t>
  </si>
  <si>
    <t xml:space="preserve">Rahavarat: </t>
  </si>
  <si>
    <t xml:space="preserve">  Rahat ja pankkisaamiset</t>
  </si>
  <si>
    <t xml:space="preserve">                  euroa/asukas</t>
  </si>
  <si>
    <t>VASTAAVAA YHTEENSÄ</t>
  </si>
  <si>
    <t xml:space="preserve">Lainakanta: </t>
  </si>
  <si>
    <t xml:space="preserve">        Kuntayhtymäosuudet</t>
  </si>
  <si>
    <t xml:space="preserve">        Muut osakkeet ja osuudet</t>
  </si>
  <si>
    <t>POISTOERO JA VAPAAEHTOISET VARAUKSET</t>
  </si>
  <si>
    <t xml:space="preserve">  Pitkäaikainen vieras pääoma</t>
  </si>
  <si>
    <t>Lainanhoitokate</t>
  </si>
  <si>
    <t>Uusi</t>
  </si>
  <si>
    <t>kunta</t>
  </si>
  <si>
    <t>Muutoksen aiheuttaja</t>
  </si>
  <si>
    <t>= 100 * (Oma pääoma + Poistoero ja vapaaehtoiset varaukset) / (Koko pääoma - Saadut ennakot)</t>
  </si>
  <si>
    <t>= 100 * (Vieras pääoma - Saadut ennakot) / Käyttötulot</t>
  </si>
  <si>
    <t>Testamentin määräykset huomioiden varmistettava, miten käsitellään, jos liittyy siirtyvään toimintaan</t>
  </si>
  <si>
    <t>Rahastojen lisäys (-) tai vähennys (+)</t>
  </si>
  <si>
    <t>Siirtyvän toiminnan irtaimeen omaisuuteen kohdistuva poistoero purettava</t>
  </si>
  <si>
    <t>Siirtyviin toimintoihin liittyviä investointimenoja poistuu</t>
  </si>
  <si>
    <t xml:space="preserve">Poistuvien toimintojen investointeja varten ei tarvita uusia lainoja. </t>
  </si>
  <si>
    <t>Siirtyvien toimintojen (terveydenhuolto) vaihto-omaisuuden muutos poistuu</t>
  </si>
  <si>
    <t xml:space="preserve">Perusterveydenhuollon, erikoissairaanhoidon, sosiaalitoimen ja pelastustoimen käytössä oleva irtain omaisuus (sairaalatarvikevarastot) siirtyy  </t>
  </si>
  <si>
    <t>Siirtyvän toiminnan saamiset eivät lisäänny</t>
  </si>
  <si>
    <t>(Siirtyvät osakkeet ovat pysyvissä vastaavissa)</t>
  </si>
  <si>
    <t>Siirtyvään toimintaan liittyvä vapaaehtoinen investointivaraus purettava</t>
  </si>
  <si>
    <t>Jäsenkunnan osuus kuntayhtymän alijäämästä on todennäköisesti jo huomioitu aiemmin eli pakollisissa varauksissa ei sitä pitäisi enää olla</t>
  </si>
  <si>
    <t>Siirtyviin toimintoihin liittyvät ostovelat eivät lisäänny</t>
  </si>
  <si>
    <t>Siirtyviin toimintoihin liittyvät siirtovelat eivät lisäänny</t>
  </si>
  <si>
    <t>= (Vuosikate + Korkokulut) / (Korkokulut + Lainanlyhennykset)</t>
  </si>
  <si>
    <t>Kunta</t>
  </si>
  <si>
    <t>kno</t>
  </si>
  <si>
    <t>Kunnallis-</t>
  </si>
  <si>
    <t>€/as.</t>
  </si>
  <si>
    <t>tasaus</t>
  </si>
  <si>
    <t>Akaa</t>
  </si>
  <si>
    <t>Jämsä</t>
  </si>
  <si>
    <t>Kemiönsaari</t>
  </si>
  <si>
    <t>Parainen</t>
  </si>
  <si>
    <t>Pedersören kunta</t>
  </si>
  <si>
    <t>Pyhtää</t>
  </si>
  <si>
    <t>Pyhäjärvi</t>
  </si>
  <si>
    <t>Raasepori</t>
  </si>
  <si>
    <t>Sastamala</t>
  </si>
  <si>
    <t>Siikalatva</t>
  </si>
  <si>
    <t>Vöyri</t>
  </si>
  <si>
    <t>Maa-</t>
  </si>
  <si>
    <t>Toimintatuotot yhteensä</t>
  </si>
  <si>
    <t>Valmistevarastojen muutos</t>
  </si>
  <si>
    <t>Toimintakulut yhteensä</t>
  </si>
  <si>
    <t>Toimintakate</t>
  </si>
  <si>
    <t>Osuus yhteisöveron tuotosta</t>
  </si>
  <si>
    <t>Alajärvi</t>
  </si>
  <si>
    <t>Alavieska</t>
  </si>
  <si>
    <t>Alavus</t>
  </si>
  <si>
    <t>Asikkala</t>
  </si>
  <si>
    <t>Askola</t>
  </si>
  <si>
    <t>Aura</t>
  </si>
  <si>
    <t>Enonkoski</t>
  </si>
  <si>
    <t>Enontekiö</t>
  </si>
  <si>
    <t>Espoo</t>
  </si>
  <si>
    <t>Eura</t>
  </si>
  <si>
    <t>Eurajoki</t>
  </si>
  <si>
    <t>Evijärvi</t>
  </si>
  <si>
    <t>Forssa</t>
  </si>
  <si>
    <t>Haapajärvi</t>
  </si>
  <si>
    <t>Haapavesi</t>
  </si>
  <si>
    <t>Hailuoto</t>
  </si>
  <si>
    <t>Halsua</t>
  </si>
  <si>
    <t>Hamina</t>
  </si>
  <si>
    <t>Hankasalmi</t>
  </si>
  <si>
    <t>Hanko</t>
  </si>
  <si>
    <t>Harjavalta</t>
  </si>
  <si>
    <t>Hartola</t>
  </si>
  <si>
    <t>Hattula</t>
  </si>
  <si>
    <t>Hausjärvi</t>
  </si>
  <si>
    <t>Heinola</t>
  </si>
  <si>
    <t>Heinävesi</t>
  </si>
  <si>
    <t>Helsinki</t>
  </si>
  <si>
    <t>Hirvensalmi</t>
  </si>
  <si>
    <t>Hollola</t>
  </si>
  <si>
    <t>Honkajoki</t>
  </si>
  <si>
    <t>Huittinen</t>
  </si>
  <si>
    <t>Humppila</t>
  </si>
  <si>
    <t>Hyrynsalmi</t>
  </si>
  <si>
    <t>Hyvinkää</t>
  </si>
  <si>
    <t>Hämeenkyrö</t>
  </si>
  <si>
    <t>Hämeenlinna</t>
  </si>
  <si>
    <t>Ii</t>
  </si>
  <si>
    <t>Iisalmi</t>
  </si>
  <si>
    <t>Iitti</t>
  </si>
  <si>
    <t>Ikaalinen</t>
  </si>
  <si>
    <t>Ilmajoki</t>
  </si>
  <si>
    <t>Ilomantsi</t>
  </si>
  <si>
    <t>Imatra</t>
  </si>
  <si>
    <t>Inari</t>
  </si>
  <si>
    <t>Inkoo</t>
  </si>
  <si>
    <t>Isojoki</t>
  </si>
  <si>
    <t>Isokyrö</t>
  </si>
  <si>
    <t>Janakkala</t>
  </si>
  <si>
    <t>Joensuu</t>
  </si>
  <si>
    <t>Jokioinen</t>
  </si>
  <si>
    <t>Joroinen</t>
  </si>
  <si>
    <t>Joutsa</t>
  </si>
  <si>
    <t>Juankoski</t>
  </si>
  <si>
    <t>Juuka</t>
  </si>
  <si>
    <t>Juupajoki</t>
  </si>
  <si>
    <t>Juva</t>
  </si>
  <si>
    <t>Jyväskylä</t>
  </si>
  <si>
    <t>Jämijärvi</t>
  </si>
  <si>
    <t>Järvenpää</t>
  </si>
  <si>
    <t>Kaarina</t>
  </si>
  <si>
    <t>Kaavi</t>
  </si>
  <si>
    <t>Kajaani</t>
  </si>
  <si>
    <t>Kalajoki</t>
  </si>
  <si>
    <t>Kangasala</t>
  </si>
  <si>
    <t>Kangasniemi</t>
  </si>
  <si>
    <t>Kankaanpää</t>
  </si>
  <si>
    <t>Kannonkoski</t>
  </si>
  <si>
    <t>Kannus</t>
  </si>
  <si>
    <t>Karijoki</t>
  </si>
  <si>
    <t>Karkkila</t>
  </si>
  <si>
    <t>Karstula</t>
  </si>
  <si>
    <t>Karvia</t>
  </si>
  <si>
    <t>Kaskinen</t>
  </si>
  <si>
    <t>Kauhajoki</t>
  </si>
  <si>
    <t>Kauhava</t>
  </si>
  <si>
    <t>Kauniainen</t>
  </si>
  <si>
    <t>Kaustinen</t>
  </si>
  <si>
    <t>Keitele</t>
  </si>
  <si>
    <t>Kemi</t>
  </si>
  <si>
    <t>Kemijärvi</t>
  </si>
  <si>
    <t>Keminmaa</t>
  </si>
  <si>
    <t>Kempele</t>
  </si>
  <si>
    <t>Kerava</t>
  </si>
  <si>
    <t>Keuruu</t>
  </si>
  <si>
    <t>Kihniö</t>
  </si>
  <si>
    <t>Kinnula</t>
  </si>
  <si>
    <t>Kirkkonummi</t>
  </si>
  <si>
    <t>Kitee</t>
  </si>
  <si>
    <t>Kittilä</t>
  </si>
  <si>
    <t>Kiuruvesi</t>
  </si>
  <si>
    <t>Kivijärvi</t>
  </si>
  <si>
    <t>Kokemäki</t>
  </si>
  <si>
    <t>Kokkola</t>
  </si>
  <si>
    <t>Kolari</t>
  </si>
  <si>
    <t>Konnevesi</t>
  </si>
  <si>
    <t>Kontiolahti</t>
  </si>
  <si>
    <t>Korsnäs</t>
  </si>
  <si>
    <t>Koski Tl</t>
  </si>
  <si>
    <t>Kotka</t>
  </si>
  <si>
    <t>Kouvola</t>
  </si>
  <si>
    <t>Kristiinankaupunki</t>
  </si>
  <si>
    <t>Kruunupyy</t>
  </si>
  <si>
    <t>Kuhmo</t>
  </si>
  <si>
    <t>Kuhmoinen</t>
  </si>
  <si>
    <t>Kuopio</t>
  </si>
  <si>
    <t>Kuortane</t>
  </si>
  <si>
    <t>Kurikka</t>
  </si>
  <si>
    <t>Kustavi</t>
  </si>
  <si>
    <t>Kuusamo</t>
  </si>
  <si>
    <t>Kyyjärvi</t>
  </si>
  <si>
    <t>Kärkölä</t>
  </si>
  <si>
    <t>Kärsämäki</t>
  </si>
  <si>
    <t>Lahti</t>
  </si>
  <si>
    <t>Laihia</t>
  </si>
  <si>
    <t>Laitila</t>
  </si>
  <si>
    <t>Lapinjärvi</t>
  </si>
  <si>
    <t>Lapinlahti</t>
  </si>
  <si>
    <t>Lappajärvi</t>
  </si>
  <si>
    <t>Lappeenranta</t>
  </si>
  <si>
    <t>Lapua</t>
  </si>
  <si>
    <t>Laukaa</t>
  </si>
  <si>
    <t>Lemi</t>
  </si>
  <si>
    <t>Lempäälä</t>
  </si>
  <si>
    <t>Leppävirta</t>
  </si>
  <si>
    <t>Lestijärvi</t>
  </si>
  <si>
    <t>Lieksa</t>
  </si>
  <si>
    <t>Lieto</t>
  </si>
  <si>
    <t>Liminka</t>
  </si>
  <si>
    <t>Liperi</t>
  </si>
  <si>
    <t>Lohja</t>
  </si>
  <si>
    <t>Loimaa</t>
  </si>
  <si>
    <t>Loppi</t>
  </si>
  <si>
    <t>Loviisa</t>
  </si>
  <si>
    <t>Luhanka</t>
  </si>
  <si>
    <t>Lumijoki</t>
  </si>
  <si>
    <t>Luoto</t>
  </si>
  <si>
    <t>Luumäki</t>
  </si>
  <si>
    <t>Luvia</t>
  </si>
  <si>
    <t>Maalahti</t>
  </si>
  <si>
    <t>Marttila</t>
  </si>
  <si>
    <t>Masku</t>
  </si>
  <si>
    <t>Merijärvi</t>
  </si>
  <si>
    <t>Merikarvia</t>
  </si>
  <si>
    <t>Miehikkälä</t>
  </si>
  <si>
    <t>Mikkeli</t>
  </si>
  <si>
    <t>Muhos</t>
  </si>
  <si>
    <t>Multia</t>
  </si>
  <si>
    <t>Muonio</t>
  </si>
  <si>
    <t>Mustasaari</t>
  </si>
  <si>
    <t>Muurame</t>
  </si>
  <si>
    <t>Mynämäki</t>
  </si>
  <si>
    <t>Myrskylä</t>
  </si>
  <si>
    <t>Mäntsälä</t>
  </si>
  <si>
    <t>Mänttä-Vilppula</t>
  </si>
  <si>
    <t>Mäntyharju</t>
  </si>
  <si>
    <t>Naantali</t>
  </si>
  <si>
    <t>Nakkila</t>
  </si>
  <si>
    <t>Nivala</t>
  </si>
  <si>
    <t>Nokia</t>
  </si>
  <si>
    <t>Nousiainen</t>
  </si>
  <si>
    <t>Nurmes</t>
  </si>
  <si>
    <t>Nurmijärvi</t>
  </si>
  <si>
    <t>Närpiö</t>
  </si>
  <si>
    <t>Orimattila</t>
  </si>
  <si>
    <t>Oripää</t>
  </si>
  <si>
    <t>Orivesi</t>
  </si>
  <si>
    <t>Oulainen</t>
  </si>
  <si>
    <t>Oulu</t>
  </si>
  <si>
    <t>Outokumpu</t>
  </si>
  <si>
    <t>Padasjoki</t>
  </si>
  <si>
    <t>Paimio</t>
  </si>
  <si>
    <t>Paltamo</t>
  </si>
  <si>
    <t>Parikkala</t>
  </si>
  <si>
    <t>Parkano</t>
  </si>
  <si>
    <t>Pelkosenniemi</t>
  </si>
  <si>
    <t>Pello</t>
  </si>
  <si>
    <t>Perho</t>
  </si>
  <si>
    <t>Pertunmaa</t>
  </si>
  <si>
    <t>Petäjävesi</t>
  </si>
  <si>
    <t>Pieksämäki</t>
  </si>
  <si>
    <t>Pielavesi</t>
  </si>
  <si>
    <t>Pietarsaari</t>
  </si>
  <si>
    <t>Pihtipudas</t>
  </si>
  <si>
    <t>Pirkkala</t>
  </si>
  <si>
    <t>Polvijärvi</t>
  </si>
  <si>
    <t>Pomarkku</t>
  </si>
  <si>
    <t>Pori</t>
  </si>
  <si>
    <t>Pornainen</t>
  </si>
  <si>
    <t>Porvoo</t>
  </si>
  <si>
    <t>Posio</t>
  </si>
  <si>
    <t>Pudasjärvi</t>
  </si>
  <si>
    <t>Pukkila</t>
  </si>
  <si>
    <t>Punkalaidun</t>
  </si>
  <si>
    <t>Puolanka</t>
  </si>
  <si>
    <t>Puumala</t>
  </si>
  <si>
    <t>Pyhäjoki</t>
  </si>
  <si>
    <t>Pyhäntä</t>
  </si>
  <si>
    <t>Pyhäranta</t>
  </si>
  <si>
    <t>Pälkäne</t>
  </si>
  <si>
    <t>Pöytyä</t>
  </si>
  <si>
    <t>Raahe</t>
  </si>
  <si>
    <t>Raisio</t>
  </si>
  <si>
    <t>Rantasalmi</t>
  </si>
  <si>
    <t>Ranua</t>
  </si>
  <si>
    <t>Rauma</t>
  </si>
  <si>
    <t>Rautalampi</t>
  </si>
  <si>
    <t>Rautavaara</t>
  </si>
  <si>
    <t>Rautjärvi</t>
  </si>
  <si>
    <t>Reisjärvi</t>
  </si>
  <si>
    <t>Riihimäki</t>
  </si>
  <si>
    <t>Ristijärvi</t>
  </si>
  <si>
    <t>Rovaniemi</t>
  </si>
  <si>
    <t>Ruokolahti</t>
  </si>
  <si>
    <t>Ruovesi</t>
  </si>
  <si>
    <t>Rusko</t>
  </si>
  <si>
    <t>Rääkkylä</t>
  </si>
  <si>
    <t>Saarijärvi</t>
  </si>
  <si>
    <t>Salla</t>
  </si>
  <si>
    <t>Salo</t>
  </si>
  <si>
    <t>Sauvo</t>
  </si>
  <si>
    <t>Savitaipale</t>
  </si>
  <si>
    <t>Savonlinna</t>
  </si>
  <si>
    <t>Savukoski</t>
  </si>
  <si>
    <t>Seinäjoki</t>
  </si>
  <si>
    <t>Sievi</t>
  </si>
  <si>
    <t>Siikainen</t>
  </si>
  <si>
    <t>Siikajoki</t>
  </si>
  <si>
    <t>Siilinjärvi</t>
  </si>
  <si>
    <t>Simo</t>
  </si>
  <si>
    <t>Sipoo</t>
  </si>
  <si>
    <t>Siuntio</t>
  </si>
  <si>
    <t>Sodankylä</t>
  </si>
  <si>
    <t>Soini</t>
  </si>
  <si>
    <t>Somero</t>
  </si>
  <si>
    <t>Sonkajärvi</t>
  </si>
  <si>
    <t>Sotkamo</t>
  </si>
  <si>
    <t>Sulkava</t>
  </si>
  <si>
    <t>Suomussalmi</t>
  </si>
  <si>
    <t>Suonenjoki</t>
  </si>
  <si>
    <t>Sysmä</t>
  </si>
  <si>
    <t>Säkylä</t>
  </si>
  <si>
    <t>Taipalsaari</t>
  </si>
  <si>
    <t>Taivalkoski</t>
  </si>
  <si>
    <t>Taivassalo</t>
  </si>
  <si>
    <t>Tammela</t>
  </si>
  <si>
    <t>Tampere</t>
  </si>
  <si>
    <t>Tervo</t>
  </si>
  <si>
    <t>Tervola</t>
  </si>
  <si>
    <t>Teuva</t>
  </si>
  <si>
    <t>Tohmajärvi</t>
  </si>
  <si>
    <t>Toholampi</t>
  </si>
  <si>
    <t>Toivakka</t>
  </si>
  <si>
    <t>Tornio</t>
  </si>
  <si>
    <t>Turku</t>
  </si>
  <si>
    <t>Tuusniemi</t>
  </si>
  <si>
    <t>Tuusula</t>
  </si>
  <si>
    <t>Tyrnävä</t>
  </si>
  <si>
    <t>Ulvila</t>
  </si>
  <si>
    <t>Urjala</t>
  </si>
  <si>
    <t>Utajärvi</t>
  </si>
  <si>
    <t>Utsjoki</t>
  </si>
  <si>
    <t>Uurainen</t>
  </si>
  <si>
    <t>Uusikaarlepyy</t>
  </si>
  <si>
    <t>Uusikaupunki</t>
  </si>
  <si>
    <t>Vaala</t>
  </si>
  <si>
    <t>Vaasa</t>
  </si>
  <si>
    <t>Valkeakoski</t>
  </si>
  <si>
    <t>Valtimo</t>
  </si>
  <si>
    <t>Vantaa</t>
  </si>
  <si>
    <t>Varkaus</t>
  </si>
  <si>
    <t>Vehmaa</t>
  </si>
  <si>
    <t>Vesanto</t>
  </si>
  <si>
    <t>Vesilahti</t>
  </si>
  <si>
    <t>Veteli</t>
  </si>
  <si>
    <t>Vieremä</t>
  </si>
  <si>
    <t>Vihti</t>
  </si>
  <si>
    <t>Viitasaari</t>
  </si>
  <si>
    <t>Vimpeli</t>
  </si>
  <si>
    <t>Virolahti</t>
  </si>
  <si>
    <t>Virrat</t>
  </si>
  <si>
    <t>Ylitornio</t>
  </si>
  <si>
    <t>Ylivieska</t>
  </si>
  <si>
    <t>Ylöjärvi</t>
  </si>
  <si>
    <t>Ypäjä</t>
  </si>
  <si>
    <t>Ähtäri</t>
  </si>
  <si>
    <t>Äänekoski</t>
  </si>
  <si>
    <t>(Luvut 1000 euroina)</t>
  </si>
  <si>
    <t>Siirtyvät</t>
  </si>
  <si>
    <t>siitä: Maksutuotot</t>
  </si>
  <si>
    <t>siitä: Myyntituotot</t>
  </si>
  <si>
    <t>siitä: Tuet ja avustukset</t>
  </si>
  <si>
    <t>siitä: Muut toimintatuotot</t>
  </si>
  <si>
    <t>siitä: Palkat ja palkkiot</t>
  </si>
  <si>
    <t>siitä: Henkilösivukulut</t>
  </si>
  <si>
    <t>siitä: Palvelujen ostot</t>
  </si>
  <si>
    <t>siitä: Aineet, tarvikkeet, tavarat</t>
  </si>
  <si>
    <t>siitä: Avustukset</t>
  </si>
  <si>
    <t>siitä: Muut toimintakulut</t>
  </si>
  <si>
    <t>Yhteisövero</t>
  </si>
  <si>
    <t xml:space="preserve">      siitä: Kunnan tulovero</t>
  </si>
  <si>
    <t xml:space="preserve">      siitä: Osuus yhteisöveron tuotosta</t>
  </si>
  <si>
    <t>Valitse kunta:</t>
  </si>
  <si>
    <t>siirtyvät</t>
  </si>
  <si>
    <t>Lakisääteisten kuntayhtymien jäsenkunnat ja maakunta voivat sopia, että osa kuntayhtymän maaomaisuudesta jää jäsenkunnille. Kuntien maaomaisuuteen mahdollista lisäystä taseen pysyviin vastaaviin, jos esim. kunta joutuu lunastamaan muiden jäsenkuntien osuudet esimerkiksi rajojensa sisäpuolella olevasta maa-alueesta.</t>
  </si>
  <si>
    <t>Perusterveydenhuollon, erikoissairaanhoidon, sosiaalitoimen ja pelastustoimen käytössä oleva irtain omaisuus siirtyy. Maakunnalle ei siirry sellainen kunnan omistama irtaimisto tai osakkeet, jota kunta käyttää työterveyshuoltolain mukaisessa toiminnassa. Kunta ja maakunta voivat sopia irtaimen omaisuuden siirtymisestä myös toisin kuin lakiehdotuksessa todetaan.</t>
  </si>
  <si>
    <t>Vanha</t>
  </si>
  <si>
    <t>siitä: Toimeksiantojen varojen ja pääomien muutos</t>
  </si>
  <si>
    <t>siitä: Vaihto-omaisuuden muutos</t>
  </si>
  <si>
    <t>siitä: Saamisten muutos</t>
  </si>
  <si>
    <t>siitä: Korottomien velkojen muutos</t>
  </si>
  <si>
    <t>siitä: Pitkäaikaisten lainojen lisäys</t>
  </si>
  <si>
    <t>siitä: Pitkäaikaisten lainojen vähennys</t>
  </si>
  <si>
    <t>siitä: Lyhytaikaisten lainojen muutos</t>
  </si>
  <si>
    <t>siitä: Antolainasaamisten lisäykset</t>
  </si>
  <si>
    <t>siitä: Antolainasaamisten vähennykset</t>
  </si>
  <si>
    <t>Sote-tehtävien toteutattamiseksi testamentatut pääomat?</t>
  </si>
  <si>
    <t>Lainanhoitokate kertoo kunnan/konsernin tulorahoituksen riittävyyden vieraan pääoman korkojen ja lyhennysten maksuun.</t>
  </si>
  <si>
    <t>kun tunnusluvun arvo on yli 2, niin lainanhoitokyky on hyvä</t>
  </si>
  <si>
    <t>kun tunnusluku on 1 – 2 lainahoitokyky on tyydyttävä</t>
  </si>
  <si>
    <t>kun tunnusluvun arvo on 1 tai suurempi, niin tulorahoitus riittää lainojen hoitoon</t>
  </si>
  <si>
    <t>kun tunnusluvun arvo jää alle yhden lainahoitokyky on heikko, joudutaan vieraan pääoman hoitoon ottamaan lisälainaa, realisoimaan kunnan/konserni-yhteisöjen omaisuutta tai vähentämään rahavaroja.</t>
  </si>
  <si>
    <t>Siirtyviin toimintoihin liittyviä rahoitusosuuksia poistuu</t>
  </si>
  <si>
    <t>(luvut 1000€), vaihda kuntaa tuloslaskelmasta</t>
  </si>
  <si>
    <t>(Luvut 1000€), vaihda kuntaa tuloslaskelmasta</t>
  </si>
  <si>
    <t>= Vieras pääoma - (Saadut ennakot + Ostovelat + Siirtovelat + Muut velat)</t>
  </si>
  <si>
    <t xml:space="preserve">                  1000  euroa</t>
  </si>
  <si>
    <t xml:space="preserve">Perusterveydenhuollon, erikoissairaanhoidon, sosiaalitoimen ja pelastustoimen käytössä olevat immateriaaliset oikeudet ja luvat siirtyvät maakunnalle.  </t>
  </si>
  <si>
    <t xml:space="preserve">Käyttötarkoituksettomaksi jäävät sote-/pelastustoimen kiinteistöt poistettava kolmen vuoden kuluessa. Maakunnalle ei siirry sellaiset toimitilaa koskevat vuokrasopimukset, joissa kunta on sitoutunut lunastamaan kyseisen tilan omistukseensa sopimuskauden päätyttyä, jolleivät maakunta ja kunta toisin sovi. </t>
  </si>
  <si>
    <t>Perusterveydenhuollon, erikoissairaanhoidon, sosiaalitoimen ja pelastustoimen käytössä oleva irtain omaisuus siirtyy maakunnalle.</t>
  </si>
  <si>
    <t>Shp:n, erityishuoltopiirien ja maakuntien liittojen kuntayhtymäosuudet poistuvat (huom. jos ollut muuta kuin lakisääteistä tehtävää, järjesteltävä uudelleen). Kirjataan peruspääomaa vastaan.</t>
  </si>
  <si>
    <t>Pienenee siirtyvän omaisuuden verran (ky-osuudet, irtain omaisuus)</t>
  </si>
  <si>
    <t>Jos siirtyviin osakkeisiin ja osuuksiin on tehty arvonkorotus, se pitää purkaa.</t>
  </si>
  <si>
    <t xml:space="preserve">Kuntien lainat eivät siirry. </t>
  </si>
  <si>
    <t>Investointien tulorahoitus %</t>
  </si>
  <si>
    <t>euroa</t>
  </si>
  <si>
    <t>Kunnan omistamat sellaisen oy:n osakkeet, jotka kunta omistaa sosiaali- ja terveydenhuollon palvelujen järjestämistä tai tuottamista varten,päätoimiala on sote-palvelujen tuottaminen, on kunnan tytäryhteisö, omistusyhteysyritys tai osakkuusyritys tai jossa kuntien yhteenlaskettu omistusosuus muodostaa tässä tarkoitetun omistusosuuden ja jonka kanssa kunnalla on sopimus 2019 sote-palveluista - poistuvat. Poistaminen kirjataan peruspääomaa vastaan. Maakuntaan ei siirry sellainen kunnan omistama irtaimisto tai osakkeet, jotka kunta omistaa työterveyshuoltolaissa säädettyjen velvoitteidensa täyttämiseksi.</t>
  </si>
  <si>
    <t>Testamentin määräykset huomioiden varmistettava, miten käsitellään, jos liittyy siirtyvään toimintaan.</t>
  </si>
  <si>
    <t>Siirtymätasaukset ja pysyvä järjestelmämuutoksen</t>
  </si>
  <si>
    <t>(pysyvä)</t>
  </si>
  <si>
    <t>Toimintakate +</t>
  </si>
  <si>
    <t>Kunnallisvero</t>
  </si>
  <si>
    <t>Kiinteistö-</t>
  </si>
  <si>
    <t>VOS</t>
  </si>
  <si>
    <t>Rahoitus-</t>
  </si>
  <si>
    <t>Verotus-</t>
  </si>
  <si>
    <t>1. vuosi</t>
  </si>
  <si>
    <t>2. vuosi</t>
  </si>
  <si>
    <t>3. vuosi</t>
  </si>
  <si>
    <t>4. vuosi</t>
  </si>
  <si>
    <t>5. vuosi</t>
  </si>
  <si>
    <t>As.luku</t>
  </si>
  <si>
    <t>maksuunpano</t>
  </si>
  <si>
    <t>vero</t>
  </si>
  <si>
    <t>VM</t>
  </si>
  <si>
    <t>muutosraj.</t>
  </si>
  <si>
    <t>kust.</t>
  </si>
  <si>
    <t>siirtymä</t>
  </si>
  <si>
    <t>(ennakko)</t>
  </si>
  <si>
    <t>alenema</t>
  </si>
  <si>
    <t>nro</t>
  </si>
  <si>
    <t>Alue</t>
  </si>
  <si>
    <t>€/as</t>
  </si>
  <si>
    <t xml:space="preserve"> +/- 25 €</t>
  </si>
  <si>
    <t xml:space="preserve"> +/- 50 €</t>
  </si>
  <si>
    <t xml:space="preserve"> +/- 75 €</t>
  </si>
  <si>
    <t xml:space="preserve"> +/-100 €</t>
  </si>
  <si>
    <t>Koski tl</t>
  </si>
  <si>
    <t>Uusi kunta</t>
  </si>
  <si>
    <t>Kiinteistövero</t>
  </si>
  <si>
    <t>Mahdolliset omaisuuden myynnit.</t>
  </si>
  <si>
    <t>toimintakate</t>
  </si>
  <si>
    <t>(vaihda kuntaa tuloslaskelma -välilehdeltä)</t>
  </si>
  <si>
    <t>poistuvat</t>
  </si>
  <si>
    <t>poistot</t>
  </si>
  <si>
    <t>Kuvio1. Toimintakatteen, poistojen ja rahoituksen muutos.</t>
  </si>
  <si>
    <t>Nykyinen tasapaino</t>
  </si>
  <si>
    <t>Uusi tasapaino</t>
  </si>
  <si>
    <t>Toimintatuotot (sis. Sisäiset)</t>
  </si>
  <si>
    <t>Toimintakulut (sis. Sisäiset)</t>
  </si>
  <si>
    <t>Vyörytystuotot</t>
  </si>
  <si>
    <t>Jalasjärvi</t>
  </si>
  <si>
    <t>Hämeenkoski</t>
  </si>
  <si>
    <t>Köyliö</t>
  </si>
  <si>
    <t>Nastola</t>
  </si>
  <si>
    <t>20161104 09:00</t>
  </si>
  <si>
    <t>Tilastokeskus</t>
  </si>
  <si>
    <t>&lt;A HREF=http://tilastokeskus.fi/til/kta/index.html TARGET=_blank&gt;Tilaston kotisivu&lt;/A&gt;</t>
  </si>
  <si>
    <t>&lt;A HREF=http://tilastokeskus.fi/til/kta/yht.html TARGET=_blank&gt;Lisätietoja&lt;/A&gt;</t>
  </si>
  <si>
    <t>1 000 euroa</t>
  </si>
  <si>
    <t>kta</t>
  </si>
  <si>
    <t>Vuoden 2015 kuntajako</t>
  </si>
  <si>
    <t>Työllistymistä tukevat palvelut</t>
  </si>
  <si>
    <t>Sosiaali- ja terveystoiminta yhteensä</t>
  </si>
  <si>
    <t>Palo- ja pelastustoiminta</t>
  </si>
  <si>
    <t>Vyörytyskulut</t>
  </si>
  <si>
    <t>käyttötalous yhteensä</t>
  </si>
  <si>
    <t>TP15 vuoden 2015 jaolla</t>
  </si>
  <si>
    <t>siitä: Henkilöstökulut (summaa alla olevat)</t>
  </si>
  <si>
    <t>Siirtyvä</t>
  </si>
  <si>
    <t>Vaikutus tuloslaskelman kautta (ei hae automaattisesti tuloslaskelma -välilehdeltä!)</t>
  </si>
  <si>
    <t>Jäljelle</t>
  </si>
  <si>
    <t>VOS,</t>
  </si>
  <si>
    <t>Muut</t>
  </si>
  <si>
    <t>Nykyinen</t>
  </si>
  <si>
    <t>jäävien teht.</t>
  </si>
  <si>
    <t>poistot ja arvonal.</t>
  </si>
  <si>
    <t>tulot</t>
  </si>
  <si>
    <t>nettokust.</t>
  </si>
  <si>
    <t>(tuja-malli)</t>
  </si>
  <si>
    <t>(40 %:n oma-</t>
  </si>
  <si>
    <t>(nykyverojärj.)</t>
  </si>
  <si>
    <t>(ei muutu)</t>
  </si>
  <si>
    <t>vastuu)</t>
  </si>
  <si>
    <t>(hyöty)</t>
  </si>
  <si>
    <t>Poistot</t>
  </si>
  <si>
    <t>siitä: Osinkotuotot</t>
  </si>
  <si>
    <t>siitä: Korkotuotot</t>
  </si>
  <si>
    <t>siitä: Muut rahoitustuotot</t>
  </si>
  <si>
    <t>siitä: Korkokulut</t>
  </si>
  <si>
    <t>siitä: Muut rahoituskulut</t>
  </si>
  <si>
    <t>Ylijäämä €/asukas</t>
  </si>
  <si>
    <t xml:space="preserve">      siitä: Kiinteistövero</t>
  </si>
  <si>
    <t>Rahoituserät</t>
  </si>
  <si>
    <t>Siirtymätasaus</t>
  </si>
  <si>
    <t>Vuonna 2023</t>
  </si>
  <si>
    <t xml:space="preserve">Nro </t>
  </si>
  <si>
    <t>2018**</t>
  </si>
  <si>
    <t>2019**</t>
  </si>
  <si>
    <t>2020**</t>
  </si>
  <si>
    <t>Maksuunpantu kunnallisvero</t>
  </si>
  <si>
    <t>Valitse verotulot:</t>
  </si>
  <si>
    <t>Nykykunta</t>
  </si>
  <si>
    <t>Jakoavain on kuntien tueksi laadittu apuväline. Lähtötiedot on tarkoitettu taloussuunnittelun ja laskennan pohjaksi, ne ovat suuntaa antavia.</t>
  </si>
  <si>
    <t>Vanha kunta</t>
  </si>
  <si>
    <t>kunta (2023)</t>
  </si>
  <si>
    <t>kunta (2024)</t>
  </si>
  <si>
    <t>Yksityiskohtainen erittely nykyisen ja uuden rahoituksen muodostumisesta</t>
  </si>
  <si>
    <t>Kuntiin jäävien tehtävien ja niiden rahoituksen osalta (sote-tehtävien siirron jälkeen)</t>
  </si>
  <si>
    <t xml:space="preserve">HUOM! Tässä ei ole huomiotu uutta siirtymätasausta, joka jää pysyväksi siten, että tasapainon muutos </t>
  </si>
  <si>
    <t>UUSI TULOSLASKELMA:</t>
  </si>
  <si>
    <t>NYKYINEN TULOSLASKELMA:</t>
  </si>
  <si>
    <t>Tasapainon</t>
  </si>
  <si>
    <t>Tasapaino</t>
  </si>
  <si>
    <t>muutos</t>
  </si>
  <si>
    <t>pl. siirtymätasaus</t>
  </si>
  <si>
    <t>Kristiinankaup.</t>
  </si>
  <si>
    <t>Pedersören k.</t>
  </si>
  <si>
    <t>€</t>
  </si>
  <si>
    <t>Vuonna 2024</t>
  </si>
  <si>
    <t>Koko kunta</t>
  </si>
  <si>
    <t>Sote</t>
  </si>
  <si>
    <t>P&amp;P</t>
  </si>
  <si>
    <t>TILITYKSET</t>
  </si>
  <si>
    <t>Kunnan rahoituslaskelma ja skenaario vuodesta 2020</t>
  </si>
  <si>
    <t>Lähde: Kuntien tilinpäätösarvio (TPA17), Tilastokeskus</t>
  </si>
  <si>
    <t>Vuoden 2017 tilinpäätösarvioista ei ole saatavilla kaikkia rahoituslaskelman eriä.</t>
  </si>
  <si>
    <t>Kunnan tase 31.12.2017</t>
  </si>
  <si>
    <t>Suhteellinen velkaantuneisuus, %</t>
  </si>
  <si>
    <t>Lähde: Kuntien tilinpäätösarviot 2017, Tilastokeskus</t>
  </si>
  <si>
    <t>TPA2017</t>
  </si>
  <si>
    <t>…tämä suoraan tuloslaskelmasta (huom. 2019 tasoiset tiedot)</t>
  </si>
  <si>
    <t>toimintakatteen painelaskelma: ei käytössä</t>
  </si>
  <si>
    <t>manner-suomi</t>
  </si>
  <si>
    <t>linkki VM sivuille</t>
  </si>
  <si>
    <t>Toimintakatteen painelaskelmat. Lähde: VM</t>
  </si>
  <si>
    <t>Tarkempi aineistokuvaus</t>
  </si>
  <si>
    <r>
      <t>(</t>
    </r>
    <r>
      <rPr>
        <sz val="9"/>
        <rFont val="Calibri"/>
        <family val="2"/>
      </rPr>
      <t>©)</t>
    </r>
    <r>
      <rPr>
        <sz val="9"/>
        <rFont val="Arial"/>
        <family val="2"/>
      </rPr>
      <t xml:space="preserve"> Suomen Kuntaliitto 2018</t>
    </r>
  </si>
  <si>
    <t>Manner-Suomi</t>
  </si>
  <si>
    <r>
      <t>(</t>
    </r>
    <r>
      <rPr>
        <i/>
        <sz val="9"/>
        <rFont val="Calibri"/>
        <family val="2"/>
      </rPr>
      <t>©)</t>
    </r>
    <r>
      <rPr>
        <i/>
        <sz val="9"/>
        <rFont val="Arial"/>
        <family val="2"/>
      </rPr>
      <t xml:space="preserve"> Suomen Kuntaliitto 2018</t>
    </r>
  </si>
  <si>
    <t>VOS VM</t>
  </si>
  <si>
    <t>siitä: Muutosrajoitin</t>
  </si>
  <si>
    <t>siitä: Siirtymätasaus (jaksotettu)</t>
  </si>
  <si>
    <t>(ml. Poistot)</t>
  </si>
  <si>
    <t>sisältää: verotuskustannusten alenema</t>
  </si>
  <si>
    <t>TILIKAUDEN YLIJÄÄMÄ (ALIJÄÄMÄ)</t>
  </si>
  <si>
    <t>2021**</t>
  </si>
  <si>
    <t>**2021</t>
  </si>
  <si>
    <t>Siirtyvät kulut yhteensä</t>
  </si>
  <si>
    <t>Siirtyvät tuotot yhteensä</t>
  </si>
  <si>
    <t>Erotus</t>
  </si>
  <si>
    <t>Sote vos</t>
  </si>
  <si>
    <t>Muutosrajoitin</t>
  </si>
  <si>
    <t>Siirrettävä</t>
  </si>
  <si>
    <t>(vain se)</t>
  </si>
  <si>
    <t>(vaihda kunta tuloslaskelma -välilehdeltä)</t>
  </si>
  <si>
    <t>Verotuloihin perustuvan</t>
  </si>
  <si>
    <t>tasauksen</t>
  </si>
  <si>
    <t>Verotuloihin perustuvan tasauksen muutos</t>
  </si>
  <si>
    <t>SIIRTYVÄT KUSTANNUKSET</t>
  </si>
  <si>
    <t>SIIRTYVÄT TUOTOT</t>
  </si>
  <si>
    <t>Huomioita:</t>
  </si>
  <si>
    <t>Verotuskustannusten alenema</t>
  </si>
  <si>
    <t>Jakoavain hakee tuloslaskelma -välilehdeltä siirtyvän toimintakatteen ja käy viemässä muutosrajoittimen arvon takaisin.</t>
  </si>
  <si>
    <t>Jos sotekustannukset (siirtyvät toimintakate) pienenevät, kasvaa muutosrajoittimen arvo.</t>
  </si>
  <si>
    <t>Ks. Kaavaviittaukset.</t>
  </si>
  <si>
    <t>Muutosrajoitin lasketaan siirtyvistä kustannuksista ja tuotoista toisin kuin siirtymätasaus.</t>
  </si>
  <si>
    <t>Muutosrajoitin lasketaan maksuunpannuista verotuloista, vaikka tuloslaskelma -välilehdellä valitsisi tilitetyt verotulot laskee Jakoavain muutosrajoittimen maksuunpantujen verotulojen mukaan.</t>
  </si>
  <si>
    <t>Verotuloihin perustuva tasauksen muutos ei muutu tässä vaikka tietoja muutetaan.</t>
  </si>
  <si>
    <t xml:space="preserve"> 31.12.2018</t>
  </si>
  <si>
    <t xml:space="preserve"> (toim.kate+poistot)</t>
  </si>
  <si>
    <t>Verotulomenetysten</t>
  </si>
  <si>
    <t>kompensaatiot</t>
  </si>
  <si>
    <t>OKM, 2020</t>
  </si>
  <si>
    <t>huom. ILMAN SIIRTYMÄTASAUSTA</t>
  </si>
  <si>
    <t>Vuonna 2025</t>
  </si>
  <si>
    <t>Vuonna 2026</t>
  </si>
  <si>
    <t>Vuonna 2027</t>
  </si>
  <si>
    <t>kompensaatio</t>
  </si>
  <si>
    <t>Siirtymätasaukset (€):</t>
  </si>
  <si>
    <t>Verotulomenetysten kompensaatiot</t>
  </si>
  <si>
    <t>ml.neutralisointi</t>
  </si>
  <si>
    <t>1000 €</t>
  </si>
  <si>
    <t>maksuunpannut verot (VM:n siirtolaskelman mukaan)</t>
  </si>
  <si>
    <t>siitä: Opetus- ja kulttuuritoimen muut valtionosuudet</t>
  </si>
  <si>
    <t>siitä: Kunnan peruspalvelujen valtionosuus</t>
  </si>
  <si>
    <t>siitä: Verotulomenetysten kompensaatiot</t>
  </si>
  <si>
    <t>kunta (2025)</t>
  </si>
  <si>
    <t>kunta (2026)</t>
  </si>
  <si>
    <t>kunta (2027)</t>
  </si>
  <si>
    <t>Kunnan tuloslaskelma ja skenaario vuodesta 2023 eteenpäin</t>
  </si>
  <si>
    <r>
      <t>(</t>
    </r>
    <r>
      <rPr>
        <sz val="9"/>
        <rFont val="Calibri"/>
        <family val="2"/>
      </rPr>
      <t>©)</t>
    </r>
    <r>
      <rPr>
        <sz val="9"/>
        <rFont val="Arial"/>
        <family val="2"/>
      </rPr>
      <t xml:space="preserve"> Suomen Kuntaliitto 2020</t>
    </r>
  </si>
  <si>
    <t>Sote-kulujen muutoksen simulointi:</t>
  </si>
  <si>
    <t>(suhteessa näiden laskelmien pohjatietoihin)</t>
  </si>
  <si>
    <t>ilman</t>
  </si>
  <si>
    <t>siirtymätasausta</t>
  </si>
  <si>
    <t>(tuloslaskelmasta)</t>
  </si>
  <si>
    <t>Vain valitun kunnan tiedot</t>
  </si>
  <si>
    <t>Muutos</t>
  </si>
  <si>
    <r>
      <t xml:space="preserve">Esimerkiksi: </t>
    </r>
    <r>
      <rPr>
        <i/>
        <sz val="10"/>
        <color indexed="36"/>
        <rFont val="Arial"/>
        <family val="2"/>
      </rPr>
      <t>+1000</t>
    </r>
    <r>
      <rPr>
        <i/>
        <sz val="10"/>
        <rFont val="Arial"/>
        <family val="2"/>
      </rPr>
      <t xml:space="preserve"> -&gt; sote-kulut </t>
    </r>
    <r>
      <rPr>
        <b/>
        <i/>
        <sz val="10"/>
        <color indexed="36"/>
        <rFont val="Arial"/>
        <family val="2"/>
      </rPr>
      <t>kasvavat</t>
    </r>
    <r>
      <rPr>
        <i/>
        <sz val="10"/>
        <rFont val="Arial"/>
        <family val="2"/>
      </rPr>
      <t xml:space="preserve"> ennen sote-uudistusta miljoonalla eurolla</t>
    </r>
  </si>
  <si>
    <r>
      <t xml:space="preserve">Esimerkiksi: </t>
    </r>
    <r>
      <rPr>
        <i/>
        <sz val="10"/>
        <color indexed="53"/>
        <rFont val="Arial"/>
        <family val="2"/>
      </rPr>
      <t>-1000</t>
    </r>
    <r>
      <rPr>
        <i/>
        <sz val="10"/>
        <rFont val="Arial"/>
        <family val="2"/>
      </rPr>
      <t xml:space="preserve"> -&gt; sote-kulut </t>
    </r>
    <r>
      <rPr>
        <b/>
        <i/>
        <sz val="10"/>
        <color indexed="53"/>
        <rFont val="Arial"/>
        <family val="2"/>
      </rPr>
      <t>laskevat</t>
    </r>
    <r>
      <rPr>
        <i/>
        <sz val="10"/>
        <rFont val="Arial"/>
        <family val="2"/>
      </rPr>
      <t xml:space="preserve"> ennen sote-uudistusta miljoonalla eurolla</t>
    </r>
  </si>
  <si>
    <t>Jakoavain pohjautuu talousarviokyselyn pohjalta laskettuihin VM:n siirtolaskelmiin, kuntien tilinpäätöstietoihin sekä tilastokeskuksen väestötietoihin.</t>
  </si>
  <si>
    <t>Kuntaan jäävien kulujen muutoksen simulointi:</t>
  </si>
  <si>
    <t>&lt;- Täytä tähän vastaavalla logiikalla kuntaan jäävien palveluiden toimintakatemuutos</t>
  </si>
  <si>
    <t>&lt;- Simuloi (täytä) tähän sote-kulujen (toimintakatteen) muutos tuhansina euroina (1000 €)</t>
  </si>
  <si>
    <t>Asukasluku 31.12.2018:</t>
  </si>
  <si>
    <t>huom. Tasapaino muuttuu vielä järjestelmätasauksen porrastuksen takia, tasauksen pysyvä taso saavutetaan viimeistään vuonna 2027.</t>
  </si>
  <si>
    <t>Lähde: Tilastokeskus(tp- ja väestötiedot), VM(siirtolaskelma kesäkuu 2020) ja Kuntaliitto(muut laskelmat)</t>
  </si>
  <si>
    <t>Verotuskustannusten alenema vähennetään erotuksesta (ei oteta huomioon muutosrajoittimen laskennassa).</t>
  </si>
  <si>
    <t>TP19</t>
  </si>
  <si>
    <t>Uuden kunnan</t>
  </si>
  <si>
    <t>(&lt;- Jos miinus: tasaus paranee euromääräisesti)</t>
  </si>
  <si>
    <t>erät (netto)</t>
  </si>
  <si>
    <t>tasaus (ml. Koko maan nettomäärän neutralisointi):</t>
  </si>
  <si>
    <t>Muutosrajoittimen laskennassa huomioidaan kunta-valtionsuhteen neutraalisointi joka on noin 0,5 €/asukas</t>
  </si>
  <si>
    <t>Versio: 15.10.2020</t>
  </si>
  <si>
    <t>rajataan enimmillään +/- 60 euroon asukasta kohden 5. vuoden jälkeen</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</si>
</sst>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0"/>
    <numFmt numFmtId="167" formatCode="0.0"/>
    <numFmt numFmtId="168" formatCode="#,##0_);\(#,##0\)"/>
    <numFmt numFmtId="169" formatCode="#,##0_ ;[Red]\-#,##0\ "/>
    <numFmt numFmtId="170" formatCode="#,##0.00_ ;[Red]\-#,##0.00\ "/>
    <numFmt numFmtId="171" formatCode="0;0;"/>
    <numFmt numFmtId="172" formatCode="0.0000"/>
    <numFmt numFmtId="173" formatCode="#,##0.000"/>
    <numFmt numFmtId="174" formatCode="#\ ###\ ###\ ##0"/>
    <numFmt numFmtId="175" formatCode="General_)"/>
    <numFmt numFmtId="176" formatCode="0.0000000"/>
    <numFmt numFmtId="177" formatCode="0.000000"/>
    <numFmt numFmtId="178" formatCode="0.00000"/>
    <numFmt numFmtId="179" formatCode="0.000"/>
    <numFmt numFmtId="180" formatCode="&quot;Kyllä&quot;;&quot;Kyllä&quot;;&quot;Ei&quot;"/>
    <numFmt numFmtId="181" formatCode="&quot;Tosi&quot;;&quot;Tosi&quot;;&quot;Epätosi&quot;"/>
    <numFmt numFmtId="182" formatCode="&quot;Käytössä&quot;;&quot;Käytössä&quot;;&quot;Ei käytössä&quot;"/>
    <numFmt numFmtId="183" formatCode="[$€-2]\ #\ ##,000_);[Red]\([$€-2]\ #\ ##,000\)"/>
    <numFmt numFmtId="184" formatCode="#,##0.0000"/>
    <numFmt numFmtId="185" formatCode="#,##0.0_ ;[Red]\-#,##0.0\ "/>
    <numFmt numFmtId="186" formatCode="0.00000000"/>
  </numFmts>
  <fonts count="153">
    <font>
      <sz val="10"/>
      <name val="Arial"/>
      <family val="0"/>
    </font>
    <font>
      <sz val="11"/>
      <color indexed="8"/>
      <name val="Calibri"/>
      <family val="2"/>
    </font>
    <font>
      <b/>
      <sz val="10"/>
      <name val="Arial"/>
      <family val="2"/>
    </font>
    <font>
      <sz val="9"/>
      <name val="Arial"/>
      <family val="2"/>
    </font>
    <font>
      <sz val="8"/>
      <name val="Arial"/>
      <family val="2"/>
    </font>
    <font>
      <sz val="8"/>
      <name val="Arial Narrow"/>
      <family val="2"/>
    </font>
    <font>
      <sz val="10"/>
      <name val="Arial Narrow"/>
      <family val="2"/>
    </font>
    <font>
      <b/>
      <sz val="12"/>
      <name val="Arial"/>
      <family val="2"/>
    </font>
    <font>
      <i/>
      <sz val="10"/>
      <name val="Arial"/>
      <family val="2"/>
    </font>
    <font>
      <i/>
      <sz val="10"/>
      <name val="Arial Narrow"/>
      <family val="2"/>
    </font>
    <font>
      <sz val="11"/>
      <name val="Calibri"/>
      <family val="2"/>
    </font>
    <font>
      <b/>
      <sz val="8"/>
      <name val="Arial"/>
      <family val="2"/>
    </font>
    <font>
      <u val="single"/>
      <sz val="10"/>
      <name val="Arial"/>
      <family val="2"/>
    </font>
    <font>
      <i/>
      <sz val="8"/>
      <name val="Arial"/>
      <family val="2"/>
    </font>
    <font>
      <b/>
      <u val="single"/>
      <sz val="8"/>
      <name val="Arial"/>
      <family val="2"/>
    </font>
    <font>
      <sz val="9"/>
      <name val="Calibri"/>
      <family val="2"/>
    </font>
    <font>
      <b/>
      <sz val="14"/>
      <name val="Arial"/>
      <family val="2"/>
    </font>
    <font>
      <b/>
      <sz val="9"/>
      <name val="Arial"/>
      <family val="2"/>
    </font>
    <font>
      <i/>
      <sz val="9"/>
      <name val="Arial"/>
      <family val="2"/>
    </font>
    <font>
      <b/>
      <sz val="10"/>
      <name val="Arial Narrow"/>
      <family val="2"/>
    </font>
    <font>
      <i/>
      <sz val="9"/>
      <name val="Calibri"/>
      <family val="2"/>
    </font>
    <font>
      <sz val="11"/>
      <name val="Arial"/>
      <family val="2"/>
    </font>
    <font>
      <sz val="12"/>
      <name val="Arial"/>
      <family val="2"/>
    </font>
    <font>
      <u val="single"/>
      <sz val="11"/>
      <name val="Arial"/>
      <family val="2"/>
    </font>
    <font>
      <i/>
      <sz val="10"/>
      <color indexed="53"/>
      <name val="Arial"/>
      <family val="2"/>
    </font>
    <font>
      <i/>
      <sz val="10"/>
      <color indexed="36"/>
      <name val="Arial"/>
      <family val="2"/>
    </font>
    <font>
      <b/>
      <i/>
      <sz val="10"/>
      <color indexed="36"/>
      <name val="Arial"/>
      <family val="2"/>
    </font>
    <font>
      <b/>
      <i/>
      <sz val="10"/>
      <color indexed="53"/>
      <name val="Arial"/>
      <family val="2"/>
    </font>
    <font>
      <sz val="10"/>
      <color indexed="8"/>
      <name val="Calibri"/>
      <family val="2"/>
    </font>
    <font>
      <sz val="9"/>
      <color indexed="8"/>
      <name val="Calibri"/>
      <family val="2"/>
    </font>
    <font>
      <sz val="8"/>
      <color indexed="8"/>
      <name val="Calibri"/>
      <family val="2"/>
    </font>
    <font>
      <sz val="11"/>
      <color indexed="9"/>
      <name val="Calibri"/>
      <family val="2"/>
    </font>
    <font>
      <u val="single"/>
      <sz val="10"/>
      <color indexed="20"/>
      <name val="Arial"/>
      <family val="2"/>
    </font>
    <font>
      <sz val="11"/>
      <color indexed="20"/>
      <name val="Calibri"/>
      <family val="2"/>
    </font>
    <font>
      <u val="single"/>
      <sz val="10"/>
      <color indexed="12"/>
      <name val="Arial"/>
      <family val="2"/>
    </font>
    <font>
      <sz val="11"/>
      <color indexed="17"/>
      <name val="Calibri"/>
      <family val="2"/>
    </font>
    <font>
      <b/>
      <sz val="11"/>
      <color indexed="52"/>
      <name val="Calibri"/>
      <family val="2"/>
    </font>
    <font>
      <sz val="11"/>
      <color indexed="52"/>
      <name val="Calibri"/>
      <family val="2"/>
    </font>
    <font>
      <sz val="11"/>
      <color indexed="60"/>
      <name val="Calibri"/>
      <family val="2"/>
    </font>
    <font>
      <sz val="10"/>
      <color indexed="8"/>
      <name val="Verdana"/>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i/>
      <sz val="11"/>
      <color indexed="23"/>
      <name val="Calibri"/>
      <family val="2"/>
    </font>
    <font>
      <b/>
      <sz val="11"/>
      <color indexed="8"/>
      <name val="Calibri"/>
      <family val="2"/>
    </font>
    <font>
      <sz val="11"/>
      <color indexed="62"/>
      <name val="Calibri"/>
      <family val="2"/>
    </font>
    <font>
      <b/>
      <sz val="11"/>
      <color indexed="9"/>
      <name val="Calibri"/>
      <family val="2"/>
    </font>
    <font>
      <b/>
      <sz val="11"/>
      <color indexed="63"/>
      <name val="Calibri"/>
      <family val="2"/>
    </font>
    <font>
      <sz val="11"/>
      <color indexed="10"/>
      <name val="Calibri"/>
      <family val="2"/>
    </font>
    <font>
      <sz val="9"/>
      <color indexed="8"/>
      <name val="Arial"/>
      <family val="2"/>
    </font>
    <font>
      <sz val="10"/>
      <color indexed="8"/>
      <name val="Arial"/>
      <family val="2"/>
    </font>
    <font>
      <b/>
      <sz val="10"/>
      <color indexed="8"/>
      <name val="Arial"/>
      <family val="2"/>
    </font>
    <font>
      <sz val="10"/>
      <color indexed="10"/>
      <name val="Arial"/>
      <family val="2"/>
    </font>
    <font>
      <i/>
      <sz val="10"/>
      <color indexed="8"/>
      <name val="Arial"/>
      <family val="2"/>
    </font>
    <font>
      <b/>
      <i/>
      <sz val="10"/>
      <color indexed="10"/>
      <name val="Arial"/>
      <family val="2"/>
    </font>
    <font>
      <b/>
      <sz val="10"/>
      <color indexed="10"/>
      <name val="Arial"/>
      <family val="2"/>
    </font>
    <font>
      <i/>
      <sz val="10"/>
      <color indexed="23"/>
      <name val="Arial"/>
      <family val="2"/>
    </font>
    <font>
      <sz val="8"/>
      <color indexed="8"/>
      <name val="Arial"/>
      <family val="2"/>
    </font>
    <font>
      <b/>
      <sz val="8"/>
      <color indexed="8"/>
      <name val="Arial"/>
      <family val="2"/>
    </font>
    <font>
      <b/>
      <sz val="8"/>
      <color indexed="17"/>
      <name val="Arial"/>
      <family val="2"/>
    </font>
    <font>
      <b/>
      <sz val="10"/>
      <color indexed="30"/>
      <name val="Arial"/>
      <family val="2"/>
    </font>
    <font>
      <b/>
      <sz val="11"/>
      <color indexed="10"/>
      <name val="Calibri"/>
      <family val="2"/>
    </font>
    <font>
      <b/>
      <sz val="8"/>
      <color indexed="10"/>
      <name val="Arial"/>
      <family val="2"/>
    </font>
    <font>
      <b/>
      <u val="single"/>
      <sz val="11"/>
      <color indexed="8"/>
      <name val="Arial"/>
      <family val="2"/>
    </font>
    <font>
      <sz val="8"/>
      <color indexed="10"/>
      <name val="Arial"/>
      <family val="2"/>
    </font>
    <font>
      <i/>
      <sz val="8"/>
      <color indexed="8"/>
      <name val="Arial"/>
      <family val="2"/>
    </font>
    <font>
      <b/>
      <sz val="12"/>
      <color indexed="10"/>
      <name val="Arial"/>
      <family val="2"/>
    </font>
    <font>
      <b/>
      <sz val="10"/>
      <color indexed="17"/>
      <name val="Arial"/>
      <family val="2"/>
    </font>
    <font>
      <i/>
      <sz val="10"/>
      <color indexed="55"/>
      <name val="Arial"/>
      <family val="2"/>
    </font>
    <font>
      <sz val="9"/>
      <color indexed="10"/>
      <name val="Arial"/>
      <family val="2"/>
    </font>
    <font>
      <b/>
      <i/>
      <sz val="10"/>
      <color indexed="8"/>
      <name val="Arial"/>
      <family val="2"/>
    </font>
    <font>
      <b/>
      <sz val="14"/>
      <color indexed="8"/>
      <name val="Calibri"/>
      <family val="2"/>
    </font>
    <font>
      <b/>
      <sz val="14"/>
      <color indexed="8"/>
      <name val="Arial"/>
      <family val="2"/>
    </font>
    <font>
      <b/>
      <sz val="11"/>
      <color indexed="8"/>
      <name val="Arial"/>
      <family val="2"/>
    </font>
    <font>
      <b/>
      <u val="single"/>
      <sz val="8"/>
      <color indexed="8"/>
      <name val="Arial"/>
      <family val="2"/>
    </font>
    <font>
      <b/>
      <sz val="10"/>
      <color indexed="36"/>
      <name val="Arial"/>
      <family val="2"/>
    </font>
    <font>
      <b/>
      <sz val="8"/>
      <color indexed="9"/>
      <name val="Calibri"/>
      <family val="2"/>
    </font>
    <font>
      <sz val="8"/>
      <color indexed="9"/>
      <name val="Calibri"/>
      <family val="2"/>
    </font>
    <font>
      <b/>
      <sz val="9"/>
      <color indexed="9"/>
      <name val="Calibri"/>
      <family val="2"/>
    </font>
    <font>
      <sz val="10"/>
      <color indexed="9"/>
      <name val="Calibri"/>
      <family val="2"/>
    </font>
    <font>
      <sz val="9"/>
      <color indexed="9"/>
      <name val="Calibri"/>
      <family val="2"/>
    </font>
    <font>
      <sz val="10"/>
      <color indexed="9"/>
      <name val="Arial"/>
      <family val="2"/>
    </font>
    <font>
      <b/>
      <sz val="9"/>
      <color indexed="10"/>
      <name val="Arial"/>
      <family val="2"/>
    </font>
    <font>
      <sz val="10"/>
      <color indexed="10"/>
      <name val="Arial Narrow"/>
      <family val="2"/>
    </font>
    <font>
      <b/>
      <i/>
      <sz val="9"/>
      <color indexed="62"/>
      <name val="Arial"/>
      <family val="2"/>
    </font>
    <font>
      <b/>
      <i/>
      <sz val="10"/>
      <color indexed="62"/>
      <name val="Arial"/>
      <family val="2"/>
    </font>
    <font>
      <b/>
      <i/>
      <sz val="9"/>
      <color indexed="55"/>
      <name val="Arial"/>
      <family val="2"/>
    </font>
    <font>
      <b/>
      <i/>
      <sz val="10"/>
      <color indexed="55"/>
      <name val="Arial"/>
      <family val="2"/>
    </font>
    <font>
      <sz val="10"/>
      <color indexed="55"/>
      <name val="Arial"/>
      <family val="2"/>
    </font>
    <font>
      <sz val="8"/>
      <name val="Segoe UI"/>
      <family val="2"/>
    </font>
    <font>
      <sz val="11"/>
      <color theme="1"/>
      <name val="Calibri"/>
      <family val="2"/>
    </font>
    <font>
      <sz val="11"/>
      <color theme="0"/>
      <name val="Calibri"/>
      <family val="2"/>
    </font>
    <font>
      <u val="single"/>
      <sz val="10"/>
      <color theme="11"/>
      <name val="Arial"/>
      <family val="2"/>
    </font>
    <font>
      <sz val="11"/>
      <color rgb="FF9C0006"/>
      <name val="Calibri"/>
      <family val="2"/>
    </font>
    <font>
      <u val="single"/>
      <sz val="10"/>
      <color theme="10"/>
      <name val="Arial"/>
      <family val="2"/>
    </font>
    <font>
      <sz val="11"/>
      <color rgb="FF006100"/>
      <name val="Calibri"/>
      <family val="2"/>
    </font>
    <font>
      <b/>
      <sz val="11"/>
      <color rgb="FFFA7D00"/>
      <name val="Calibri"/>
      <family val="2"/>
    </font>
    <font>
      <sz val="11"/>
      <color rgb="FFFA7D00"/>
      <name val="Calibri"/>
      <family val="2"/>
    </font>
    <font>
      <sz val="11"/>
      <color rgb="FF9C6500"/>
      <name val="Calibri"/>
      <family val="2"/>
    </font>
    <font>
      <sz val="10"/>
      <color theme="1"/>
      <name val="Verdana"/>
      <family val="2"/>
    </font>
    <font>
      <sz val="11"/>
      <color rgb="FF000000"/>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i/>
      <sz val="11"/>
      <color rgb="FF7F7F7F"/>
      <name val="Calibri"/>
      <family val="2"/>
    </font>
    <font>
      <b/>
      <sz val="11"/>
      <color theme="1"/>
      <name val="Calibri"/>
      <family val="2"/>
    </font>
    <font>
      <sz val="11"/>
      <color rgb="FF3F3F76"/>
      <name val="Calibri"/>
      <family val="2"/>
    </font>
    <font>
      <b/>
      <sz val="11"/>
      <color theme="0"/>
      <name val="Calibri"/>
      <family val="2"/>
    </font>
    <font>
      <b/>
      <sz val="11"/>
      <color rgb="FF3F3F3F"/>
      <name val="Calibri"/>
      <family val="2"/>
    </font>
    <font>
      <sz val="11"/>
      <color rgb="FFFF0000"/>
      <name val="Calibri"/>
      <family val="2"/>
    </font>
    <font>
      <sz val="9"/>
      <color theme="1"/>
      <name val="Arial"/>
      <family val="2"/>
    </font>
    <font>
      <sz val="10"/>
      <color theme="1"/>
      <name val="Arial"/>
      <family val="2"/>
    </font>
    <font>
      <b/>
      <sz val="10"/>
      <color theme="1"/>
      <name val="Arial"/>
      <family val="2"/>
    </font>
    <font>
      <sz val="10"/>
      <color rgb="FFFF0000"/>
      <name val="Arial"/>
      <family val="2"/>
    </font>
    <font>
      <i/>
      <sz val="10"/>
      <color theme="1"/>
      <name val="Arial"/>
      <family val="2"/>
    </font>
    <font>
      <b/>
      <i/>
      <sz val="10"/>
      <color rgb="FFFF0000"/>
      <name val="Arial"/>
      <family val="2"/>
    </font>
    <font>
      <b/>
      <sz val="10"/>
      <color rgb="FFFF0000"/>
      <name val="Arial"/>
      <family val="2"/>
    </font>
    <font>
      <i/>
      <sz val="10"/>
      <color theme="0" tint="-0.4999699890613556"/>
      <name val="Arial"/>
      <family val="2"/>
    </font>
    <font>
      <sz val="8"/>
      <color theme="1"/>
      <name val="Arial"/>
      <family val="2"/>
    </font>
    <font>
      <b/>
      <sz val="8"/>
      <color theme="1"/>
      <name val="Arial"/>
      <family val="2"/>
    </font>
    <font>
      <b/>
      <sz val="8"/>
      <color rgb="FF00B050"/>
      <name val="Arial"/>
      <family val="2"/>
    </font>
    <font>
      <b/>
      <sz val="10"/>
      <color rgb="FF0070C0"/>
      <name val="Arial"/>
      <family val="2"/>
    </font>
    <font>
      <b/>
      <sz val="11"/>
      <color rgb="FF000000"/>
      <name val="Calibri"/>
      <family val="2"/>
    </font>
    <font>
      <b/>
      <sz val="11"/>
      <color rgb="FFFF0000"/>
      <name val="Calibri"/>
      <family val="2"/>
    </font>
    <font>
      <b/>
      <sz val="8"/>
      <color rgb="FFFF0000"/>
      <name val="Arial"/>
      <family val="2"/>
    </font>
    <font>
      <b/>
      <u val="single"/>
      <sz val="11"/>
      <color theme="1"/>
      <name val="Arial"/>
      <family val="2"/>
    </font>
    <font>
      <sz val="8"/>
      <color rgb="FFFF0000"/>
      <name val="Arial"/>
      <family val="2"/>
    </font>
    <font>
      <i/>
      <sz val="8"/>
      <color theme="1"/>
      <name val="Arial"/>
      <family val="2"/>
    </font>
    <font>
      <b/>
      <sz val="12"/>
      <color rgb="FFFF0000"/>
      <name val="Arial"/>
      <family val="2"/>
    </font>
    <font>
      <b/>
      <sz val="10"/>
      <color rgb="FF00B050"/>
      <name val="Arial"/>
      <family val="2"/>
    </font>
    <font>
      <i/>
      <sz val="10"/>
      <color theme="0" tint="-0.24997000396251678"/>
      <name val="Arial"/>
      <family val="2"/>
    </font>
    <font>
      <sz val="9"/>
      <color rgb="FFFF0000"/>
      <name val="Arial"/>
      <family val="2"/>
    </font>
    <font>
      <b/>
      <i/>
      <sz val="10"/>
      <color theme="1"/>
      <name val="Arial"/>
      <family val="2"/>
    </font>
    <font>
      <b/>
      <sz val="14"/>
      <color rgb="FF000000"/>
      <name val="Calibri"/>
      <family val="2"/>
    </font>
    <font>
      <b/>
      <sz val="14"/>
      <color theme="1"/>
      <name val="Arial"/>
      <family val="2"/>
    </font>
    <font>
      <b/>
      <sz val="11"/>
      <color theme="1"/>
      <name val="Arial"/>
      <family val="2"/>
    </font>
    <font>
      <b/>
      <u val="single"/>
      <sz val="8"/>
      <color theme="1"/>
      <name val="Arial"/>
      <family val="2"/>
    </font>
    <font>
      <b/>
      <sz val="10"/>
      <color rgb="FF7030A0"/>
      <name val="Arial"/>
      <family val="2"/>
    </font>
    <font>
      <b/>
      <sz val="8"/>
      <color theme="0"/>
      <name val="Calibri"/>
      <family val="2"/>
    </font>
    <font>
      <sz val="8"/>
      <color theme="0"/>
      <name val="Calibri"/>
      <family val="2"/>
    </font>
    <font>
      <b/>
      <sz val="9"/>
      <color theme="0"/>
      <name val="Calibri"/>
      <family val="2"/>
    </font>
    <font>
      <sz val="10"/>
      <color theme="0"/>
      <name val="Calibri"/>
      <family val="2"/>
    </font>
    <font>
      <sz val="9"/>
      <color theme="0"/>
      <name val="Calibri"/>
      <family val="2"/>
    </font>
    <font>
      <sz val="10"/>
      <color theme="0"/>
      <name val="Arial"/>
      <family val="2"/>
    </font>
    <font>
      <b/>
      <sz val="9"/>
      <color rgb="FFFF0000"/>
      <name val="Arial"/>
      <family val="2"/>
    </font>
    <font>
      <sz val="10"/>
      <color rgb="FFFF0000"/>
      <name val="Arial Narrow"/>
      <family val="2"/>
    </font>
    <font>
      <b/>
      <i/>
      <sz val="9"/>
      <color theme="4"/>
      <name val="Arial"/>
      <family val="2"/>
    </font>
    <font>
      <b/>
      <i/>
      <sz val="10"/>
      <color theme="4"/>
      <name val="Arial"/>
      <family val="2"/>
    </font>
    <font>
      <b/>
      <i/>
      <sz val="9"/>
      <color theme="0" tint="-0.3499799966812134"/>
      <name val="Arial"/>
      <family val="2"/>
    </font>
    <font>
      <b/>
      <i/>
      <sz val="10"/>
      <color theme="0" tint="-0.3499799966812134"/>
      <name val="Arial"/>
      <family val="2"/>
    </font>
    <font>
      <sz val="10"/>
      <color theme="0" tint="-0.3499799966812134"/>
      <name val="Arial"/>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CC99"/>
        <bgColor indexed="64"/>
      </patternFill>
    </fill>
    <fill>
      <patternFill patternType="solid">
        <fgColor rgb="FFA5A5A5"/>
        <bgColor indexed="64"/>
      </patternFill>
    </fill>
    <fill>
      <patternFill patternType="solid">
        <fgColor theme="0" tint="-0.1499900072813034"/>
        <bgColor indexed="64"/>
      </patternFill>
    </fill>
    <fill>
      <patternFill patternType="solid">
        <fgColor theme="0"/>
        <bgColor indexed="64"/>
      </patternFill>
    </fill>
    <fill>
      <patternFill patternType="solid">
        <fgColor rgb="FFEBE657"/>
        <bgColor indexed="64"/>
      </patternFill>
    </fill>
    <fill>
      <patternFill patternType="solid">
        <fgColor rgb="FFFFFF00"/>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1" tint="0.49998000264167786"/>
        <bgColor indexed="64"/>
      </patternFill>
    </fill>
    <fill>
      <patternFill patternType="solid">
        <fgColor theme="2" tint="-0.09996999800205231"/>
        <bgColor indexed="64"/>
      </patternFill>
    </fill>
    <fill>
      <patternFill patternType="solid">
        <fgColor theme="3" tint="0.7999799847602844"/>
        <bgColor indexed="64"/>
      </patternFill>
    </fill>
    <fill>
      <patternFill patternType="solid">
        <fgColor theme="1"/>
        <bgColor indexed="64"/>
      </patternFill>
    </fill>
  </fills>
  <borders count="3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style="thin"/>
      <right style="thin"/>
      <top style="thin"/>
      <bottom/>
    </border>
    <border>
      <left style="thin"/>
      <right style="thin"/>
      <top style="thin"/>
      <bottom style="thin"/>
    </border>
    <border>
      <left style="thin"/>
      <right style="hair"/>
      <top style="hair"/>
      <bottom style="hair"/>
    </border>
    <border>
      <left style="thin"/>
      <right style="hair"/>
      <top style="hair"/>
      <bottom style="thin"/>
    </border>
    <border>
      <left style="thin"/>
      <right style="hair"/>
      <top style="thin"/>
      <bottom/>
    </border>
    <border>
      <left style="thin"/>
      <right style="hair"/>
      <top style="thin"/>
      <bottom style="hair"/>
    </border>
    <border>
      <left style="thin"/>
      <right style="hair"/>
      <top/>
      <bottom/>
    </border>
    <border>
      <left style="thin"/>
      <right style="thin"/>
      <top/>
      <bottom style="thin"/>
    </border>
    <border>
      <left style="thin"/>
      <right style="thin"/>
      <top/>
      <bottom/>
    </border>
    <border>
      <left style="thin"/>
      <right/>
      <top style="thin"/>
      <bottom/>
    </border>
    <border>
      <left style="thin"/>
      <right/>
      <top/>
      <bottom style="thin"/>
    </border>
    <border>
      <left/>
      <right/>
      <top/>
      <bottom style="thin"/>
    </border>
    <border>
      <left/>
      <right style="thin"/>
      <top/>
      <bottom style="thin"/>
    </border>
    <border>
      <left style="thin"/>
      <right/>
      <top/>
      <bottom/>
    </border>
    <border>
      <left/>
      <right style="thin"/>
      <top/>
      <bottom/>
    </border>
    <border>
      <left style="hair"/>
      <right style="thin"/>
      <top style="thin"/>
      <bottom/>
    </border>
    <border>
      <left/>
      <right/>
      <top style="thin"/>
      <bottom/>
    </border>
    <border>
      <left/>
      <right style="thin"/>
      <top style="thin"/>
      <bottom/>
    </border>
    <border>
      <left/>
      <right/>
      <top style="thin"/>
      <bottom style="thin"/>
    </border>
    <border>
      <left style="hair"/>
      <right style="thin"/>
      <top style="hair"/>
      <bottom style="hair"/>
    </border>
    <border>
      <left style="hair"/>
      <right style="thin"/>
      <top style="hair"/>
      <bottom/>
    </border>
    <border>
      <left/>
      <right style="thin"/>
      <top/>
      <bottom style="hair"/>
    </border>
    <border>
      <left style="hair"/>
      <right style="thin"/>
      <top style="hair"/>
      <bottom style="thin"/>
    </border>
    <border>
      <left/>
      <right style="thin"/>
      <top style="hair"/>
      <bottom style="thin"/>
    </border>
    <border>
      <left/>
      <right style="thin"/>
      <top style="thin"/>
      <bottom style="thin"/>
    </border>
    <border>
      <left style="thin"/>
      <right>
        <color indexed="63"/>
      </right>
      <top style="thin"/>
      <bottom style="thin"/>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91" fillId="2" borderId="0" applyNumberFormat="0" applyBorder="0" applyAlignment="0" applyProtection="0"/>
    <xf numFmtId="0" fontId="91" fillId="3" borderId="0" applyNumberFormat="0" applyBorder="0" applyAlignment="0" applyProtection="0"/>
    <xf numFmtId="0" fontId="91" fillId="4" borderId="0" applyNumberFormat="0" applyBorder="0" applyAlignment="0" applyProtection="0"/>
    <xf numFmtId="0" fontId="91" fillId="5" borderId="0" applyNumberFormat="0" applyBorder="0" applyAlignment="0" applyProtection="0"/>
    <xf numFmtId="0" fontId="91" fillId="6" borderId="0" applyNumberFormat="0" applyBorder="0" applyAlignment="0" applyProtection="0"/>
    <xf numFmtId="0" fontId="91" fillId="7" borderId="0" applyNumberFormat="0" applyBorder="0" applyAlignment="0" applyProtection="0"/>
    <xf numFmtId="0" fontId="91" fillId="8" borderId="0" applyNumberFormat="0" applyBorder="0" applyAlignment="0" applyProtection="0"/>
    <xf numFmtId="0" fontId="91" fillId="9" borderId="0" applyNumberFormat="0" applyBorder="0" applyAlignment="0" applyProtection="0"/>
    <xf numFmtId="0" fontId="91" fillId="10" borderId="0" applyNumberFormat="0" applyBorder="0" applyAlignment="0" applyProtection="0"/>
    <xf numFmtId="0" fontId="91" fillId="11" borderId="0" applyNumberFormat="0" applyBorder="0" applyAlignment="0" applyProtection="0"/>
    <xf numFmtId="0" fontId="91" fillId="12" borderId="0" applyNumberFormat="0" applyBorder="0" applyAlignment="0" applyProtection="0"/>
    <xf numFmtId="0" fontId="91" fillId="13" borderId="0" applyNumberFormat="0" applyBorder="0" applyAlignment="0" applyProtection="0"/>
    <xf numFmtId="0" fontId="92" fillId="14" borderId="0" applyNumberFormat="0" applyBorder="0" applyAlignment="0" applyProtection="0"/>
    <xf numFmtId="0" fontId="92" fillId="15" borderId="0" applyNumberFormat="0" applyBorder="0" applyAlignment="0" applyProtection="0"/>
    <xf numFmtId="0" fontId="92" fillId="16" borderId="0" applyNumberFormat="0" applyBorder="0" applyAlignment="0" applyProtection="0"/>
    <xf numFmtId="0" fontId="92" fillId="17" borderId="0" applyNumberFormat="0" applyBorder="0" applyAlignment="0" applyProtection="0"/>
    <xf numFmtId="0" fontId="92" fillId="18" borderId="0" applyNumberFormat="0" applyBorder="0" applyAlignment="0" applyProtection="0"/>
    <xf numFmtId="0" fontId="92" fillId="19" borderId="0" applyNumberFormat="0" applyBorder="0" applyAlignment="0" applyProtection="0"/>
    <xf numFmtId="0" fontId="92" fillId="20" borderId="0" applyNumberFormat="0" applyBorder="0" applyAlignment="0" applyProtection="0"/>
    <xf numFmtId="0" fontId="92" fillId="20" borderId="0" applyNumberFormat="0" applyBorder="0" applyAlignment="0" applyProtection="0"/>
    <xf numFmtId="0" fontId="92" fillId="21" borderId="0" applyNumberFormat="0" applyBorder="0" applyAlignment="0" applyProtection="0"/>
    <xf numFmtId="0" fontId="92" fillId="22" borderId="0" applyNumberFormat="0" applyBorder="0" applyAlignment="0" applyProtection="0"/>
    <xf numFmtId="0" fontId="92" fillId="22" borderId="0" applyNumberFormat="0" applyBorder="0" applyAlignment="0" applyProtection="0"/>
    <xf numFmtId="0" fontId="92" fillId="23" borderId="0" applyNumberFormat="0" applyBorder="0" applyAlignment="0" applyProtection="0"/>
    <xf numFmtId="0" fontId="92" fillId="24" borderId="0" applyNumberFormat="0" applyBorder="0" applyAlignment="0" applyProtection="0"/>
    <xf numFmtId="0" fontId="92" fillId="25" borderId="0" applyNumberFormat="0" applyBorder="0" applyAlignment="0" applyProtection="0"/>
    <xf numFmtId="0" fontId="92" fillId="25" borderId="0" applyNumberFormat="0" applyBorder="0" applyAlignment="0" applyProtection="0"/>
    <xf numFmtId="0" fontId="93" fillId="0" borderId="0" applyNumberFormat="0" applyFill="0" applyBorder="0" applyAlignment="0" applyProtection="0"/>
    <xf numFmtId="0" fontId="0" fillId="26" borderId="1" applyNumberFormat="0" applyFont="0" applyAlignment="0" applyProtection="0"/>
    <xf numFmtId="0" fontId="94" fillId="27" borderId="0" applyNumberFormat="0" applyBorder="0" applyAlignment="0" applyProtection="0"/>
    <xf numFmtId="0" fontId="95" fillId="0" borderId="0" applyNumberFormat="0" applyFill="0" applyBorder="0" applyAlignment="0" applyProtection="0"/>
    <xf numFmtId="0" fontId="96" fillId="28" borderId="0" applyNumberFormat="0" applyBorder="0" applyAlignment="0" applyProtection="0"/>
    <xf numFmtId="0" fontId="97" fillId="29" borderId="2" applyNumberFormat="0" applyAlignment="0" applyProtection="0"/>
    <xf numFmtId="0" fontId="98" fillId="0" borderId="3" applyNumberFormat="0" applyFill="0" applyAlignment="0" applyProtection="0"/>
    <xf numFmtId="0" fontId="99" fillId="30" borderId="0" applyNumberFormat="0" applyBorder="0" applyAlignment="0" applyProtection="0"/>
    <xf numFmtId="0" fontId="91" fillId="0" borderId="0">
      <alignment/>
      <protection/>
    </xf>
    <xf numFmtId="0" fontId="100" fillId="0" borderId="0">
      <alignment/>
      <protection/>
    </xf>
    <xf numFmtId="0" fontId="101" fillId="0" borderId="0" applyNumberFormat="0" applyBorder="0" applyAlignment="0">
      <protection/>
    </xf>
    <xf numFmtId="0" fontId="91" fillId="0" borderId="0">
      <alignment/>
      <protection/>
    </xf>
    <xf numFmtId="0" fontId="102" fillId="0" borderId="0" applyNumberFormat="0" applyFill="0" applyBorder="0" applyAlignment="0" applyProtection="0"/>
    <xf numFmtId="0" fontId="103" fillId="0" borderId="4" applyNumberFormat="0" applyFill="0" applyAlignment="0" applyProtection="0"/>
    <xf numFmtId="0" fontId="104" fillId="0" borderId="5" applyNumberFormat="0" applyFill="0" applyAlignment="0" applyProtection="0"/>
    <xf numFmtId="0" fontId="105" fillId="0" borderId="6" applyNumberFormat="0" applyFill="0" applyAlignment="0" applyProtection="0"/>
    <xf numFmtId="0" fontId="105" fillId="0" borderId="0" applyNumberForma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9" fontId="0" fillId="0" borderId="0" applyFont="0" applyFill="0" applyBorder="0" applyAlignment="0" applyProtection="0"/>
    <xf numFmtId="0" fontId="106" fillId="0" borderId="0" applyNumberFormat="0" applyFill="0" applyBorder="0" applyAlignment="0" applyProtection="0"/>
    <xf numFmtId="0" fontId="107" fillId="0" borderId="7" applyNumberFormat="0" applyFill="0" applyAlignment="0" applyProtection="0"/>
    <xf numFmtId="0" fontId="108" fillId="31" borderId="2" applyNumberFormat="0" applyAlignment="0" applyProtection="0"/>
    <xf numFmtId="0" fontId="109" fillId="32" borderId="8" applyNumberFormat="0" applyAlignment="0" applyProtection="0"/>
    <xf numFmtId="0" fontId="110" fillId="29"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11" fillId="0" borderId="0" applyNumberFormat="0" applyFill="0" applyBorder="0" applyAlignment="0" applyProtection="0"/>
  </cellStyleXfs>
  <cellXfs count="449">
    <xf numFmtId="0" fontId="0" fillId="0" borderId="0" xfId="0" applyAlignment="1">
      <alignment/>
    </xf>
    <xf numFmtId="0" fontId="3" fillId="0" borderId="0" xfId="0" applyFont="1" applyAlignment="1">
      <alignment/>
    </xf>
    <xf numFmtId="0" fontId="2" fillId="0" borderId="0" xfId="0" applyFont="1" applyAlignment="1">
      <alignment/>
    </xf>
    <xf numFmtId="0" fontId="0" fillId="0" borderId="0" xfId="0" applyFont="1" applyAlignment="1">
      <alignment/>
    </xf>
    <xf numFmtId="14" fontId="112" fillId="0" borderId="0" xfId="0" applyNumberFormat="1" applyFont="1" applyAlignment="1">
      <alignment horizontal="left"/>
    </xf>
    <xf numFmtId="0" fontId="113" fillId="0" borderId="0" xfId="0" applyFont="1" applyAlignment="1">
      <alignment/>
    </xf>
    <xf numFmtId="3" fontId="113" fillId="0" borderId="0" xfId="0" applyNumberFormat="1" applyFont="1" applyAlignment="1">
      <alignment/>
    </xf>
    <xf numFmtId="0" fontId="114" fillId="0" borderId="0" xfId="0" applyFont="1" applyAlignment="1">
      <alignment/>
    </xf>
    <xf numFmtId="0" fontId="113" fillId="0" borderId="0" xfId="0" applyFont="1" applyAlignment="1">
      <alignment horizontal="center"/>
    </xf>
    <xf numFmtId="14" fontId="5" fillId="0" borderId="0" xfId="0" applyNumberFormat="1" applyFont="1" applyAlignment="1" applyProtection="1">
      <alignment horizontal="left"/>
      <protection/>
    </xf>
    <xf numFmtId="0" fontId="6" fillId="0" borderId="0" xfId="0" applyFont="1" applyAlignment="1">
      <alignment/>
    </xf>
    <xf numFmtId="0" fontId="7" fillId="2" borderId="10" xfId="0" applyFont="1" applyFill="1" applyBorder="1" applyAlignment="1" applyProtection="1">
      <alignment horizontal="left"/>
      <protection/>
    </xf>
    <xf numFmtId="49" fontId="2" fillId="2" borderId="10" xfId="0" applyNumberFormat="1" applyFont="1" applyFill="1" applyBorder="1" applyAlignment="1" applyProtection="1">
      <alignment horizontal="center"/>
      <protection/>
    </xf>
    <xf numFmtId="0" fontId="7" fillId="2" borderId="11" xfId="0" applyFont="1" applyFill="1" applyBorder="1" applyAlignment="1" applyProtection="1">
      <alignment horizontal="left"/>
      <protection/>
    </xf>
    <xf numFmtId="0" fontId="2" fillId="0" borderId="12" xfId="0" applyFont="1" applyBorder="1" applyAlignment="1" applyProtection="1">
      <alignment horizontal="left"/>
      <protection/>
    </xf>
    <xf numFmtId="0" fontId="0" fillId="0" borderId="12" xfId="0" applyFont="1" applyBorder="1" applyAlignment="1" applyProtection="1">
      <alignment horizontal="left"/>
      <protection/>
    </xf>
    <xf numFmtId="0" fontId="3" fillId="0" borderId="12" xfId="0" applyFont="1" applyBorder="1" applyAlignment="1" applyProtection="1">
      <alignment horizontal="left"/>
      <protection/>
    </xf>
    <xf numFmtId="0" fontId="0" fillId="0" borderId="12" xfId="0" applyFont="1" applyBorder="1" applyAlignment="1">
      <alignment/>
    </xf>
    <xf numFmtId="0" fontId="4" fillId="0" borderId="12" xfId="0" applyFont="1" applyBorder="1" applyAlignment="1">
      <alignment/>
    </xf>
    <xf numFmtId="0" fontId="2" fillId="0" borderId="12" xfId="0" applyFont="1" applyBorder="1" applyAlignment="1">
      <alignment/>
    </xf>
    <xf numFmtId="168" fontId="2" fillId="0" borderId="12" xfId="0" applyNumberFormat="1" applyFont="1" applyBorder="1" applyAlignment="1" applyProtection="1">
      <alignment horizontal="left"/>
      <protection/>
    </xf>
    <xf numFmtId="0" fontId="2" fillId="0" borderId="13" xfId="0" applyFont="1" applyBorder="1" applyAlignment="1" applyProtection="1">
      <alignment horizontal="left"/>
      <protection/>
    </xf>
    <xf numFmtId="0" fontId="0" fillId="0" borderId="14" xfId="0" applyFont="1" applyBorder="1" applyAlignment="1">
      <alignment/>
    </xf>
    <xf numFmtId="0" fontId="2" fillId="0" borderId="15" xfId="0" applyFont="1" applyBorder="1" applyAlignment="1" applyProtection="1">
      <alignment horizontal="left"/>
      <protection/>
    </xf>
    <xf numFmtId="0" fontId="0" fillId="0" borderId="16" xfId="0" applyFont="1" applyBorder="1" applyAlignment="1">
      <alignment/>
    </xf>
    <xf numFmtId="0" fontId="113" fillId="0" borderId="12" xfId="0" applyFont="1" applyBorder="1" applyAlignment="1">
      <alignment/>
    </xf>
    <xf numFmtId="0" fontId="114" fillId="0" borderId="13" xfId="0" applyFont="1" applyBorder="1" applyAlignment="1">
      <alignment/>
    </xf>
    <xf numFmtId="0" fontId="113" fillId="0" borderId="0" xfId="0" applyFont="1" applyAlignment="1">
      <alignment wrapText="1"/>
    </xf>
    <xf numFmtId="0" fontId="6" fillId="0" borderId="0" xfId="0" applyFont="1" applyAlignment="1">
      <alignment wrapText="1"/>
    </xf>
    <xf numFmtId="49" fontId="113" fillId="0" borderId="0" xfId="0" applyNumberFormat="1" applyFont="1" applyAlignment="1">
      <alignment wrapText="1"/>
    </xf>
    <xf numFmtId="0" fontId="115" fillId="0" borderId="0" xfId="0" applyFont="1" applyAlignment="1">
      <alignment/>
    </xf>
    <xf numFmtId="0" fontId="113" fillId="0" borderId="0" xfId="0" applyFont="1" applyAlignment="1">
      <alignment horizontal="left" indent="3"/>
    </xf>
    <xf numFmtId="0" fontId="113" fillId="0" borderId="0" xfId="0" applyFont="1" applyFill="1" applyAlignment="1">
      <alignment/>
    </xf>
    <xf numFmtId="0" fontId="113" fillId="33" borderId="0" xfId="0" applyFont="1" applyFill="1" applyAlignment="1">
      <alignment/>
    </xf>
    <xf numFmtId="0" fontId="114" fillId="33" borderId="0" xfId="0" applyFont="1" applyFill="1" applyAlignment="1">
      <alignment wrapText="1"/>
    </xf>
    <xf numFmtId="0" fontId="114" fillId="33" borderId="0" xfId="0" applyFont="1" applyFill="1" applyAlignment="1">
      <alignment horizontal="center"/>
    </xf>
    <xf numFmtId="0" fontId="116" fillId="33" borderId="0" xfId="0" applyFont="1" applyFill="1" applyAlignment="1">
      <alignment/>
    </xf>
    <xf numFmtId="0" fontId="8" fillId="33" borderId="0" xfId="0" applyFont="1" applyFill="1" applyAlignment="1">
      <alignment/>
    </xf>
    <xf numFmtId="166" fontId="117" fillId="0" borderId="0" xfId="0" applyNumberFormat="1" applyFont="1" applyFill="1" applyAlignment="1">
      <alignment/>
    </xf>
    <xf numFmtId="14" fontId="112" fillId="34" borderId="0" xfId="0" applyNumberFormat="1" applyFont="1" applyFill="1" applyAlignment="1">
      <alignment horizontal="left"/>
    </xf>
    <xf numFmtId="0" fontId="113" fillId="34" borderId="0" xfId="0" applyFont="1" applyFill="1" applyAlignment="1">
      <alignment/>
    </xf>
    <xf numFmtId="0" fontId="113" fillId="34" borderId="0" xfId="0" applyFont="1" applyFill="1" applyAlignment="1">
      <alignment wrapText="1"/>
    </xf>
    <xf numFmtId="0" fontId="118" fillId="34" borderId="0" xfId="0" applyFont="1" applyFill="1" applyAlignment="1">
      <alignment/>
    </xf>
    <xf numFmtId="0" fontId="115" fillId="34" borderId="0" xfId="0" applyFont="1" applyFill="1" applyAlignment="1">
      <alignment/>
    </xf>
    <xf numFmtId="9" fontId="115" fillId="34" borderId="0" xfId="0" applyNumberFormat="1" applyFont="1" applyFill="1" applyAlignment="1">
      <alignment horizontal="left"/>
    </xf>
    <xf numFmtId="3" fontId="0" fillId="0" borderId="0" xfId="0" applyNumberFormat="1" applyFont="1" applyAlignment="1">
      <alignment/>
    </xf>
    <xf numFmtId="0" fontId="116" fillId="33" borderId="0" xfId="0" applyFont="1" applyFill="1" applyAlignment="1">
      <alignment horizontal="center"/>
    </xf>
    <xf numFmtId="0" fontId="113" fillId="33" borderId="0" xfId="0" applyFont="1" applyFill="1" applyAlignment="1">
      <alignment wrapText="1"/>
    </xf>
    <xf numFmtId="49" fontId="114" fillId="33" borderId="0" xfId="0" applyNumberFormat="1" applyFont="1" applyFill="1" applyAlignment="1">
      <alignment wrapText="1"/>
    </xf>
    <xf numFmtId="0" fontId="114" fillId="0" borderId="0" xfId="0" applyFont="1" applyAlignment="1">
      <alignment horizontal="left"/>
    </xf>
    <xf numFmtId="0" fontId="113" fillId="33" borderId="0" xfId="0" applyFont="1" applyFill="1" applyAlignment="1">
      <alignment horizontal="left" wrapText="1" indent="3"/>
    </xf>
    <xf numFmtId="3" fontId="0" fillId="33" borderId="0" xfId="0" applyNumberFormat="1" applyFont="1" applyFill="1" applyAlignment="1">
      <alignment horizontal="center"/>
    </xf>
    <xf numFmtId="3" fontId="113" fillId="0" borderId="0" xfId="0" applyNumberFormat="1" applyFont="1" applyAlignment="1">
      <alignment horizontal="center"/>
    </xf>
    <xf numFmtId="3" fontId="115" fillId="0" borderId="0" xfId="0" applyNumberFormat="1" applyFont="1" applyAlignment="1">
      <alignment horizontal="center"/>
    </xf>
    <xf numFmtId="3" fontId="115" fillId="0" borderId="0" xfId="0" applyNumberFormat="1" applyFont="1" applyFill="1" applyAlignment="1">
      <alignment horizontal="center"/>
    </xf>
    <xf numFmtId="3" fontId="2" fillId="33" borderId="0" xfId="0" applyNumberFormat="1" applyFont="1" applyFill="1" applyAlignment="1">
      <alignment horizontal="center"/>
    </xf>
    <xf numFmtId="9" fontId="119" fillId="0" borderId="0" xfId="0" applyNumberFormat="1" applyFont="1" applyAlignment="1">
      <alignment horizontal="center"/>
    </xf>
    <xf numFmtId="3" fontId="0" fillId="0" borderId="0" xfId="0" applyNumberFormat="1" applyFont="1" applyAlignment="1">
      <alignment horizontal="center"/>
    </xf>
    <xf numFmtId="0" fontId="0" fillId="0" borderId="0" xfId="0" applyFont="1" applyAlignment="1">
      <alignment horizontal="center"/>
    </xf>
    <xf numFmtId="0" fontId="113" fillId="0" borderId="0" xfId="0" applyFont="1" applyAlignment="1">
      <alignment horizontal="left" indent="5"/>
    </xf>
    <xf numFmtId="0" fontId="3" fillId="0" borderId="12" xfId="0" applyFont="1" applyBorder="1" applyAlignment="1" applyProtection="1">
      <alignment horizontal="left" indent="1"/>
      <protection/>
    </xf>
    <xf numFmtId="0" fontId="3" fillId="0" borderId="12" xfId="0" applyFont="1" applyBorder="1" applyAlignment="1" applyProtection="1">
      <alignment horizontal="left" indent="2"/>
      <protection/>
    </xf>
    <xf numFmtId="0" fontId="112" fillId="0" borderId="12" xfId="0" applyFont="1" applyBorder="1" applyAlignment="1">
      <alignment horizontal="left" indent="3"/>
    </xf>
    <xf numFmtId="0" fontId="0" fillId="0" borderId="12" xfId="0" applyFont="1" applyBorder="1" applyAlignment="1">
      <alignment horizontal="left" indent="1"/>
    </xf>
    <xf numFmtId="0" fontId="3" fillId="0" borderId="12" xfId="0" applyFont="1" applyBorder="1" applyAlignment="1">
      <alignment horizontal="left" indent="2"/>
    </xf>
    <xf numFmtId="0" fontId="0" fillId="0" borderId="12" xfId="0" applyFont="1" applyBorder="1" applyAlignment="1" applyProtection="1">
      <alignment horizontal="left" indent="1"/>
      <protection/>
    </xf>
    <xf numFmtId="0" fontId="9" fillId="0" borderId="0" xfId="0" applyFont="1" applyAlignment="1">
      <alignment horizontal="left"/>
    </xf>
    <xf numFmtId="0" fontId="114" fillId="2" borderId="10" xfId="0" applyFont="1" applyFill="1" applyBorder="1" applyAlignment="1">
      <alignment horizontal="center"/>
    </xf>
    <xf numFmtId="22" fontId="113" fillId="0" borderId="0" xfId="0" applyNumberFormat="1" applyFont="1" applyAlignment="1">
      <alignment/>
    </xf>
    <xf numFmtId="22" fontId="118" fillId="34" borderId="0" xfId="0" applyNumberFormat="1" applyFont="1" applyFill="1" applyAlignment="1">
      <alignment horizontal="left" wrapText="1"/>
    </xf>
    <xf numFmtId="0" fontId="115" fillId="33" borderId="0" xfId="0" applyFont="1" applyFill="1" applyAlignment="1">
      <alignment wrapText="1"/>
    </xf>
    <xf numFmtId="0" fontId="115" fillId="0" borderId="0" xfId="0" applyFont="1" applyAlignment="1">
      <alignment horizontal="left" indent="2"/>
    </xf>
    <xf numFmtId="0" fontId="2" fillId="0" borderId="10" xfId="0" applyFont="1" applyBorder="1" applyAlignment="1">
      <alignment horizontal="center"/>
    </xf>
    <xf numFmtId="0" fontId="113" fillId="35" borderId="11" xfId="0" applyFont="1" applyFill="1" applyBorder="1" applyAlignment="1">
      <alignment/>
    </xf>
    <xf numFmtId="0" fontId="113" fillId="35" borderId="17" xfId="0" applyFont="1" applyFill="1" applyBorder="1" applyAlignment="1">
      <alignment horizontal="center"/>
    </xf>
    <xf numFmtId="0" fontId="113" fillId="35" borderId="18" xfId="0" applyFont="1" applyFill="1" applyBorder="1" applyAlignment="1">
      <alignment horizontal="center"/>
    </xf>
    <xf numFmtId="0" fontId="0" fillId="35" borderId="17" xfId="0" applyFont="1" applyFill="1" applyBorder="1" applyAlignment="1">
      <alignment horizontal="center"/>
    </xf>
    <xf numFmtId="3" fontId="113" fillId="35" borderId="18" xfId="0" applyNumberFormat="1" applyFont="1" applyFill="1" applyBorder="1" applyAlignment="1">
      <alignment horizontal="center"/>
    </xf>
    <xf numFmtId="0" fontId="113" fillId="0" borderId="0" xfId="0" applyFont="1" applyAlignment="1">
      <alignment horizontal="left" vertical="top" wrapText="1"/>
    </xf>
    <xf numFmtId="0" fontId="113" fillId="0" borderId="0" xfId="0" applyFont="1" applyAlignment="1">
      <alignment vertical="top" wrapText="1"/>
    </xf>
    <xf numFmtId="0" fontId="10" fillId="0" borderId="0" xfId="0" applyFont="1" applyAlignment="1">
      <alignment vertical="top"/>
    </xf>
    <xf numFmtId="169" fontId="120" fillId="0" borderId="0" xfId="0" applyNumberFormat="1" applyFont="1" applyAlignment="1">
      <alignment/>
    </xf>
    <xf numFmtId="169" fontId="4" fillId="0" borderId="0" xfId="0" applyNumberFormat="1" applyFont="1" applyAlignment="1">
      <alignment/>
    </xf>
    <xf numFmtId="169" fontId="121" fillId="0" borderId="0" xfId="0" applyNumberFormat="1" applyFont="1" applyFill="1" applyAlignment="1">
      <alignment/>
    </xf>
    <xf numFmtId="169" fontId="4" fillId="0" borderId="0" xfId="0" applyNumberFormat="1" applyFont="1" applyFill="1" applyAlignment="1">
      <alignment/>
    </xf>
    <xf numFmtId="0" fontId="120" fillId="0" borderId="0" xfId="0" applyFont="1" applyAlignment="1">
      <alignment/>
    </xf>
    <xf numFmtId="0" fontId="121" fillId="0" borderId="0" xfId="0" applyFont="1" applyAlignment="1">
      <alignment/>
    </xf>
    <xf numFmtId="169" fontId="118" fillId="36" borderId="19" xfId="0" applyNumberFormat="1" applyFont="1" applyFill="1" applyBorder="1" applyAlignment="1">
      <alignment/>
    </xf>
    <xf numFmtId="0" fontId="118" fillId="36" borderId="20" xfId="0" applyFont="1" applyFill="1" applyBorder="1" applyAlignment="1">
      <alignment/>
    </xf>
    <xf numFmtId="169" fontId="118" fillId="36" borderId="21" xfId="0" applyNumberFormat="1" applyFont="1" applyFill="1" applyBorder="1" applyAlignment="1">
      <alignment/>
    </xf>
    <xf numFmtId="0" fontId="118" fillId="36" borderId="21" xfId="0" applyFont="1" applyFill="1" applyBorder="1" applyAlignment="1">
      <alignment/>
    </xf>
    <xf numFmtId="169" fontId="118" fillId="36" borderId="22" xfId="0" applyNumberFormat="1" applyFont="1" applyFill="1" applyBorder="1" applyAlignment="1">
      <alignment/>
    </xf>
    <xf numFmtId="169" fontId="4" fillId="0" borderId="0" xfId="0" applyNumberFormat="1" applyFont="1" applyFill="1" applyAlignment="1">
      <alignment horizontal="right"/>
    </xf>
    <xf numFmtId="169" fontId="121" fillId="0" borderId="0" xfId="0" applyNumberFormat="1" applyFont="1" applyAlignment="1">
      <alignment/>
    </xf>
    <xf numFmtId="169" fontId="121" fillId="36" borderId="23" xfId="0" applyNumberFormat="1" applyFont="1" applyFill="1" applyBorder="1" applyAlignment="1">
      <alignment/>
    </xf>
    <xf numFmtId="169" fontId="4" fillId="0" borderId="0" xfId="0" applyNumberFormat="1" applyFont="1" applyAlignment="1">
      <alignment horizontal="right"/>
    </xf>
    <xf numFmtId="169" fontId="11" fillId="0" borderId="23" xfId="0" applyNumberFormat="1" applyFont="1" applyBorder="1" applyAlignment="1">
      <alignment horizontal="right"/>
    </xf>
    <xf numFmtId="169" fontId="11" fillId="0" borderId="0" xfId="0" applyNumberFormat="1" applyFont="1" applyFill="1" applyAlignment="1">
      <alignment horizontal="right"/>
    </xf>
    <xf numFmtId="169" fontId="11" fillId="0" borderId="0" xfId="0" applyNumberFormat="1" applyFont="1" applyAlignment="1">
      <alignment horizontal="right"/>
    </xf>
    <xf numFmtId="169" fontId="4" fillId="0" borderId="23" xfId="0" applyNumberFormat="1" applyFont="1" applyBorder="1" applyAlignment="1">
      <alignment/>
    </xf>
    <xf numFmtId="169" fontId="120" fillId="0" borderId="23" xfId="0" applyNumberFormat="1" applyFont="1" applyBorder="1" applyAlignment="1">
      <alignment/>
    </xf>
    <xf numFmtId="169" fontId="121" fillId="0" borderId="23" xfId="0" applyNumberFormat="1" applyFont="1" applyBorder="1" applyAlignment="1">
      <alignment/>
    </xf>
    <xf numFmtId="169" fontId="120" fillId="36" borderId="23" xfId="0" applyNumberFormat="1" applyFont="1" applyFill="1" applyBorder="1" applyAlignment="1">
      <alignment/>
    </xf>
    <xf numFmtId="169" fontId="122" fillId="33" borderId="0" xfId="0" applyNumberFormat="1" applyFont="1" applyFill="1" applyAlignment="1">
      <alignment horizontal="center"/>
    </xf>
    <xf numFmtId="0" fontId="114" fillId="0" borderId="0" xfId="0" applyFont="1" applyAlignment="1">
      <alignment vertical="top"/>
    </xf>
    <xf numFmtId="0" fontId="120" fillId="0" borderId="0" xfId="0" applyFont="1" applyFill="1" applyAlignment="1">
      <alignment/>
    </xf>
    <xf numFmtId="0" fontId="112" fillId="34" borderId="0" xfId="0" applyFont="1" applyFill="1" applyAlignment="1">
      <alignment vertical="top"/>
    </xf>
    <xf numFmtId="166" fontId="115" fillId="0" borderId="0" xfId="0" applyNumberFormat="1" applyFont="1" applyAlignment="1">
      <alignment horizontal="center"/>
    </xf>
    <xf numFmtId="0" fontId="0" fillId="37" borderId="0" xfId="0" applyFill="1" applyAlignment="1">
      <alignment/>
    </xf>
    <xf numFmtId="3" fontId="0" fillId="0" borderId="0" xfId="0" applyNumberFormat="1" applyAlignment="1">
      <alignment/>
    </xf>
    <xf numFmtId="3" fontId="0" fillId="37" borderId="0" xfId="0" applyNumberFormat="1" applyFill="1" applyAlignment="1">
      <alignment/>
    </xf>
    <xf numFmtId="0" fontId="12" fillId="0" borderId="0" xfId="0" applyFont="1" applyAlignment="1">
      <alignment/>
    </xf>
    <xf numFmtId="0" fontId="13" fillId="0" borderId="0" xfId="0" applyFont="1" applyAlignment="1">
      <alignment vertical="top"/>
    </xf>
    <xf numFmtId="3" fontId="0" fillId="37" borderId="0" xfId="0" applyNumberFormat="1" applyFont="1" applyFill="1" applyAlignment="1">
      <alignment/>
    </xf>
    <xf numFmtId="1" fontId="0" fillId="0" borderId="0" xfId="0" applyNumberFormat="1" applyAlignment="1">
      <alignment/>
    </xf>
    <xf numFmtId="0" fontId="123" fillId="0" borderId="0" xfId="0" applyFont="1" applyAlignment="1">
      <alignment/>
    </xf>
    <xf numFmtId="0" fontId="0" fillId="37" borderId="0" xfId="0" applyFont="1" applyFill="1" applyAlignment="1">
      <alignment/>
    </xf>
    <xf numFmtId="3" fontId="3" fillId="0" borderId="0" xfId="0" applyNumberFormat="1" applyFont="1" applyAlignment="1">
      <alignment/>
    </xf>
    <xf numFmtId="0" fontId="4" fillId="0" borderId="0" xfId="0" applyFont="1" applyAlignment="1">
      <alignment/>
    </xf>
    <xf numFmtId="0" fontId="0" fillId="35" borderId="10" xfId="0" applyNumberFormat="1" applyFont="1" applyFill="1" applyBorder="1" applyAlignment="1">
      <alignment horizontal="center"/>
    </xf>
    <xf numFmtId="0" fontId="101" fillId="0" borderId="0" xfId="52" applyFill="1" applyAlignment="1" applyProtection="1">
      <alignment/>
      <protection/>
    </xf>
    <xf numFmtId="0" fontId="124" fillId="0" borderId="0" xfId="52" applyFont="1" applyFill="1" applyAlignment="1" applyProtection="1">
      <alignment/>
      <protection/>
    </xf>
    <xf numFmtId="0" fontId="124" fillId="38" borderId="0" xfId="52" applyFont="1" applyFill="1" applyAlignment="1" applyProtection="1">
      <alignment/>
      <protection/>
    </xf>
    <xf numFmtId="0" fontId="101" fillId="0" borderId="0" xfId="52" applyFill="1" applyAlignment="1" applyProtection="1">
      <alignment/>
      <protection/>
    </xf>
    <xf numFmtId="0" fontId="124" fillId="39" borderId="0" xfId="52" applyFont="1" applyFill="1" applyAlignment="1" applyProtection="1">
      <alignment/>
      <protection/>
    </xf>
    <xf numFmtId="0" fontId="0" fillId="0" borderId="0" xfId="0" applyFill="1" applyAlignment="1" applyProtection="1">
      <alignment/>
      <protection/>
    </xf>
    <xf numFmtId="0" fontId="124" fillId="40" borderId="0" xfId="0" applyFont="1" applyFill="1" applyAlignment="1" applyProtection="1">
      <alignment/>
      <protection/>
    </xf>
    <xf numFmtId="0" fontId="101" fillId="0" borderId="0" xfId="52" applyFill="1" applyAlignment="1" applyProtection="1">
      <alignment/>
      <protection/>
    </xf>
    <xf numFmtId="0" fontId="124" fillId="41" borderId="0" xfId="52" applyFont="1" applyFill="1" applyAlignment="1" applyProtection="1">
      <alignment/>
      <protection/>
    </xf>
    <xf numFmtId="0" fontId="101" fillId="0" borderId="0" xfId="52" applyFill="1" applyAlignment="1" applyProtection="1">
      <alignment/>
      <protection/>
    </xf>
    <xf numFmtId="0" fontId="124" fillId="4" borderId="0" xfId="52" applyFont="1" applyFill="1" applyAlignment="1" applyProtection="1">
      <alignment/>
      <protection/>
    </xf>
    <xf numFmtId="0" fontId="124" fillId="3" borderId="0" xfId="52" applyFont="1" applyFill="1" applyAlignment="1" applyProtection="1">
      <alignment/>
      <protection/>
    </xf>
    <xf numFmtId="0" fontId="124" fillId="2" borderId="0" xfId="52" applyFont="1" applyFill="1" applyAlignment="1" applyProtection="1">
      <alignment/>
      <protection/>
    </xf>
    <xf numFmtId="0" fontId="125" fillId="0" borderId="0" xfId="52" applyFont="1" applyFill="1" applyAlignment="1" applyProtection="1">
      <alignment/>
      <protection/>
    </xf>
    <xf numFmtId="0" fontId="124" fillId="3" borderId="0" xfId="0" applyFont="1" applyFill="1" applyAlignment="1" applyProtection="1">
      <alignment/>
      <protection/>
    </xf>
    <xf numFmtId="0" fontId="124" fillId="4" borderId="0" xfId="0" applyFont="1" applyFill="1" applyAlignment="1" applyProtection="1">
      <alignment/>
      <protection/>
    </xf>
    <xf numFmtId="0" fontId="101" fillId="0" borderId="0" xfId="52" applyFill="1" applyAlignment="1" applyProtection="1">
      <alignment/>
      <protection/>
    </xf>
    <xf numFmtId="0" fontId="101" fillId="0" borderId="0" xfId="52" applyFill="1" applyAlignment="1" applyProtection="1">
      <alignment/>
      <protection/>
    </xf>
    <xf numFmtId="0" fontId="124" fillId="5" borderId="0" xfId="52" applyFont="1" applyFill="1" applyAlignment="1" applyProtection="1">
      <alignment/>
      <protection/>
    </xf>
    <xf numFmtId="0" fontId="124" fillId="5" borderId="0" xfId="0" applyFont="1" applyFill="1" applyAlignment="1" applyProtection="1">
      <alignment/>
      <protection/>
    </xf>
    <xf numFmtId="0" fontId="124" fillId="6" borderId="0" xfId="52" applyFont="1" applyFill="1" applyAlignment="1" applyProtection="1">
      <alignment/>
      <protection/>
    </xf>
    <xf numFmtId="0" fontId="101" fillId="0" borderId="0" xfId="52" applyFill="1" applyAlignment="1" applyProtection="1">
      <alignment/>
      <protection/>
    </xf>
    <xf numFmtId="0" fontId="124" fillId="6" borderId="0" xfId="0" applyFont="1" applyFill="1" applyAlignment="1" applyProtection="1">
      <alignment/>
      <protection/>
    </xf>
    <xf numFmtId="0" fontId="126" fillId="0" borderId="0" xfId="0" applyFont="1" applyAlignment="1">
      <alignment/>
    </xf>
    <xf numFmtId="169" fontId="0" fillId="0" borderId="0" xfId="0" applyNumberFormat="1" applyAlignment="1">
      <alignment/>
    </xf>
    <xf numFmtId="0" fontId="0" fillId="33" borderId="0" xfId="0" applyFont="1" applyFill="1" applyAlignment="1">
      <alignment horizontal="center"/>
    </xf>
    <xf numFmtId="3" fontId="0" fillId="0" borderId="0" xfId="0" applyNumberFormat="1" applyFont="1" applyFill="1" applyAlignment="1">
      <alignment horizontal="center"/>
    </xf>
    <xf numFmtId="0" fontId="120" fillId="0" borderId="0" xfId="0" applyFont="1" applyFill="1" applyAlignment="1">
      <alignment horizontal="right"/>
    </xf>
    <xf numFmtId="0" fontId="127" fillId="0" borderId="0" xfId="0" applyFont="1" applyAlignment="1">
      <alignment/>
    </xf>
    <xf numFmtId="169" fontId="128" fillId="0" borderId="0" xfId="0" applyNumberFormat="1" applyFont="1" applyAlignment="1">
      <alignment/>
    </xf>
    <xf numFmtId="169" fontId="11" fillId="0" borderId="0" xfId="0" applyNumberFormat="1" applyFont="1" applyFill="1" applyBorder="1" applyAlignment="1">
      <alignment horizontal="right"/>
    </xf>
    <xf numFmtId="169" fontId="11" fillId="36" borderId="23" xfId="0" applyNumberFormat="1" applyFont="1" applyFill="1" applyBorder="1" applyAlignment="1">
      <alignment horizontal="right"/>
    </xf>
    <xf numFmtId="169" fontId="11" fillId="36" borderId="24" xfId="0" applyNumberFormat="1" applyFont="1" applyFill="1" applyBorder="1" applyAlignment="1">
      <alignment horizontal="right"/>
    </xf>
    <xf numFmtId="169" fontId="121" fillId="36" borderId="24" xfId="0" applyNumberFormat="1" applyFont="1" applyFill="1" applyBorder="1" applyAlignment="1">
      <alignment/>
    </xf>
    <xf numFmtId="169" fontId="129" fillId="0" borderId="0" xfId="0" applyNumberFormat="1" applyFont="1" applyAlignment="1">
      <alignment/>
    </xf>
    <xf numFmtId="169" fontId="129" fillId="0" borderId="23" xfId="0" applyNumberFormat="1" applyFont="1" applyBorder="1" applyAlignment="1">
      <alignment/>
    </xf>
    <xf numFmtId="169" fontId="120" fillId="0" borderId="0" xfId="0" applyNumberFormat="1" applyFont="1" applyFill="1" applyAlignment="1">
      <alignment/>
    </xf>
    <xf numFmtId="0" fontId="118" fillId="33" borderId="0" xfId="0" applyFont="1" applyFill="1" applyAlignment="1">
      <alignment horizontal="center"/>
    </xf>
    <xf numFmtId="3" fontId="0" fillId="33" borderId="0" xfId="0" applyNumberFormat="1" applyFont="1" applyFill="1" applyAlignment="1">
      <alignment horizontal="center" vertical="center"/>
    </xf>
    <xf numFmtId="0" fontId="130" fillId="34" borderId="0" xfId="0" applyFont="1" applyFill="1" applyAlignment="1">
      <alignment/>
    </xf>
    <xf numFmtId="0" fontId="118" fillId="0" borderId="0" xfId="0" applyFont="1" applyAlignment="1">
      <alignment/>
    </xf>
    <xf numFmtId="0" fontId="124" fillId="0" borderId="0" xfId="0" applyFont="1" applyFill="1" applyAlignment="1" applyProtection="1">
      <alignment/>
      <protection/>
    </xf>
    <xf numFmtId="0" fontId="131" fillId="33" borderId="0" xfId="0" applyFont="1" applyFill="1" applyAlignment="1">
      <alignment horizontal="center"/>
    </xf>
    <xf numFmtId="0" fontId="113" fillId="0" borderId="0" xfId="0" applyFont="1" applyAlignment="1">
      <alignment horizontal="left" indent="2"/>
    </xf>
    <xf numFmtId="9" fontId="118" fillId="34" borderId="0" xfId="0" applyNumberFormat="1" applyFont="1" applyFill="1" applyAlignment="1">
      <alignment horizontal="left"/>
    </xf>
    <xf numFmtId="0" fontId="116" fillId="0" borderId="0" xfId="0" applyFont="1" applyAlignment="1">
      <alignment horizontal="left" vertical="center"/>
    </xf>
    <xf numFmtId="0" fontId="114" fillId="0" borderId="0" xfId="0" applyFont="1" applyFill="1" applyAlignment="1">
      <alignment vertical="top"/>
    </xf>
    <xf numFmtId="3" fontId="2" fillId="0" borderId="0" xfId="0" applyNumberFormat="1" applyFont="1" applyFill="1" applyAlignment="1">
      <alignment horizontal="center" vertical="top"/>
    </xf>
    <xf numFmtId="9" fontId="132" fillId="0" borderId="0" xfId="0" applyNumberFormat="1" applyFont="1" applyFill="1" applyAlignment="1">
      <alignment horizontal="center"/>
    </xf>
    <xf numFmtId="0" fontId="118" fillId="0" borderId="0" xfId="0" applyFont="1" applyAlignment="1">
      <alignment horizontal="center"/>
    </xf>
    <xf numFmtId="0" fontId="115" fillId="33" borderId="0" xfId="0" applyFont="1" applyFill="1" applyAlignment="1">
      <alignment/>
    </xf>
    <xf numFmtId="0" fontId="118" fillId="33" borderId="0" xfId="0" applyFont="1" applyFill="1" applyAlignment="1">
      <alignment/>
    </xf>
    <xf numFmtId="0" fontId="113" fillId="0" borderId="0" xfId="0" applyFont="1" applyAlignment="1">
      <alignment horizontal="left" wrapText="1"/>
    </xf>
    <xf numFmtId="0" fontId="133" fillId="33" borderId="0" xfId="0" applyFont="1" applyFill="1" applyAlignment="1">
      <alignment vertical="top" wrapText="1"/>
    </xf>
    <xf numFmtId="0" fontId="118" fillId="0" borderId="0" xfId="0" applyFont="1" applyAlignment="1">
      <alignment wrapText="1"/>
    </xf>
    <xf numFmtId="0" fontId="134" fillId="33" borderId="0" xfId="0" applyFont="1" applyFill="1" applyAlignment="1">
      <alignment/>
    </xf>
    <xf numFmtId="0" fontId="118" fillId="0" borderId="0" xfId="0" applyFont="1" applyAlignment="1">
      <alignment horizontal="left"/>
    </xf>
    <xf numFmtId="0" fontId="11" fillId="0" borderId="0" xfId="0" applyFont="1" applyAlignment="1">
      <alignment/>
    </xf>
    <xf numFmtId="0" fontId="118" fillId="33" borderId="0" xfId="0" applyFont="1" applyFill="1" applyAlignment="1">
      <alignment wrapText="1"/>
    </xf>
    <xf numFmtId="0" fontId="133" fillId="33" borderId="0" xfId="0" applyFont="1" applyFill="1" applyAlignment="1">
      <alignment/>
    </xf>
    <xf numFmtId="0" fontId="133" fillId="33" borderId="0" xfId="0" applyFont="1" applyFill="1" applyAlignment="1">
      <alignment/>
    </xf>
    <xf numFmtId="3" fontId="115" fillId="33" borderId="0" xfId="0" applyNumberFormat="1" applyFont="1" applyFill="1" applyAlignment="1">
      <alignment horizontal="center" vertical="center"/>
    </xf>
    <xf numFmtId="0" fontId="135" fillId="0" borderId="0" xfId="0" applyFont="1" applyFill="1" applyAlignment="1" applyProtection="1">
      <alignment/>
      <protection/>
    </xf>
    <xf numFmtId="1" fontId="0" fillId="0" borderId="0" xfId="0" applyNumberFormat="1" applyFill="1" applyAlignment="1" applyProtection="1">
      <alignment/>
      <protection/>
    </xf>
    <xf numFmtId="0" fontId="0" fillId="0" borderId="0" xfId="0" applyFill="1" applyAlignment="1" applyProtection="1">
      <alignment wrapText="1"/>
      <protection/>
    </xf>
    <xf numFmtId="3" fontId="0" fillId="33" borderId="0" xfId="0" applyNumberFormat="1" applyFont="1" applyFill="1" applyAlignment="1">
      <alignment horizontal="left"/>
    </xf>
    <xf numFmtId="0" fontId="136" fillId="0" borderId="0" xfId="0" applyFont="1" applyAlignment="1">
      <alignment/>
    </xf>
    <xf numFmtId="3" fontId="120" fillId="0" borderId="0" xfId="0" applyNumberFormat="1" applyFont="1" applyAlignment="1">
      <alignment/>
    </xf>
    <xf numFmtId="0" fontId="137" fillId="0" borderId="0" xfId="0" applyFont="1" applyAlignment="1">
      <alignment/>
    </xf>
    <xf numFmtId="0" fontId="138" fillId="0" borderId="0" xfId="0" applyFont="1" applyAlignment="1">
      <alignment/>
    </xf>
    <xf numFmtId="3" fontId="121" fillId="0" borderId="0" xfId="0" applyNumberFormat="1" applyFont="1" applyAlignment="1">
      <alignment/>
    </xf>
    <xf numFmtId="0" fontId="121" fillId="0" borderId="0" xfId="0" applyFont="1" applyAlignment="1">
      <alignment horizontal="left"/>
    </xf>
    <xf numFmtId="179" fontId="120" fillId="0" borderId="0" xfId="0" applyNumberFormat="1" applyFont="1" applyFill="1" applyAlignment="1">
      <alignment/>
    </xf>
    <xf numFmtId="0" fontId="120" fillId="0" borderId="0" xfId="0" applyFont="1" applyAlignment="1">
      <alignment horizontal="left"/>
    </xf>
    <xf numFmtId="14" fontId="120" fillId="0" borderId="0" xfId="0" applyNumberFormat="1" applyFont="1" applyAlignment="1">
      <alignment/>
    </xf>
    <xf numFmtId="0" fontId="120" fillId="0" borderId="0" xfId="0" applyFont="1" applyAlignment="1">
      <alignment horizontal="center"/>
    </xf>
    <xf numFmtId="0" fontId="126" fillId="0" borderId="0" xfId="0" applyFont="1" applyFill="1" applyAlignment="1">
      <alignment horizontal="center"/>
    </xf>
    <xf numFmtId="0" fontId="14" fillId="34" borderId="23" xfId="0" applyFont="1" applyFill="1" applyBorder="1" applyAlignment="1">
      <alignment/>
    </xf>
    <xf numFmtId="0" fontId="114" fillId="34" borderId="0" xfId="0" applyFont="1" applyFill="1" applyBorder="1" applyAlignment="1">
      <alignment/>
    </xf>
    <xf numFmtId="0" fontId="121" fillId="34" borderId="0" xfId="0" applyFont="1" applyFill="1" applyBorder="1" applyAlignment="1">
      <alignment/>
    </xf>
    <xf numFmtId="3" fontId="11" fillId="41" borderId="23" xfId="0" applyNumberFormat="1" applyFont="1" applyFill="1" applyBorder="1" applyAlignment="1">
      <alignment horizontal="right"/>
    </xf>
    <xf numFmtId="3" fontId="11" fillId="41" borderId="24" xfId="0" applyNumberFormat="1" applyFont="1" applyFill="1" applyBorder="1" applyAlignment="1">
      <alignment horizontal="right"/>
    </xf>
    <xf numFmtId="169" fontId="11" fillId="41" borderId="23" xfId="0" applyNumberFormat="1" applyFont="1" applyFill="1" applyBorder="1" applyAlignment="1">
      <alignment horizontal="right"/>
    </xf>
    <xf numFmtId="169" fontId="11" fillId="41" borderId="24" xfId="0" applyNumberFormat="1" applyFont="1" applyFill="1" applyBorder="1" applyAlignment="1">
      <alignment horizontal="right"/>
    </xf>
    <xf numFmtId="0" fontId="11" fillId="34" borderId="23" xfId="0" applyFont="1" applyFill="1" applyBorder="1" applyAlignment="1">
      <alignment/>
    </xf>
    <xf numFmtId="0" fontId="121" fillId="34" borderId="0" xfId="0" applyFont="1" applyFill="1" applyBorder="1" applyAlignment="1">
      <alignment horizontal="right"/>
    </xf>
    <xf numFmtId="0" fontId="121" fillId="34" borderId="24" xfId="0" applyFont="1" applyFill="1" applyBorder="1" applyAlignment="1">
      <alignment horizontal="right"/>
    </xf>
    <xf numFmtId="169" fontId="11" fillId="34" borderId="23" xfId="0" applyNumberFormat="1" applyFont="1" applyFill="1" applyBorder="1" applyAlignment="1">
      <alignment horizontal="right"/>
    </xf>
    <xf numFmtId="169" fontId="11" fillId="34" borderId="0" xfId="0" applyNumberFormat="1" applyFont="1" applyFill="1" applyBorder="1" applyAlignment="1">
      <alignment horizontal="right"/>
    </xf>
    <xf numFmtId="169" fontId="11" fillId="34" borderId="24" xfId="0" applyNumberFormat="1" applyFont="1" applyFill="1" applyBorder="1" applyAlignment="1">
      <alignment horizontal="right"/>
    </xf>
    <xf numFmtId="169" fontId="11" fillId="36" borderId="23" xfId="0" applyNumberFormat="1" applyFont="1" applyFill="1" applyBorder="1" applyAlignment="1">
      <alignment horizontal="left"/>
    </xf>
    <xf numFmtId="1" fontId="11" fillId="34" borderId="23" xfId="0" applyNumberFormat="1" applyFont="1" applyFill="1" applyBorder="1" applyAlignment="1">
      <alignment horizontal="right"/>
    </xf>
    <xf numFmtId="1" fontId="11" fillId="34" borderId="0" xfId="0" applyNumberFormat="1" applyFont="1" applyFill="1" applyBorder="1" applyAlignment="1">
      <alignment horizontal="right"/>
    </xf>
    <xf numFmtId="1" fontId="11" fillId="34" borderId="24" xfId="0" applyNumberFormat="1" applyFont="1" applyFill="1" applyBorder="1" applyAlignment="1">
      <alignment horizontal="right"/>
    </xf>
    <xf numFmtId="169" fontId="121" fillId="41" borderId="23" xfId="0" applyNumberFormat="1" applyFont="1" applyFill="1" applyBorder="1" applyAlignment="1">
      <alignment/>
    </xf>
    <xf numFmtId="169" fontId="121" fillId="41" borderId="24" xfId="0" applyNumberFormat="1" applyFont="1" applyFill="1" applyBorder="1" applyAlignment="1">
      <alignment/>
    </xf>
    <xf numFmtId="169" fontId="11" fillId="34" borderId="23" xfId="0" applyNumberFormat="1" applyFont="1" applyFill="1" applyBorder="1" applyAlignment="1">
      <alignment/>
    </xf>
    <xf numFmtId="167" fontId="121" fillId="34" borderId="0" xfId="0" applyNumberFormat="1" applyFont="1" applyFill="1" applyBorder="1" applyAlignment="1">
      <alignment/>
    </xf>
    <xf numFmtId="167" fontId="121" fillId="34" borderId="24" xfId="0" applyNumberFormat="1" applyFont="1" applyFill="1" applyBorder="1" applyAlignment="1">
      <alignment/>
    </xf>
    <xf numFmtId="169" fontId="120" fillId="41" borderId="23" xfId="0" applyNumberFormat="1" applyFont="1" applyFill="1" applyBorder="1" applyAlignment="1">
      <alignment/>
    </xf>
    <xf numFmtId="185" fontId="121" fillId="34" borderId="0" xfId="0" applyNumberFormat="1" applyFont="1" applyFill="1" applyBorder="1" applyAlignment="1">
      <alignment/>
    </xf>
    <xf numFmtId="169" fontId="114" fillId="34" borderId="0" xfId="0" applyNumberFormat="1" applyFont="1" applyFill="1" applyBorder="1" applyAlignment="1">
      <alignment/>
    </xf>
    <xf numFmtId="0" fontId="121" fillId="34" borderId="24" xfId="0" applyFont="1" applyFill="1" applyBorder="1" applyAlignment="1">
      <alignment/>
    </xf>
    <xf numFmtId="169" fontId="120" fillId="0" borderId="23" xfId="0" applyNumberFormat="1" applyFont="1" applyFill="1" applyBorder="1" applyAlignment="1">
      <alignment/>
    </xf>
    <xf numFmtId="169" fontId="11" fillId="34" borderId="0" xfId="0" applyNumberFormat="1" applyFont="1" applyFill="1" applyBorder="1" applyAlignment="1">
      <alignment/>
    </xf>
    <xf numFmtId="169" fontId="11" fillId="34" borderId="24" xfId="0" applyNumberFormat="1" applyFont="1" applyFill="1" applyBorder="1" applyAlignment="1">
      <alignment/>
    </xf>
    <xf numFmtId="169" fontId="129" fillId="0" borderId="23" xfId="0" applyNumberFormat="1" applyFont="1" applyFill="1" applyBorder="1" applyAlignment="1">
      <alignment/>
    </xf>
    <xf numFmtId="169" fontId="129" fillId="0" borderId="0" xfId="0" applyNumberFormat="1" applyFont="1" applyFill="1" applyAlignment="1">
      <alignment/>
    </xf>
    <xf numFmtId="3" fontId="118" fillId="0" borderId="0" xfId="0" applyNumberFormat="1" applyFont="1" applyFill="1" applyAlignment="1">
      <alignment horizontal="center" vertical="top"/>
    </xf>
    <xf numFmtId="0" fontId="0" fillId="0" borderId="0" xfId="0" applyFont="1" applyFill="1" applyAlignment="1">
      <alignment/>
    </xf>
    <xf numFmtId="0" fontId="3" fillId="33" borderId="0" xfId="0" applyFont="1" applyFill="1" applyAlignment="1">
      <alignment vertical="top" wrapText="1"/>
    </xf>
    <xf numFmtId="167" fontId="113" fillId="0" borderId="0" xfId="0" applyNumberFormat="1" applyFont="1" applyAlignment="1">
      <alignment/>
    </xf>
    <xf numFmtId="0" fontId="2" fillId="33" borderId="0" xfId="0" applyFont="1" applyFill="1" applyAlignment="1">
      <alignment wrapText="1"/>
    </xf>
    <xf numFmtId="0" fontId="3" fillId="33" borderId="0" xfId="0" applyFont="1" applyFill="1" applyAlignment="1">
      <alignment wrapText="1"/>
    </xf>
    <xf numFmtId="0" fontId="3" fillId="33" borderId="0" xfId="0" applyFont="1" applyFill="1" applyBorder="1" applyAlignment="1">
      <alignment vertical="center"/>
    </xf>
    <xf numFmtId="3" fontId="118" fillId="33" borderId="18" xfId="0" applyNumberFormat="1" applyFont="1" applyFill="1" applyBorder="1" applyAlignment="1">
      <alignment horizontal="center"/>
    </xf>
    <xf numFmtId="0" fontId="113" fillId="0" borderId="0" xfId="0" applyFont="1" applyFill="1" applyAlignment="1">
      <alignment horizontal="left" indent="3"/>
    </xf>
    <xf numFmtId="0" fontId="139" fillId="0" borderId="25" xfId="0" applyFont="1" applyBorder="1" applyAlignment="1">
      <alignment horizontal="center"/>
    </xf>
    <xf numFmtId="0" fontId="2" fillId="0" borderId="11" xfId="0" applyFont="1" applyBorder="1" applyAlignment="1">
      <alignment horizontal="center"/>
    </xf>
    <xf numFmtId="0" fontId="3" fillId="33" borderId="0" xfId="0" applyFont="1" applyFill="1" applyAlignment="1">
      <alignment vertical="top" wrapText="1"/>
    </xf>
    <xf numFmtId="0" fontId="16" fillId="0" borderId="0" xfId="0" applyFont="1" applyAlignment="1">
      <alignment/>
    </xf>
    <xf numFmtId="179" fontId="0" fillId="0" borderId="0" xfId="0" applyNumberFormat="1" applyAlignment="1">
      <alignment/>
    </xf>
    <xf numFmtId="173" fontId="119" fillId="0" borderId="0" xfId="0" applyNumberFormat="1" applyFont="1" applyFill="1" applyAlignment="1">
      <alignment horizontal="center" vertical="top"/>
    </xf>
    <xf numFmtId="0" fontId="95" fillId="0" borderId="0" xfId="45" applyAlignment="1">
      <alignment/>
    </xf>
    <xf numFmtId="0" fontId="16" fillId="34" borderId="0" xfId="0" applyFont="1" applyFill="1" applyAlignment="1">
      <alignment/>
    </xf>
    <xf numFmtId="22" fontId="17" fillId="0" borderId="0" xfId="0" applyNumberFormat="1" applyFont="1" applyFill="1" applyAlignment="1">
      <alignment horizontal="left"/>
    </xf>
    <xf numFmtId="0" fontId="3" fillId="34" borderId="0" xfId="0" applyFont="1" applyFill="1" applyAlignment="1">
      <alignment/>
    </xf>
    <xf numFmtId="0" fontId="18" fillId="33" borderId="0" xfId="0" applyFont="1" applyFill="1" applyAlignment="1">
      <alignment/>
    </xf>
    <xf numFmtId="0" fontId="2" fillId="33" borderId="0" xfId="0" applyFont="1" applyFill="1" applyAlignment="1">
      <alignment horizontal="center"/>
    </xf>
    <xf numFmtId="0" fontId="8" fillId="33" borderId="0" xfId="0" applyFont="1" applyFill="1" applyAlignment="1">
      <alignment horizontal="center"/>
    </xf>
    <xf numFmtId="0" fontId="0" fillId="33" borderId="0" xfId="0" applyFont="1" applyFill="1" applyAlignment="1">
      <alignment/>
    </xf>
    <xf numFmtId="0" fontId="3" fillId="34" borderId="0" xfId="0" applyFont="1" applyFill="1" applyAlignment="1">
      <alignment vertical="top" wrapText="1"/>
    </xf>
    <xf numFmtId="0" fontId="3" fillId="33" borderId="0" xfId="0" applyFont="1" applyFill="1" applyBorder="1" applyAlignment="1">
      <alignment vertical="top"/>
    </xf>
    <xf numFmtId="0" fontId="2" fillId="33" borderId="0" xfId="0" applyFont="1" applyFill="1" applyAlignment="1">
      <alignment/>
    </xf>
    <xf numFmtId="0" fontId="16" fillId="33" borderId="0" xfId="0" applyFont="1" applyFill="1" applyAlignment="1">
      <alignment/>
    </xf>
    <xf numFmtId="3" fontId="0" fillId="33" borderId="0" xfId="0" applyNumberFormat="1" applyFont="1" applyFill="1" applyAlignment="1">
      <alignment/>
    </xf>
    <xf numFmtId="0" fontId="16" fillId="0" borderId="0" xfId="0" applyFont="1" applyAlignment="1" applyProtection="1">
      <alignment horizontal="left"/>
      <protection/>
    </xf>
    <xf numFmtId="0" fontId="19" fillId="0" borderId="0" xfId="0" applyFont="1" applyAlignment="1">
      <alignment/>
    </xf>
    <xf numFmtId="0" fontId="18" fillId="0" borderId="0" xfId="0" applyFont="1" applyFill="1" applyAlignment="1">
      <alignment/>
    </xf>
    <xf numFmtId="0" fontId="9" fillId="0" borderId="0" xfId="0" applyFont="1" applyAlignment="1" applyProtection="1">
      <alignment horizontal="left"/>
      <protection/>
    </xf>
    <xf numFmtId="1" fontId="140" fillId="0" borderId="0" xfId="0" applyNumberFormat="1" applyFont="1" applyFill="1" applyBorder="1" applyAlignment="1">
      <alignment horizontal="right" vertical="center"/>
    </xf>
    <xf numFmtId="1" fontId="141" fillId="0" borderId="0" xfId="0" applyNumberFormat="1" applyFont="1" applyFill="1" applyBorder="1" applyAlignment="1" applyProtection="1">
      <alignment/>
      <protection/>
    </xf>
    <xf numFmtId="0" fontId="141" fillId="0" borderId="0" xfId="0" applyFont="1" applyFill="1" applyBorder="1" applyAlignment="1" applyProtection="1">
      <alignment/>
      <protection/>
    </xf>
    <xf numFmtId="0" fontId="142" fillId="0" borderId="0" xfId="0" applyFont="1" applyFill="1" applyAlignment="1">
      <alignment/>
    </xf>
    <xf numFmtId="0" fontId="143" fillId="0" borderId="0" xfId="0" applyFont="1" applyFill="1" applyBorder="1" applyAlignment="1">
      <alignment horizontal="center"/>
    </xf>
    <xf numFmtId="1" fontId="142" fillId="0" borderId="0" xfId="0" applyNumberFormat="1" applyFont="1" applyFill="1" applyAlignment="1">
      <alignment/>
    </xf>
    <xf numFmtId="1" fontId="142" fillId="0" borderId="0" xfId="0" applyNumberFormat="1" applyFont="1" applyFill="1" applyBorder="1" applyAlignment="1">
      <alignment/>
    </xf>
    <xf numFmtId="0" fontId="144" fillId="0" borderId="0" xfId="0" applyFont="1" applyFill="1" applyBorder="1" applyAlignment="1">
      <alignment horizontal="center"/>
    </xf>
    <xf numFmtId="0" fontId="143" fillId="0" borderId="0" xfId="0" applyFont="1" applyFill="1" applyBorder="1" applyAlignment="1">
      <alignment/>
    </xf>
    <xf numFmtId="174" fontId="92" fillId="0" borderId="0" xfId="34" applyNumberFormat="1" applyFont="1" applyFill="1" applyBorder="1" applyAlignment="1">
      <alignment horizontal="center"/>
    </xf>
    <xf numFmtId="0" fontId="92" fillId="0" borderId="0" xfId="34" applyFont="1" applyFill="1" applyBorder="1" applyAlignment="1">
      <alignment horizontal="center"/>
    </xf>
    <xf numFmtId="0" fontId="92" fillId="0" borderId="0" xfId="35" applyFont="1" applyFill="1" applyBorder="1" applyAlignment="1">
      <alignment horizontal="center"/>
    </xf>
    <xf numFmtId="0" fontId="92" fillId="0" borderId="0" xfId="40" applyFont="1" applyFill="1" applyBorder="1" applyAlignment="1" quotePrefix="1">
      <alignment horizontal="center"/>
    </xf>
    <xf numFmtId="0" fontId="145" fillId="0" borderId="0" xfId="0" applyFont="1" applyFill="1" applyAlignment="1">
      <alignment/>
    </xf>
    <xf numFmtId="3" fontId="141" fillId="0" borderId="0" xfId="0" applyNumberFormat="1" applyFont="1" applyFill="1" applyBorder="1" applyAlignment="1" applyProtection="1">
      <alignment horizontal="center"/>
      <protection/>
    </xf>
    <xf numFmtId="1" fontId="140" fillId="0" borderId="0" xfId="0" applyNumberFormat="1" applyFont="1" applyFill="1" applyBorder="1" applyAlignment="1">
      <alignment horizontal="right"/>
    </xf>
    <xf numFmtId="0" fontId="3" fillId="33" borderId="0" xfId="0" applyFont="1" applyFill="1" applyAlignment="1">
      <alignment vertical="top" wrapText="1"/>
    </xf>
    <xf numFmtId="169" fontId="118" fillId="36" borderId="26" xfId="0" applyNumberFormat="1" applyFont="1" applyFill="1" applyBorder="1" applyAlignment="1">
      <alignment/>
    </xf>
    <xf numFmtId="0" fontId="118" fillId="36" borderId="26" xfId="0" applyFont="1" applyFill="1" applyBorder="1" applyAlignment="1">
      <alignment/>
    </xf>
    <xf numFmtId="169" fontId="118" fillId="36" borderId="27" xfId="0" applyNumberFormat="1" applyFont="1" applyFill="1" applyBorder="1" applyAlignment="1">
      <alignment/>
    </xf>
    <xf numFmtId="0" fontId="146" fillId="36" borderId="19" xfId="0" applyFont="1" applyFill="1" applyBorder="1" applyAlignment="1">
      <alignment/>
    </xf>
    <xf numFmtId="169" fontId="133" fillId="36" borderId="26" xfId="0" applyNumberFormat="1" applyFont="1" applyFill="1" applyBorder="1" applyAlignment="1">
      <alignment/>
    </xf>
    <xf numFmtId="169" fontId="133" fillId="36" borderId="27" xfId="0" applyNumberFormat="1" applyFont="1" applyFill="1" applyBorder="1" applyAlignment="1">
      <alignment/>
    </xf>
    <xf numFmtId="0" fontId="146" fillId="36" borderId="20" xfId="0" applyFont="1" applyFill="1" applyBorder="1" applyAlignment="1">
      <alignment/>
    </xf>
    <xf numFmtId="169" fontId="115" fillId="36" borderId="21" xfId="0" applyNumberFormat="1" applyFont="1" applyFill="1" applyBorder="1" applyAlignment="1">
      <alignment/>
    </xf>
    <xf numFmtId="169" fontId="115" fillId="36" borderId="22" xfId="0" applyNumberFormat="1" applyFont="1" applyFill="1" applyBorder="1" applyAlignment="1">
      <alignment/>
    </xf>
    <xf numFmtId="169" fontId="121" fillId="0" borderId="0" xfId="0" applyNumberFormat="1" applyFont="1" applyBorder="1" applyAlignment="1">
      <alignment/>
    </xf>
    <xf numFmtId="0" fontId="0" fillId="42" borderId="0" xfId="0" applyFill="1" applyAlignment="1">
      <alignment/>
    </xf>
    <xf numFmtId="0" fontId="0" fillId="0" borderId="0" xfId="0" applyAlignment="1">
      <alignment horizontal="left"/>
    </xf>
    <xf numFmtId="169" fontId="11" fillId="0" borderId="0" xfId="0" applyNumberFormat="1" applyFont="1" applyFill="1" applyBorder="1" applyAlignment="1">
      <alignment horizontal="left"/>
    </xf>
    <xf numFmtId="6" fontId="11" fillId="0" borderId="0" xfId="0" applyNumberFormat="1" applyFont="1" applyFill="1" applyBorder="1" applyAlignment="1">
      <alignment horizontal="left"/>
    </xf>
    <xf numFmtId="3" fontId="118" fillId="33" borderId="0" xfId="0" applyNumberFormat="1" applyFont="1" applyFill="1" applyAlignment="1">
      <alignment horizontal="center" vertical="top"/>
    </xf>
    <xf numFmtId="3" fontId="118" fillId="33" borderId="0" xfId="0" applyNumberFormat="1" applyFont="1" applyFill="1" applyAlignment="1">
      <alignment horizontal="center"/>
    </xf>
    <xf numFmtId="3" fontId="115" fillId="0" borderId="0" xfId="0" applyNumberFormat="1" applyFont="1" applyAlignment="1">
      <alignment/>
    </xf>
    <xf numFmtId="3" fontId="8" fillId="0" borderId="0" xfId="0" applyNumberFormat="1" applyFont="1" applyFill="1" applyAlignment="1">
      <alignment horizontal="center" vertical="top"/>
    </xf>
    <xf numFmtId="0" fontId="113" fillId="0" borderId="0" xfId="0" applyFont="1" applyAlignment="1">
      <alignment horizontal="left" vertical="top" indent="2"/>
    </xf>
    <xf numFmtId="3" fontId="115" fillId="0" borderId="0" xfId="0" applyNumberFormat="1" applyFont="1" applyAlignment="1" quotePrefix="1">
      <alignment/>
    </xf>
    <xf numFmtId="1" fontId="113" fillId="0" borderId="0" xfId="0" applyNumberFormat="1" applyFont="1" applyAlignment="1">
      <alignment horizontal="center"/>
    </xf>
    <xf numFmtId="1" fontId="140" fillId="0" borderId="24" xfId="0" applyNumberFormat="1" applyFont="1" applyFill="1" applyBorder="1" applyAlignment="1">
      <alignment horizontal="right" vertical="center"/>
    </xf>
    <xf numFmtId="0" fontId="143" fillId="0" borderId="0" xfId="0" applyFont="1" applyFill="1" applyAlignment="1">
      <alignment/>
    </xf>
    <xf numFmtId="174" fontId="142" fillId="0" borderId="21" xfId="0" applyNumberFormat="1" applyFont="1" applyFill="1" applyBorder="1" applyAlignment="1" quotePrefix="1">
      <alignment/>
    </xf>
    <xf numFmtId="174" fontId="142" fillId="0" borderId="21" xfId="0" applyNumberFormat="1" applyFont="1" applyFill="1" applyBorder="1" applyAlignment="1">
      <alignment/>
    </xf>
    <xf numFmtId="0" fontId="92" fillId="0" borderId="0" xfId="34" applyFont="1" applyFill="1" applyAlignment="1">
      <alignment horizontal="center"/>
    </xf>
    <xf numFmtId="0" fontId="92" fillId="0" borderId="0" xfId="34" applyFont="1" applyFill="1" applyAlignment="1">
      <alignment horizontal="left"/>
    </xf>
    <xf numFmtId="1" fontId="141" fillId="0" borderId="0" xfId="0" applyNumberFormat="1" applyFont="1" applyFill="1" applyAlignment="1" applyProtection="1">
      <alignment/>
      <protection/>
    </xf>
    <xf numFmtId="3" fontId="141" fillId="0" borderId="0" xfId="0" applyNumberFormat="1" applyFont="1" applyFill="1" applyAlignment="1" applyProtection="1">
      <alignment horizontal="center"/>
      <protection/>
    </xf>
    <xf numFmtId="0" fontId="141" fillId="0" borderId="0" xfId="0" applyFont="1" applyFill="1" applyBorder="1" applyAlignment="1" applyProtection="1" quotePrefix="1">
      <alignment/>
      <protection/>
    </xf>
    <xf numFmtId="1" fontId="141" fillId="0" borderId="0" xfId="0" applyNumberFormat="1" applyFont="1" applyFill="1" applyAlignment="1" applyProtection="1">
      <alignment horizontal="left"/>
      <protection/>
    </xf>
    <xf numFmtId="1" fontId="141" fillId="0" borderId="0" xfId="0" applyNumberFormat="1" applyFont="1" applyFill="1" applyBorder="1" applyAlignment="1" applyProtection="1">
      <alignment horizontal="center"/>
      <protection/>
    </xf>
    <xf numFmtId="175" fontId="141" fillId="0" borderId="0" xfId="0" applyNumberFormat="1" applyFont="1" applyFill="1" applyBorder="1" applyAlignment="1" applyProtection="1" quotePrefix="1">
      <alignment/>
      <protection/>
    </xf>
    <xf numFmtId="175" fontId="141" fillId="0" borderId="0" xfId="0" applyNumberFormat="1" applyFont="1" applyFill="1" applyBorder="1" applyAlignment="1" applyProtection="1">
      <alignment/>
      <protection/>
    </xf>
    <xf numFmtId="0" fontId="8" fillId="0" borderId="0" xfId="0" applyFont="1" applyAlignment="1">
      <alignment/>
    </xf>
    <xf numFmtId="0" fontId="7" fillId="0" borderId="0" xfId="0" applyFont="1" applyAlignment="1">
      <alignment/>
    </xf>
    <xf numFmtId="0" fontId="21" fillId="0" borderId="0" xfId="0" applyFont="1" applyAlignment="1">
      <alignment/>
    </xf>
    <xf numFmtId="0" fontId="0" fillId="0" borderId="0" xfId="0" applyFill="1" applyAlignment="1">
      <alignment/>
    </xf>
    <xf numFmtId="0" fontId="22" fillId="0" borderId="0" xfId="0" applyFont="1" applyAlignment="1">
      <alignment/>
    </xf>
    <xf numFmtId="0" fontId="23" fillId="0" borderId="0" xfId="0" applyFont="1" applyAlignment="1">
      <alignment/>
    </xf>
    <xf numFmtId="0" fontId="3" fillId="33" borderId="0" xfId="0" applyFont="1" applyFill="1" applyAlignment="1">
      <alignment vertical="top" wrapText="1"/>
    </xf>
    <xf numFmtId="3" fontId="115" fillId="33" borderId="10" xfId="0" applyNumberFormat="1" applyFont="1" applyFill="1" applyBorder="1" applyAlignment="1">
      <alignment horizontal="center"/>
    </xf>
    <xf numFmtId="3" fontId="115" fillId="33" borderId="18" xfId="0" applyNumberFormat="1" applyFont="1" applyFill="1" applyBorder="1" applyAlignment="1">
      <alignment horizontal="center"/>
    </xf>
    <xf numFmtId="0" fontId="115" fillId="35" borderId="11" xfId="0" applyFont="1" applyFill="1" applyBorder="1" applyAlignment="1">
      <alignment horizontal="center"/>
    </xf>
    <xf numFmtId="3" fontId="115" fillId="33" borderId="17" xfId="0" applyNumberFormat="1" applyFont="1" applyFill="1" applyBorder="1" applyAlignment="1">
      <alignment horizontal="center"/>
    </xf>
    <xf numFmtId="0" fontId="115" fillId="0" borderId="0" xfId="0" applyFont="1" applyAlignment="1">
      <alignment horizontal="center"/>
    </xf>
    <xf numFmtId="0" fontId="115" fillId="34" borderId="28" xfId="0" applyFont="1" applyFill="1" applyBorder="1" applyAlignment="1">
      <alignment horizontal="center"/>
    </xf>
    <xf numFmtId="0" fontId="115" fillId="35" borderId="26" xfId="0" applyFont="1" applyFill="1" applyBorder="1" applyAlignment="1">
      <alignment horizontal="center"/>
    </xf>
    <xf numFmtId="0" fontId="115" fillId="35" borderId="0" xfId="0" applyFont="1" applyFill="1" applyBorder="1" applyAlignment="1">
      <alignment horizontal="center"/>
    </xf>
    <xf numFmtId="0" fontId="115" fillId="35" borderId="21" xfId="0" applyFont="1" applyFill="1" applyBorder="1" applyAlignment="1">
      <alignment horizontal="center"/>
    </xf>
    <xf numFmtId="3" fontId="118" fillId="33" borderId="17" xfId="0" applyNumberFormat="1" applyFont="1" applyFill="1" applyBorder="1" applyAlignment="1">
      <alignment horizontal="center"/>
    </xf>
    <xf numFmtId="3" fontId="118" fillId="0" borderId="0" xfId="0" applyNumberFormat="1" applyFont="1" applyFill="1" applyBorder="1" applyAlignment="1">
      <alignment horizontal="center"/>
    </xf>
    <xf numFmtId="3" fontId="118" fillId="33" borderId="10" xfId="0" applyNumberFormat="1" applyFont="1" applyFill="1" applyBorder="1" applyAlignment="1">
      <alignment horizontal="center"/>
    </xf>
    <xf numFmtId="0" fontId="115" fillId="35" borderId="28" xfId="0" applyFont="1" applyFill="1" applyBorder="1" applyAlignment="1">
      <alignment horizontal="center"/>
    </xf>
    <xf numFmtId="3" fontId="118" fillId="0" borderId="0" xfId="0" applyNumberFormat="1" applyFont="1" applyFill="1" applyAlignment="1">
      <alignment horizontal="center"/>
    </xf>
    <xf numFmtId="0" fontId="118" fillId="0" borderId="0" xfId="0" applyFont="1" applyFill="1" applyAlignment="1">
      <alignment/>
    </xf>
    <xf numFmtId="0" fontId="115" fillId="0" borderId="0" xfId="0" applyFont="1" applyFill="1" applyAlignment="1">
      <alignment/>
    </xf>
    <xf numFmtId="166" fontId="118" fillId="37" borderId="0" xfId="0" applyNumberFormat="1" applyFont="1" applyFill="1" applyAlignment="1">
      <alignment horizontal="center"/>
    </xf>
    <xf numFmtId="0" fontId="147" fillId="0" borderId="0" xfId="0" applyFont="1" applyAlignment="1">
      <alignment/>
    </xf>
    <xf numFmtId="3" fontId="147" fillId="0" borderId="0" xfId="0" applyNumberFormat="1" applyFont="1" applyAlignment="1">
      <alignment/>
    </xf>
    <xf numFmtId="3" fontId="118" fillId="0" borderId="25" xfId="0" applyNumberFormat="1" applyFont="1" applyBorder="1" applyAlignment="1" applyProtection="1">
      <alignment horizontal="center"/>
      <protection/>
    </xf>
    <xf numFmtId="3" fontId="118" fillId="0" borderId="29" xfId="0" applyNumberFormat="1" applyFont="1" applyBorder="1" applyAlignment="1" applyProtection="1">
      <alignment horizontal="center"/>
      <protection/>
    </xf>
    <xf numFmtId="3" fontId="118" fillId="0" borderId="30" xfId="0" applyNumberFormat="1" applyFont="1" applyBorder="1" applyAlignment="1" applyProtection="1">
      <alignment horizontal="center"/>
      <protection/>
    </xf>
    <xf numFmtId="3" fontId="115" fillId="0" borderId="29" xfId="0" applyNumberFormat="1" applyFont="1" applyBorder="1" applyAlignment="1" applyProtection="1">
      <alignment horizontal="center"/>
      <protection/>
    </xf>
    <xf numFmtId="168" fontId="115" fillId="35" borderId="10" xfId="0" applyNumberFormat="1" applyFont="1" applyFill="1" applyBorder="1" applyAlignment="1" applyProtection="1">
      <alignment/>
      <protection/>
    </xf>
    <xf numFmtId="3" fontId="115" fillId="0" borderId="18" xfId="0" applyNumberFormat="1" applyFont="1" applyBorder="1" applyAlignment="1">
      <alignment horizontal="center"/>
    </xf>
    <xf numFmtId="168" fontId="115" fillId="35" borderId="18" xfId="0" applyNumberFormat="1" applyFont="1" applyFill="1" applyBorder="1" applyAlignment="1" applyProtection="1">
      <alignment/>
      <protection/>
    </xf>
    <xf numFmtId="168" fontId="115" fillId="35" borderId="17" xfId="0" applyNumberFormat="1" applyFont="1" applyFill="1" applyBorder="1" applyAlignment="1" applyProtection="1">
      <alignment/>
      <protection/>
    </xf>
    <xf numFmtId="0" fontId="115" fillId="0" borderId="24" xfId="0" applyFont="1" applyBorder="1" applyAlignment="1">
      <alignment horizontal="center"/>
    </xf>
    <xf numFmtId="168" fontId="115" fillId="0" borderId="0" xfId="0" applyNumberFormat="1" applyFont="1" applyAlignment="1" applyProtection="1">
      <alignment/>
      <protection/>
    </xf>
    <xf numFmtId="0" fontId="115" fillId="0" borderId="18" xfId="0" applyFont="1" applyBorder="1" applyAlignment="1">
      <alignment/>
    </xf>
    <xf numFmtId="0" fontId="115" fillId="0" borderId="24" xfId="0" applyFont="1" applyBorder="1" applyAlignment="1">
      <alignment/>
    </xf>
    <xf numFmtId="0" fontId="115" fillId="35" borderId="10" xfId="0" applyFont="1" applyFill="1" applyBorder="1" applyAlignment="1">
      <alignment/>
    </xf>
    <xf numFmtId="0" fontId="115" fillId="35" borderId="18" xfId="0" applyFont="1" applyFill="1" applyBorder="1" applyAlignment="1">
      <alignment/>
    </xf>
    <xf numFmtId="0" fontId="115" fillId="35" borderId="17" xfId="0" applyFont="1" applyFill="1" applyBorder="1" applyAlignment="1">
      <alignment/>
    </xf>
    <xf numFmtId="0" fontId="118" fillId="35" borderId="18" xfId="0" applyFont="1" applyFill="1" applyBorder="1" applyAlignment="1">
      <alignment/>
    </xf>
    <xf numFmtId="0" fontId="115" fillId="0" borderId="17" xfId="0" applyFont="1" applyFill="1" applyBorder="1" applyAlignment="1">
      <alignment/>
    </xf>
    <xf numFmtId="0" fontId="133" fillId="0" borderId="0" xfId="0" applyFont="1" applyAlignment="1">
      <alignment/>
    </xf>
    <xf numFmtId="3" fontId="115" fillId="0" borderId="24" xfId="0" applyNumberFormat="1" applyFont="1" applyBorder="1" applyAlignment="1">
      <alignment horizontal="center"/>
    </xf>
    <xf numFmtId="0" fontId="115" fillId="35" borderId="0" xfId="0" applyFont="1" applyFill="1" applyAlignment="1">
      <alignment/>
    </xf>
    <xf numFmtId="0" fontId="115" fillId="35" borderId="11" xfId="0" applyFont="1" applyFill="1" applyBorder="1" applyAlignment="1">
      <alignment/>
    </xf>
    <xf numFmtId="3" fontId="118" fillId="0" borderId="24" xfId="0" applyNumberFormat="1" applyFont="1" applyBorder="1" applyAlignment="1">
      <alignment horizontal="center"/>
    </xf>
    <xf numFmtId="167" fontId="118" fillId="0" borderId="24" xfId="0" applyNumberFormat="1" applyFont="1" applyBorder="1" applyAlignment="1">
      <alignment horizontal="center"/>
    </xf>
    <xf numFmtId="1" fontId="118" fillId="0" borderId="31" xfId="0" applyNumberFormat="1" applyFont="1" applyBorder="1" applyAlignment="1">
      <alignment horizontal="center"/>
    </xf>
    <xf numFmtId="3" fontId="115" fillId="0" borderId="29" xfId="0" applyNumberFormat="1" applyFont="1" applyBorder="1" applyAlignment="1">
      <alignment/>
    </xf>
    <xf numFmtId="0" fontId="115" fillId="0" borderId="18" xfId="0" applyFont="1" applyBorder="1" applyAlignment="1">
      <alignment horizontal="center"/>
    </xf>
    <xf numFmtId="167" fontId="118" fillId="2" borderId="32" xfId="0" applyNumberFormat="1" applyFont="1" applyFill="1" applyBorder="1" applyAlignment="1">
      <alignment horizontal="center"/>
    </xf>
    <xf numFmtId="167" fontId="118" fillId="2" borderId="33" xfId="0" applyNumberFormat="1" applyFont="1" applyFill="1" applyBorder="1" applyAlignment="1">
      <alignment horizontal="center"/>
    </xf>
    <xf numFmtId="169" fontId="4" fillId="0" borderId="23" xfId="0" applyNumberFormat="1" applyFont="1" applyBorder="1" applyAlignment="1">
      <alignment horizontal="right"/>
    </xf>
    <xf numFmtId="169" fontId="11" fillId="0" borderId="0" xfId="0" applyNumberFormat="1" applyFont="1" applyFill="1" applyAlignment="1">
      <alignment horizontal="left"/>
    </xf>
    <xf numFmtId="169" fontId="4" fillId="0" borderId="0" xfId="0" applyNumberFormat="1" applyFont="1" applyFill="1" applyAlignment="1">
      <alignment horizontal="left"/>
    </xf>
    <xf numFmtId="169" fontId="11" fillId="0" borderId="23" xfId="0" applyNumberFormat="1" applyFont="1" applyFill="1" applyBorder="1" applyAlignment="1">
      <alignment/>
    </xf>
    <xf numFmtId="169" fontId="11" fillId="0" borderId="0" xfId="0" applyNumberFormat="1" applyFont="1" applyFill="1" applyBorder="1" applyAlignment="1">
      <alignment/>
    </xf>
    <xf numFmtId="169" fontId="11" fillId="0" borderId="24" xfId="0" applyNumberFormat="1" applyFont="1" applyFill="1" applyBorder="1" applyAlignment="1">
      <alignment/>
    </xf>
    <xf numFmtId="169" fontId="128" fillId="0" borderId="0" xfId="0" applyNumberFormat="1" applyFont="1" applyFill="1" applyAlignment="1">
      <alignment/>
    </xf>
    <xf numFmtId="0" fontId="120" fillId="0" borderId="0" xfId="0" applyFont="1" applyFill="1" applyAlignment="1">
      <alignment horizontal="left"/>
    </xf>
    <xf numFmtId="0" fontId="120" fillId="34" borderId="24" xfId="0" applyFont="1" applyFill="1" applyBorder="1" applyAlignment="1">
      <alignment horizontal="right"/>
    </xf>
    <xf numFmtId="3" fontId="2" fillId="33" borderId="0" xfId="0" applyNumberFormat="1" applyFont="1" applyFill="1" applyAlignment="1">
      <alignment horizontal="center" vertical="top"/>
    </xf>
    <xf numFmtId="0" fontId="3" fillId="33" borderId="0" xfId="0" applyFont="1" applyFill="1" applyAlignment="1">
      <alignment vertical="top" wrapText="1"/>
    </xf>
    <xf numFmtId="0" fontId="3" fillId="33" borderId="0" xfId="0" applyFont="1" applyFill="1" applyBorder="1" applyAlignment="1">
      <alignment vertical="top" wrapText="1"/>
    </xf>
    <xf numFmtId="0" fontId="0" fillId="0" borderId="0" xfId="0" applyFont="1" applyAlignment="1">
      <alignment vertical="top"/>
    </xf>
    <xf numFmtId="169" fontId="11" fillId="0" borderId="0" xfId="0" applyNumberFormat="1" applyFont="1" applyFill="1" applyBorder="1" applyAlignment="1" quotePrefix="1">
      <alignment horizontal="left"/>
    </xf>
    <xf numFmtId="3" fontId="0" fillId="0" borderId="0" xfId="0" applyNumberFormat="1" applyFill="1" applyAlignment="1">
      <alignment/>
    </xf>
    <xf numFmtId="3" fontId="0" fillId="0" borderId="0" xfId="0" applyNumberFormat="1" applyFont="1" applyAlignment="1">
      <alignment horizontal="right"/>
    </xf>
    <xf numFmtId="3" fontId="7" fillId="0" borderId="0" xfId="0" applyNumberFormat="1" applyFont="1" applyAlignment="1">
      <alignment/>
    </xf>
    <xf numFmtId="3" fontId="2" fillId="33" borderId="0" xfId="0" applyNumberFormat="1" applyFont="1" applyFill="1" applyAlignment="1">
      <alignment horizontal="center" vertical="center"/>
    </xf>
    <xf numFmtId="3" fontId="0" fillId="33" borderId="0" xfId="0" applyNumberFormat="1" applyFont="1" applyFill="1" applyAlignment="1">
      <alignment horizontal="center" vertical="top"/>
    </xf>
    <xf numFmtId="0" fontId="113" fillId="0" borderId="0" xfId="0" applyFont="1" applyAlignment="1">
      <alignment horizontal="left" indent="1"/>
    </xf>
    <xf numFmtId="0" fontId="113" fillId="0" borderId="0" xfId="0" applyFont="1" applyAlignment="1">
      <alignment horizontal="left" vertical="center" indent="1"/>
    </xf>
    <xf numFmtId="0" fontId="113" fillId="0" borderId="0" xfId="0" applyFont="1" applyAlignment="1">
      <alignment horizontal="left" wrapText="1" indent="1"/>
    </xf>
    <xf numFmtId="0" fontId="0" fillId="0" borderId="0" xfId="0" applyFont="1" applyFill="1" applyAlignment="1">
      <alignment horizontal="center"/>
    </xf>
    <xf numFmtId="3" fontId="2" fillId="33" borderId="0" xfId="0" applyNumberFormat="1" applyFont="1" applyFill="1" applyBorder="1" applyAlignment="1">
      <alignment horizontal="center"/>
    </xf>
    <xf numFmtId="14" fontId="148" fillId="0" borderId="0" xfId="0" applyNumberFormat="1" applyFont="1" applyAlignment="1">
      <alignment horizontal="left"/>
    </xf>
    <xf numFmtId="3" fontId="149" fillId="0" borderId="0" xfId="0" applyNumberFormat="1" applyFont="1" applyAlignment="1">
      <alignment horizontal="center"/>
    </xf>
    <xf numFmtId="0" fontId="133" fillId="34" borderId="0" xfId="0" applyFont="1" applyFill="1" applyAlignment="1">
      <alignment horizontal="left" vertical="top" wrapText="1"/>
    </xf>
    <xf numFmtId="3" fontId="0" fillId="0" borderId="0" xfId="0" applyNumberFormat="1" applyFont="1" applyFill="1" applyAlignment="1">
      <alignment horizontal="right" vertical="top"/>
    </xf>
    <xf numFmtId="3" fontId="0" fillId="34" borderId="19" xfId="0" applyNumberFormat="1" applyFont="1" applyFill="1" applyBorder="1" applyAlignment="1">
      <alignment horizontal="left" vertical="top"/>
    </xf>
    <xf numFmtId="3" fontId="8" fillId="34" borderId="26" xfId="0" applyNumberFormat="1" applyFont="1" applyFill="1" applyBorder="1" applyAlignment="1">
      <alignment horizontal="center" vertical="top"/>
    </xf>
    <xf numFmtId="3" fontId="8" fillId="34" borderId="27" xfId="0" applyNumberFormat="1" applyFont="1" applyFill="1" applyBorder="1" applyAlignment="1">
      <alignment horizontal="center" vertical="top"/>
    </xf>
    <xf numFmtId="3" fontId="8" fillId="34" borderId="23" xfId="0" applyNumberFormat="1" applyFont="1" applyFill="1" applyBorder="1" applyAlignment="1">
      <alignment horizontal="left" vertical="top"/>
    </xf>
    <xf numFmtId="3" fontId="8" fillId="34" borderId="0" xfId="0" applyNumberFormat="1" applyFont="1" applyFill="1" applyBorder="1" applyAlignment="1">
      <alignment horizontal="center" vertical="top"/>
    </xf>
    <xf numFmtId="3" fontId="8" fillId="34" borderId="24" xfId="0" applyNumberFormat="1" applyFont="1" applyFill="1" applyBorder="1" applyAlignment="1">
      <alignment horizontal="center" vertical="top"/>
    </xf>
    <xf numFmtId="3" fontId="8" fillId="34" borderId="20" xfId="0" applyNumberFormat="1" applyFont="1" applyFill="1" applyBorder="1" applyAlignment="1">
      <alignment horizontal="left" vertical="top"/>
    </xf>
    <xf numFmtId="3" fontId="8" fillId="34" borderId="21" xfId="0" applyNumberFormat="1" applyFont="1" applyFill="1" applyBorder="1" applyAlignment="1">
      <alignment horizontal="center" vertical="top"/>
    </xf>
    <xf numFmtId="3" fontId="8" fillId="34" borderId="22" xfId="0" applyNumberFormat="1" applyFont="1" applyFill="1" applyBorder="1" applyAlignment="1">
      <alignment horizontal="center" vertical="top"/>
    </xf>
    <xf numFmtId="3" fontId="8" fillId="0" borderId="0" xfId="0" applyNumberFormat="1" applyFont="1" applyFill="1" applyAlignment="1">
      <alignment horizontal="right" vertical="top"/>
    </xf>
    <xf numFmtId="1" fontId="115" fillId="0" borderId="0" xfId="0" applyNumberFormat="1" applyFont="1" applyAlignment="1">
      <alignment/>
    </xf>
    <xf numFmtId="0" fontId="3" fillId="33" borderId="0" xfId="0" applyFont="1" applyFill="1" applyAlignment="1">
      <alignment vertical="top" wrapText="1"/>
    </xf>
    <xf numFmtId="169" fontId="122" fillId="37" borderId="0" xfId="0" applyNumberFormat="1" applyFont="1" applyFill="1" applyAlignment="1">
      <alignment horizontal="center"/>
    </xf>
    <xf numFmtId="169" fontId="11" fillId="37" borderId="0" xfId="0" applyNumberFormat="1" applyFont="1" applyFill="1" applyBorder="1" applyAlignment="1">
      <alignment horizontal="left"/>
    </xf>
    <xf numFmtId="6" fontId="11" fillId="37" borderId="0" xfId="0" applyNumberFormat="1" applyFont="1" applyFill="1" applyBorder="1" applyAlignment="1">
      <alignment horizontal="left"/>
    </xf>
    <xf numFmtId="169" fontId="4" fillId="37" borderId="0" xfId="0" applyNumberFormat="1" applyFont="1" applyFill="1" applyAlignment="1">
      <alignment/>
    </xf>
    <xf numFmtId="169" fontId="120" fillId="37" borderId="0" xfId="0" applyNumberFormat="1" applyFont="1" applyFill="1" applyAlignment="1">
      <alignment/>
    </xf>
    <xf numFmtId="0" fontId="0" fillId="35" borderId="11" xfId="0" applyFont="1" applyFill="1" applyBorder="1" applyAlignment="1">
      <alignment/>
    </xf>
    <xf numFmtId="0" fontId="0" fillId="35" borderId="11" xfId="0" applyFont="1" applyFill="1" applyBorder="1" applyAlignment="1">
      <alignment horizontal="center"/>
    </xf>
    <xf numFmtId="3" fontId="8" fillId="34" borderId="28" xfId="0" applyNumberFormat="1" applyFont="1" applyFill="1" applyBorder="1" applyAlignment="1">
      <alignment horizontal="center" vertical="top"/>
    </xf>
    <xf numFmtId="3" fontId="8" fillId="34" borderId="34" xfId="0" applyNumberFormat="1" applyFont="1" applyFill="1" applyBorder="1" applyAlignment="1">
      <alignment horizontal="center" vertical="top"/>
    </xf>
    <xf numFmtId="3" fontId="0" fillId="34" borderId="35" xfId="0" applyNumberFormat="1" applyFont="1" applyFill="1" applyBorder="1" applyAlignment="1">
      <alignment horizontal="left" vertical="top"/>
    </xf>
    <xf numFmtId="0" fontId="3" fillId="33" borderId="0" xfId="0" applyFont="1" applyFill="1" applyAlignment="1">
      <alignment vertical="top" wrapText="1"/>
    </xf>
    <xf numFmtId="184" fontId="0" fillId="0" borderId="0" xfId="0" applyNumberFormat="1" applyFont="1" applyAlignment="1">
      <alignment horizontal="center"/>
    </xf>
    <xf numFmtId="3" fontId="2"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xf>
    <xf numFmtId="3" fontId="115" fillId="33" borderId="0" xfId="0" applyNumberFormat="1" applyFont="1" applyFill="1" applyBorder="1" applyAlignment="1">
      <alignment horizontal="center"/>
    </xf>
    <xf numFmtId="0" fontId="115" fillId="33" borderId="0" xfId="0" applyFont="1" applyFill="1" applyBorder="1" applyAlignment="1">
      <alignment horizontal="center"/>
    </xf>
    <xf numFmtId="0" fontId="0" fillId="0" borderId="0" xfId="0" applyFont="1" applyFill="1" applyBorder="1" applyAlignment="1">
      <alignment horizontal="center"/>
    </xf>
    <xf numFmtId="0" fontId="0" fillId="33" borderId="0" xfId="0" applyFont="1" applyFill="1" applyBorder="1" applyAlignment="1">
      <alignment horizontal="center"/>
    </xf>
    <xf numFmtId="0" fontId="2" fillId="0" borderId="0" xfId="0" applyFont="1" applyAlignment="1">
      <alignment horizontal="center" vertical="top"/>
    </xf>
    <xf numFmtId="3" fontId="0" fillId="35" borderId="35" xfId="0" applyNumberFormat="1" applyFont="1" applyFill="1" applyBorder="1" applyAlignment="1">
      <alignment horizontal="center"/>
    </xf>
    <xf numFmtId="14" fontId="150" fillId="0" borderId="0" xfId="0" applyNumberFormat="1" applyFont="1" applyAlignment="1">
      <alignment horizontal="left"/>
    </xf>
    <xf numFmtId="3" fontId="151" fillId="0" borderId="0" xfId="0" applyNumberFormat="1" applyFont="1" applyAlignment="1">
      <alignment horizontal="center"/>
    </xf>
    <xf numFmtId="0" fontId="152" fillId="0" borderId="0" xfId="0" applyFont="1" applyAlignment="1">
      <alignment/>
    </xf>
    <xf numFmtId="3" fontId="152" fillId="0" borderId="0" xfId="0" applyNumberFormat="1" applyFont="1" applyAlignment="1">
      <alignment horizontal="center"/>
    </xf>
    <xf numFmtId="0" fontId="120" fillId="37" borderId="0" xfId="0" applyFont="1" applyFill="1" applyAlignment="1">
      <alignment/>
    </xf>
    <xf numFmtId="0" fontId="133" fillId="33" borderId="0" xfId="0" applyFont="1" applyFill="1" applyAlignment="1">
      <alignment vertical="top" wrapText="1"/>
    </xf>
    <xf numFmtId="0" fontId="133" fillId="0" borderId="0" xfId="0" applyFont="1" applyAlignment="1">
      <alignment vertical="top"/>
    </xf>
    <xf numFmtId="0" fontId="3" fillId="33" borderId="0" xfId="0" applyFont="1" applyFill="1" applyAlignment="1">
      <alignment vertical="top" wrapText="1"/>
    </xf>
    <xf numFmtId="0" fontId="3" fillId="0" borderId="0" xfId="0" applyFont="1" applyAlignment="1">
      <alignment vertical="top"/>
    </xf>
    <xf numFmtId="0" fontId="3" fillId="33" borderId="0" xfId="0" applyFont="1" applyFill="1" applyBorder="1" applyAlignment="1">
      <alignment vertical="top" wrapText="1"/>
    </xf>
    <xf numFmtId="0" fontId="0" fillId="0" borderId="0" xfId="0" applyFont="1" applyAlignment="1">
      <alignment vertical="top"/>
    </xf>
    <xf numFmtId="0" fontId="3" fillId="33" borderId="0" xfId="0" applyFont="1" applyFill="1" applyAlignment="1">
      <alignment vertical="center" wrapText="1"/>
    </xf>
    <xf numFmtId="0" fontId="3" fillId="0" borderId="0" xfId="0" applyFont="1" applyAlignment="1">
      <alignment vertical="center"/>
    </xf>
    <xf numFmtId="172" fontId="3" fillId="33" borderId="0" xfId="0" applyNumberFormat="1" applyFont="1" applyFill="1" applyAlignment="1">
      <alignment horizontal="left" vertical="top" wrapText="1"/>
    </xf>
    <xf numFmtId="0" fontId="115" fillId="33" borderId="0" xfId="0" applyFont="1" applyFill="1" applyAlignment="1">
      <alignment vertical="top" wrapText="1"/>
    </xf>
    <xf numFmtId="0" fontId="115" fillId="0" borderId="0" xfId="0" applyFont="1" applyAlignment="1">
      <alignment vertical="top"/>
    </xf>
    <xf numFmtId="0" fontId="3" fillId="33" borderId="0" xfId="0" applyFont="1" applyFill="1" applyBorder="1" applyAlignment="1" quotePrefix="1">
      <alignment horizontal="left" vertical="top" wrapText="1"/>
    </xf>
    <xf numFmtId="0" fontId="0" fillId="0" borderId="0" xfId="0" applyFont="1" applyAlignment="1">
      <alignment vertical="top" wrapText="1"/>
    </xf>
    <xf numFmtId="0" fontId="0" fillId="0" borderId="0" xfId="0" applyFont="1" applyAlignment="1">
      <alignment horizontal="left" vertical="top" wrapText="1"/>
    </xf>
    <xf numFmtId="0" fontId="3" fillId="33" borderId="0" xfId="0" applyFont="1" applyFill="1" applyAlignment="1">
      <alignment vertical="top"/>
    </xf>
    <xf numFmtId="0" fontId="3" fillId="33" borderId="0" xfId="0" applyFont="1" applyFill="1" applyAlignment="1">
      <alignment horizontal="left" vertical="top"/>
    </xf>
    <xf numFmtId="0" fontId="3" fillId="0" borderId="0" xfId="0" applyFont="1" applyAlignment="1">
      <alignment horizontal="left" vertical="top"/>
    </xf>
    <xf numFmtId="0" fontId="3" fillId="0" borderId="0" xfId="0" applyFont="1" applyAlignment="1">
      <alignment/>
    </xf>
  </cellXfs>
  <cellStyles count="56">
    <cellStyle name="Normal" xfId="0"/>
    <cellStyle name="20 % - Aksentti1" xfId="15"/>
    <cellStyle name="20 % - Aksentti2" xfId="16"/>
    <cellStyle name="20 % - Aksentti3" xfId="17"/>
    <cellStyle name="20 % - Aksentti4" xfId="18"/>
    <cellStyle name="20 % - Aksentti5" xfId="19"/>
    <cellStyle name="20 % - Aksentti6" xfId="20"/>
    <cellStyle name="40 % - Aksentti1" xfId="21"/>
    <cellStyle name="40 % - Aksentti2" xfId="22"/>
    <cellStyle name="40 % - Aksentti3" xfId="23"/>
    <cellStyle name="40 % - Aksentti4" xfId="24"/>
    <cellStyle name="40 % - Aksentti5" xfId="25"/>
    <cellStyle name="40 % - Aksentti6" xfId="26"/>
    <cellStyle name="60 % - Aksentti1" xfId="27"/>
    <cellStyle name="60 % - Aksentti2" xfId="28"/>
    <cellStyle name="60 % - Aksentti3" xfId="29"/>
    <cellStyle name="60 % - Aksentti4" xfId="30"/>
    <cellStyle name="60 % - Aksentti5" xfId="31"/>
    <cellStyle name="60 % - Aksentti6" xfId="32"/>
    <cellStyle name="Aksentti1" xfId="33"/>
    <cellStyle name="Aksentti1 2" xfId="34"/>
    <cellStyle name="Aksentti2" xfId="35"/>
    <cellStyle name="Aksentti3" xfId="36"/>
    <cellStyle name="Aksentti3 2" xfId="37"/>
    <cellStyle name="Aksentti4" xfId="38"/>
    <cellStyle name="Aksentti5" xfId="39"/>
    <cellStyle name="Aksentti6" xfId="40"/>
    <cellStyle name="Aksentti6 2" xfId="41"/>
    <cellStyle name="Followed Hyperlink" xfId="42"/>
    <cellStyle name="Huomautus" xfId="43"/>
    <cellStyle name="Huono" xfId="44"/>
    <cellStyle name="Hyperlink" xfId="45"/>
    <cellStyle name="Hyvä" xfId="46"/>
    <cellStyle name="Laskenta" xfId="47"/>
    <cellStyle name="Linkitetty solu" xfId="48"/>
    <cellStyle name="Neutraali" xfId="49"/>
    <cellStyle name="Normaali 2" xfId="50"/>
    <cellStyle name="Normaali 3" xfId="51"/>
    <cellStyle name="Normaali 4" xfId="52"/>
    <cellStyle name="Normaali 5" xfId="53"/>
    <cellStyle name="Otsikko" xfId="54"/>
    <cellStyle name="Otsikko 1" xfId="55"/>
    <cellStyle name="Otsikko 2" xfId="56"/>
    <cellStyle name="Otsikko 3" xfId="57"/>
    <cellStyle name="Otsikko 4" xfId="58"/>
    <cellStyle name="Comma" xfId="59"/>
    <cellStyle name="Comma [0]" xfId="60"/>
    <cellStyle name="Percent" xfId="61"/>
    <cellStyle name="Selittävä teksti" xfId="62"/>
    <cellStyle name="Summa" xfId="63"/>
    <cellStyle name="Syöttö" xfId="64"/>
    <cellStyle name="Tarkistussolu" xfId="65"/>
    <cellStyle name="Tulostus" xfId="66"/>
    <cellStyle name="Currency" xfId="67"/>
    <cellStyle name="Currency [0]" xfId="68"/>
    <cellStyle name="Varoitusteksti"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975"/>
          <c:y val="0.02575"/>
          <c:w val="0.9575"/>
          <c:h val="0.9825"/>
        </c:manualLayout>
      </c:layout>
      <c:barChart>
        <c:barDir val="col"/>
        <c:grouping val="stacked"/>
        <c:varyColors val="0"/>
        <c:ser>
          <c:idx val="0"/>
          <c:order val="0"/>
          <c:tx>
            <c:strRef>
              <c:f>Kuviot!$AR$6</c:f>
              <c:strCache>
                <c:ptCount val="1"/>
                <c:pt idx="0">
                  <c:v>toimintakate</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cat>
            <c:strRef>
              <c:f>Kuviot!$AS$5:$AT$5</c:f>
              <c:strCache/>
            </c:strRef>
          </c:cat>
          <c:val>
            <c:numRef>
              <c:f>Kuviot!$AS$6:$AT$6</c:f>
              <c:numCache/>
            </c:numRef>
          </c:val>
        </c:ser>
        <c:ser>
          <c:idx val="6"/>
          <c:order val="1"/>
          <c:tx>
            <c:strRef>
              <c:f>Kuviot!$AR$12</c:f>
              <c:strCache>
                <c:ptCount val="1"/>
                <c:pt idx="0">
                  <c:v>poistot</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900" b="0" i="0" u="none" baseline="0">
                      <a:solidFill>
                        <a:srgbClr val="000000"/>
                      </a:solidFill>
                    </a:defRPr>
                  </a:pPr>
                </a:p>
              </c:txPr>
              <c:numFmt formatCode="General" sourceLinked="1"/>
              <c:spPr>
                <a:noFill/>
                <a:ln>
                  <a:noFill/>
                </a:ln>
              </c:spPr>
              <c:showLegendKey val="0"/>
              <c:showVal val="0"/>
              <c:showBubbleSize val="0"/>
              <c:showCatName val="0"/>
              <c:showSerName val="1"/>
              <c:showPercent val="0"/>
            </c:dLbl>
            <c:numFmt formatCode="General" sourceLinked="1"/>
            <c:spPr>
              <a:noFill/>
              <a:ln>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val>
            <c:numRef>
              <c:f>Kuviot!$AS$12:$AT$12</c:f>
              <c:numCache/>
            </c:numRef>
          </c:val>
        </c:ser>
        <c:ser>
          <c:idx val="1"/>
          <c:order val="2"/>
          <c:tx>
            <c:strRef>
              <c:f>Kuviot!$AR$7</c:f>
              <c:strCache>
                <c:ptCount val="1"/>
                <c:pt idx="0">
                  <c:v>kunnallisvero 59%</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cat>
            <c:strRef>
              <c:f>Kuviot!$AS$5:$AT$5</c:f>
              <c:strCache/>
            </c:strRef>
          </c:cat>
          <c:val>
            <c:numRef>
              <c:f>Kuviot!$AS$7:$AT$7</c:f>
              <c:numCache/>
            </c:numRef>
          </c:val>
        </c:ser>
        <c:ser>
          <c:idx val="2"/>
          <c:order val="3"/>
          <c:tx>
            <c:strRef>
              <c:f>Kuviot!$AR$8</c:f>
              <c:strCache>
                <c:ptCount val="1"/>
                <c:pt idx="0">
                  <c:v>yhteisövero 5%</c:v>
                </c:pt>
              </c:strCache>
            </c:strRef>
          </c:tx>
          <c:spPr>
            <a:solidFill>
              <a:srgbClr val="CC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strRef>
              <c:f>Kuviot!$AS$5:$AT$5</c:f>
              <c:strCache/>
            </c:strRef>
          </c:cat>
          <c:val>
            <c:numRef>
              <c:f>Kuviot!$AS$8:$AT$8</c:f>
              <c:numCache/>
            </c:numRef>
          </c:val>
        </c:ser>
        <c:ser>
          <c:idx val="3"/>
          <c:order val="4"/>
          <c:tx>
            <c:strRef>
              <c:f>Kuviot!$AR$9</c:f>
              <c:strCache>
                <c:ptCount val="1"/>
                <c:pt idx="0">
                  <c:v>kiinteistövero 5%</c:v>
                </c:pt>
              </c:strCache>
            </c:strRef>
          </c:tx>
          <c:spPr>
            <a:solidFill>
              <a:srgbClr val="FF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strRef>
              <c:f>Kuviot!$AS$5:$AT$5</c:f>
              <c:strCache/>
            </c:strRef>
          </c:cat>
          <c:val>
            <c:numRef>
              <c:f>Kuviot!$AS$9:$AT$9</c:f>
              <c:numCache/>
            </c:numRef>
          </c:val>
        </c:ser>
        <c:ser>
          <c:idx val="4"/>
          <c:order val="5"/>
          <c:tx>
            <c:strRef>
              <c:f>Kuviot!$AR$10</c:f>
              <c:strCache>
                <c:ptCount val="1"/>
                <c:pt idx="0">
                  <c:v>vos 30%</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cat>
            <c:strRef>
              <c:f>Kuviot!$AS$5:$AT$5</c:f>
              <c:strCache/>
            </c:strRef>
          </c:cat>
          <c:val>
            <c:numRef>
              <c:f>Kuviot!$AS$10:$AT$10</c:f>
              <c:numCache/>
            </c:numRef>
          </c:val>
        </c:ser>
        <c:ser>
          <c:idx val="5"/>
          <c:order val="6"/>
          <c:tx>
            <c:strRef>
              <c:f>Kuviot!$AR$11</c:f>
              <c:strCache>
                <c:ptCount val="1"/>
                <c:pt idx="0">
                  <c:v>rahoituserät (netto) 1%</c:v>
                </c:pt>
              </c:strCache>
            </c:strRef>
          </c:tx>
          <c:spPr>
            <a:solidFill>
              <a:srgbClr val="00B05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pPr>
              <a:noFill/>
              <a:ln>
                <a:noFill/>
              </a:ln>
            </c:spPr>
            <c:txPr>
              <a:bodyPr vert="horz" rot="0" anchor="ctr"/>
              <a:lstStyle/>
              <a:p>
                <a:pPr algn="ctr">
                  <a:defRPr lang="en-US" cap="none" sz="900" b="0" i="0" u="none" baseline="0">
                    <a:solidFill>
                      <a:srgbClr val="000000"/>
                    </a:solidFill>
                  </a:defRPr>
                </a:pPr>
              </a:p>
            </c:txPr>
            <c:dLblPos val="inBase"/>
            <c:showLegendKey val="0"/>
            <c:showVal val="0"/>
            <c:showBubbleSize val="0"/>
            <c:showCatName val="0"/>
            <c:showSerName val="1"/>
            <c:showPercent val="0"/>
          </c:dLbls>
          <c:cat>
            <c:strRef>
              <c:f>Kuviot!$AS$5:$AT$5</c:f>
              <c:strCache/>
            </c:strRef>
          </c:cat>
          <c:val>
            <c:numRef>
              <c:f>Kuviot!$AS$11:$AT$11</c:f>
              <c:numCache/>
            </c:numRef>
          </c:val>
        </c:ser>
        <c:overlap val="100"/>
        <c:gapWidth val="40"/>
        <c:axId val="61889881"/>
        <c:axId val="20138018"/>
      </c:barChart>
      <c:catAx>
        <c:axId val="61889881"/>
        <c:scaling>
          <c:orientation val="minMax"/>
        </c:scaling>
        <c:axPos val="b"/>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000000"/>
                </a:solidFill>
              </a:defRPr>
            </a:pPr>
          </a:p>
        </c:txPr>
        <c:crossAx val="20138018"/>
        <c:crossesAt val="0"/>
        <c:auto val="1"/>
        <c:lblOffset val="100"/>
        <c:tickLblSkip val="1"/>
        <c:noMultiLvlLbl val="0"/>
      </c:catAx>
      <c:valAx>
        <c:axId val="20138018"/>
        <c:scaling>
          <c:orientation val="minMax"/>
        </c:scaling>
        <c:axPos val="l"/>
        <c:majorGridlines>
          <c:spPr>
            <a:ln w="3175">
              <a:solidFill>
                <a:srgbClr val="C0C0C0"/>
              </a:solidFill>
              <a:prstDash val="dash"/>
            </a:ln>
          </c:spPr>
        </c:majorGridlines>
        <c:delete val="1"/>
        <c:majorTickMark val="out"/>
        <c:minorTickMark val="none"/>
        <c:tickLblPos val="nextTo"/>
        <c:crossAx val="61889881"/>
        <c:crossesAt val="1"/>
        <c:crossBetween val="between"/>
        <c:dispUnits/>
      </c:valAx>
      <c:spPr>
        <a:noFill/>
        <a:ln>
          <a:no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95"/>
          <c:y val="0.0265"/>
          <c:w val="0.95825"/>
          <c:h val="0.9815"/>
        </c:manualLayout>
      </c:layout>
      <c:barChart>
        <c:barDir val="col"/>
        <c:grouping val="stacked"/>
        <c:varyColors val="0"/>
        <c:ser>
          <c:idx val="0"/>
          <c:order val="0"/>
          <c:tx>
            <c:strRef>
              <c:f>Kuviot!$AU$6</c:f>
              <c:strCache>
                <c:ptCount val="1"/>
                <c:pt idx="0">
                  <c:v>toimintakate</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cat>
            <c:strRef>
              <c:f>Kuviot!$AV$5:$AW$5</c:f>
              <c:strCache/>
            </c:strRef>
          </c:cat>
          <c:val>
            <c:numRef>
              <c:f>Kuviot!$AV$6:$AW$6</c:f>
              <c:numCache/>
            </c:numRef>
          </c:val>
        </c:ser>
        <c:ser>
          <c:idx val="1"/>
          <c:order val="1"/>
          <c:tx>
            <c:strRef>
              <c:f>Kuviot!$AU$7</c:f>
              <c:strCache>
                <c:ptCount val="1"/>
                <c:pt idx="0">
                  <c:v>kunnallisvero 50%</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cat>
            <c:strRef>
              <c:f>Kuviot!$AV$5:$AW$5</c:f>
              <c:strCache/>
            </c:strRef>
          </c:cat>
          <c:val>
            <c:numRef>
              <c:f>Kuviot!$AV$7:$AW$7</c:f>
              <c:numCache/>
            </c:numRef>
          </c:val>
        </c:ser>
        <c:ser>
          <c:idx val="2"/>
          <c:order val="2"/>
          <c:tx>
            <c:strRef>
              <c:f>Kuviot!$AU$8</c:f>
              <c:strCache>
                <c:ptCount val="1"/>
                <c:pt idx="0">
                  <c:v>yhteisövero 8%</c:v>
                </c:pt>
              </c:strCache>
            </c:strRef>
          </c:tx>
          <c:spPr>
            <a:solidFill>
              <a:srgbClr val="CC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strRef>
              <c:f>Kuviot!$AV$5:$AW$5</c:f>
              <c:strCache/>
            </c:strRef>
          </c:cat>
          <c:val>
            <c:numRef>
              <c:f>Kuviot!$AV$8:$AW$8</c:f>
              <c:numCache/>
            </c:numRef>
          </c:val>
        </c:ser>
        <c:ser>
          <c:idx val="3"/>
          <c:order val="3"/>
          <c:tx>
            <c:strRef>
              <c:f>Kuviot!$AU$9</c:f>
              <c:strCache>
                <c:ptCount val="1"/>
                <c:pt idx="0">
                  <c:v>kiinteistövero 13%</c:v>
                </c:pt>
              </c:strCache>
            </c:strRef>
          </c:tx>
          <c:spPr>
            <a:solidFill>
              <a:srgbClr val="FF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800" b="0" i="0" u="none" baseline="0">
                    <a:solidFill>
                      <a:srgbClr val="000000"/>
                    </a:solidFill>
                  </a:defRPr>
                </a:pPr>
              </a:p>
            </c:txPr>
            <c:showLegendKey val="0"/>
            <c:showVal val="0"/>
            <c:showBubbleSize val="0"/>
            <c:showCatName val="0"/>
            <c:showSerName val="1"/>
            <c:showPercent val="0"/>
          </c:dLbls>
          <c:cat>
            <c:strRef>
              <c:f>Kuviot!$AV$5:$AW$5</c:f>
              <c:strCache/>
            </c:strRef>
          </c:cat>
          <c:val>
            <c:numRef>
              <c:f>Kuviot!$AV$9:$AW$9</c:f>
              <c:numCache/>
            </c:numRef>
          </c:val>
        </c:ser>
        <c:ser>
          <c:idx val="7"/>
          <c:order val="4"/>
          <c:tx>
            <c:strRef>
              <c:f>Kuviot!$AU$12</c:f>
              <c:strCache>
                <c:ptCount val="1"/>
                <c:pt idx="0">
                  <c:v>poistot</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val>
            <c:numRef>
              <c:f>Kuviot!$AV$12:$AW$12</c:f>
              <c:numCache/>
            </c:numRef>
          </c:val>
        </c:ser>
        <c:ser>
          <c:idx val="4"/>
          <c:order val="5"/>
          <c:tx>
            <c:strRef>
              <c:f>Kuviot!$AU$10</c:f>
              <c:strCache>
                <c:ptCount val="1"/>
                <c:pt idx="0">
                  <c:v>vos 26%</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spPr>
              <a:noFill/>
              <a:ln>
                <a:noFill/>
              </a:ln>
            </c:spPr>
            <c:txPr>
              <a:bodyPr vert="horz" rot="0" anchor="ctr"/>
              <a:lstStyle/>
              <a:p>
                <a:pPr algn="ctr">
                  <a:defRPr lang="en-US" cap="none" sz="900" b="0" i="0" u="none" baseline="0">
                    <a:solidFill>
                      <a:srgbClr val="000000"/>
                    </a:solidFill>
                  </a:defRPr>
                </a:pPr>
              </a:p>
            </c:txPr>
            <c:showLegendKey val="0"/>
            <c:showVal val="0"/>
            <c:showBubbleSize val="0"/>
            <c:showCatName val="0"/>
            <c:showSerName val="1"/>
            <c:showPercent val="0"/>
          </c:dLbls>
          <c:cat>
            <c:strRef>
              <c:f>Kuviot!$AV$5:$AW$5</c:f>
              <c:strCache/>
            </c:strRef>
          </c:cat>
          <c:val>
            <c:numRef>
              <c:f>Kuviot!$AV$10:$AW$10</c:f>
              <c:numCache/>
            </c:numRef>
          </c:val>
        </c:ser>
        <c:ser>
          <c:idx val="5"/>
          <c:order val="6"/>
          <c:tx>
            <c:strRef>
              <c:f>Kuviot!$AU$11</c:f>
              <c:strCache>
                <c:ptCount val="1"/>
                <c:pt idx="0">
                  <c:v>rahoituserät (netto) 3%</c:v>
                </c:pt>
              </c:strCache>
            </c:strRef>
          </c:tx>
          <c:spPr>
            <a:solidFill>
              <a:srgbClr val="00B050"/>
            </a:solidFill>
            <a:ln w="12700">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spPr>
              <a:noFill/>
              <a:ln>
                <a:noFill/>
              </a:ln>
            </c:spPr>
            <c:txPr>
              <a:bodyPr vert="horz" rot="0" anchor="ctr"/>
              <a:lstStyle/>
              <a:p>
                <a:pPr algn="ctr">
                  <a:defRPr lang="en-US" cap="none" sz="900" b="0" i="0" u="none" baseline="0">
                    <a:solidFill>
                      <a:srgbClr val="000000"/>
                    </a:solidFill>
                  </a:defRPr>
                </a:pPr>
              </a:p>
            </c:txPr>
            <c:dLblPos val="inBase"/>
            <c:showLegendKey val="0"/>
            <c:showVal val="0"/>
            <c:showBubbleSize val="0"/>
            <c:showCatName val="0"/>
            <c:showSerName val="1"/>
            <c:showPercent val="0"/>
          </c:dLbls>
          <c:cat>
            <c:strRef>
              <c:f>Kuviot!$AV$5:$AW$5</c:f>
              <c:strCache/>
            </c:strRef>
          </c:cat>
          <c:val>
            <c:numRef>
              <c:f>Kuviot!$AV$11:$AW$11</c:f>
              <c:numCache/>
            </c:numRef>
          </c:val>
        </c:ser>
        <c:ser>
          <c:idx val="6"/>
          <c:order val="7"/>
          <c:tx>
            <c:strRef>
              <c:f>Kuviot!$AU$14</c:f>
              <c:strCache>
                <c:ptCount val="1"/>
                <c:pt idx="0">
                  <c:v>poistuvat</c:v>
                </c:pt>
              </c:strCache>
            </c:strRef>
          </c:tx>
          <c:spPr>
            <a:no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noFill/>
              <a:ln w="12700">
                <a:solidFill>
                  <a:srgbClr val="969696"/>
                </a:solidFill>
                <a:prstDash val="dashDot"/>
              </a:ln>
              <a:effectLst>
                <a:outerShdw dist="35921" dir="2700000" algn="br">
                  <a:prstClr val="black"/>
                </a:outerShdw>
              </a:effectLst>
            </c:spPr>
          </c:dPt>
          <c:dPt>
            <c:idx val="1"/>
            <c:invertIfNegative val="0"/>
            <c:spPr>
              <a:noFill/>
              <a:ln w="12700">
                <a:solidFill>
                  <a:srgbClr val="969696"/>
                </a:solidFill>
                <a:prstDash val="dashDot"/>
              </a:ln>
              <a:effectLst>
                <a:outerShdw dist="35921" dir="2700000" algn="br">
                  <a:prstClr val="black"/>
                </a:outerShdw>
              </a:effectLst>
            </c:spPr>
          </c:dPt>
          <c:val>
            <c:numRef>
              <c:f>Kuviot!$AV$14:$AW$14</c:f>
              <c:numCache/>
            </c:numRef>
          </c:val>
        </c:ser>
        <c:overlap val="100"/>
        <c:gapWidth val="40"/>
        <c:axId val="47024435"/>
        <c:axId val="20566732"/>
      </c:barChart>
      <c:catAx>
        <c:axId val="47024435"/>
        <c:scaling>
          <c:orientation val="minMax"/>
        </c:scaling>
        <c:axPos val="b"/>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000000"/>
                </a:solidFill>
              </a:defRPr>
            </a:pPr>
          </a:p>
        </c:txPr>
        <c:crossAx val="20566732"/>
        <c:crosses val="autoZero"/>
        <c:auto val="1"/>
        <c:lblOffset val="100"/>
        <c:tickLblSkip val="1"/>
        <c:noMultiLvlLbl val="0"/>
      </c:catAx>
      <c:valAx>
        <c:axId val="20566732"/>
        <c:scaling>
          <c:orientation val="minMax"/>
        </c:scaling>
        <c:axPos val="l"/>
        <c:majorGridlines>
          <c:spPr>
            <a:ln w="3175">
              <a:solidFill>
                <a:srgbClr val="C0C0C0"/>
              </a:solidFill>
              <a:prstDash val="dash"/>
            </a:ln>
          </c:spPr>
        </c:majorGridlines>
        <c:delete val="1"/>
        <c:majorTickMark val="out"/>
        <c:minorTickMark val="none"/>
        <c:tickLblPos val="nextTo"/>
        <c:crossAx val="47024435"/>
        <c:crossesAt val="1"/>
        <c:crossBetween val="between"/>
        <c:dispUnits/>
      </c:valAx>
      <c:spPr>
        <a:noFill/>
        <a:ln>
          <a:no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95"/>
          <c:y val="0.0265"/>
          <c:w val="0.95825"/>
          <c:h val="0.9815"/>
        </c:manualLayout>
      </c:layout>
      <c:barChart>
        <c:barDir val="col"/>
        <c:grouping val="stacked"/>
        <c:varyColors val="0"/>
        <c:ser>
          <c:idx val="0"/>
          <c:order val="0"/>
          <c:tx>
            <c:strRef>
              <c:f>Kuviot!$AX$6</c:f>
              <c:strCache>
                <c:ptCount val="1"/>
                <c:pt idx="0">
                  <c:v>toimintakate</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Kuviot!$AY$5:$AZ$5</c:f>
              <c:strCache/>
            </c:strRef>
          </c:cat>
          <c:val>
            <c:numRef>
              <c:f>Kuviot!$AY$6:$AZ$6</c:f>
              <c:numCache/>
            </c:numRef>
          </c:val>
        </c:ser>
        <c:ser>
          <c:idx val="1"/>
          <c:order val="1"/>
          <c:tx>
            <c:strRef>
              <c:f>Kuviot!$AX$7</c:f>
              <c:strCache>
                <c:ptCount val="1"/>
                <c:pt idx="0">
                  <c:v>kunnallisvero 50%</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Kuviot!$AY$5:$AZ$5</c:f>
              <c:strCache/>
            </c:strRef>
          </c:cat>
          <c:val>
            <c:numRef>
              <c:f>Kuviot!$AY$7:$AZ$7</c:f>
              <c:numCache/>
            </c:numRef>
          </c:val>
        </c:ser>
        <c:ser>
          <c:idx val="2"/>
          <c:order val="2"/>
          <c:tx>
            <c:strRef>
              <c:f>Kuviot!$AX$8</c:f>
              <c:strCache>
                <c:ptCount val="1"/>
                <c:pt idx="0">
                  <c:v>yhteisövero 8%</c:v>
                </c:pt>
              </c:strCache>
            </c:strRef>
          </c:tx>
          <c:spPr>
            <a:solidFill>
              <a:srgbClr val="CC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Kuviot!$AY$5:$AZ$5</c:f>
              <c:strCache/>
            </c:strRef>
          </c:cat>
          <c:val>
            <c:numRef>
              <c:f>Kuviot!$AY$8:$AZ$8</c:f>
              <c:numCache/>
            </c:numRef>
          </c:val>
        </c:ser>
        <c:ser>
          <c:idx val="3"/>
          <c:order val="3"/>
          <c:tx>
            <c:strRef>
              <c:f>Kuviot!$AX$9</c:f>
              <c:strCache>
                <c:ptCount val="1"/>
                <c:pt idx="0">
                  <c:v>kiinteistövero 13%</c:v>
                </c:pt>
              </c:strCache>
            </c:strRef>
          </c:tx>
          <c:spPr>
            <a:solidFill>
              <a:srgbClr val="FF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Kuviot!$AY$5:$AZ$5</c:f>
              <c:strCache/>
            </c:strRef>
          </c:cat>
          <c:val>
            <c:numRef>
              <c:f>Kuviot!$AY$9:$AZ$9</c:f>
              <c:numCache/>
            </c:numRef>
          </c:val>
        </c:ser>
        <c:ser>
          <c:idx val="4"/>
          <c:order val="4"/>
          <c:tx>
            <c:strRef>
              <c:f>Kuviot!$AX$10</c:f>
              <c:strCache>
                <c:ptCount val="1"/>
                <c:pt idx="0">
                  <c:v>vos 26%</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dLbls>
          <c:cat>
            <c:strRef>
              <c:f>Kuviot!$AY$5:$AZ$5</c:f>
              <c:strCache/>
            </c:strRef>
          </c:cat>
          <c:val>
            <c:numRef>
              <c:f>Kuviot!$AY$10:$AZ$10</c:f>
              <c:numCache/>
            </c:numRef>
          </c:val>
        </c:ser>
        <c:ser>
          <c:idx val="7"/>
          <c:order val="5"/>
          <c:tx>
            <c:strRef>
              <c:f>Kuviot!$AX$12</c:f>
              <c:strCache>
                <c:ptCount val="1"/>
                <c:pt idx="0">
                  <c:v>poistot</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Kuviot!$AY$5:$AZ$5</c:f>
              <c:strCache/>
            </c:strRef>
          </c:cat>
          <c:val>
            <c:numRef>
              <c:f>Kuviot!$AY$12:$AZ$12</c:f>
              <c:numCache/>
            </c:numRef>
          </c:val>
        </c:ser>
        <c:ser>
          <c:idx val="5"/>
          <c:order val="6"/>
          <c:tx>
            <c:strRef>
              <c:f>Kuviot!$AX$11</c:f>
              <c:strCache>
                <c:ptCount val="1"/>
                <c:pt idx="0">
                  <c:v>rahoituserät (netto) 3%</c:v>
                </c:pt>
              </c:strCache>
            </c:strRef>
          </c:tx>
          <c:spPr>
            <a:solidFill>
              <a:srgbClr val="00B050"/>
            </a:solidFill>
            <a:ln w="12700">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dLbls>
          <c:cat>
            <c:strRef>
              <c:f>Kuviot!$AY$5:$AZ$5</c:f>
              <c:strCache/>
            </c:strRef>
          </c:cat>
          <c:val>
            <c:numRef>
              <c:f>Kuviot!$AY$11:$AZ$11</c:f>
              <c:numCache/>
            </c:numRef>
          </c:val>
        </c:ser>
        <c:ser>
          <c:idx val="6"/>
          <c:order val="7"/>
          <c:tx>
            <c:strRef>
              <c:f>Kuviot!$AX$14</c:f>
              <c:strCache>
                <c:ptCount val="1"/>
                <c:pt idx="0">
                  <c:v>poistuvat</c:v>
                </c:pt>
              </c:strCache>
            </c:strRef>
          </c:tx>
          <c:spPr>
            <a:no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noFill/>
              <a:ln w="12700">
                <a:solidFill>
                  <a:srgbClr val="969696"/>
                </a:solidFill>
                <a:prstDash val="dashDot"/>
              </a:ln>
              <a:effectLst>
                <a:outerShdw dist="35921" dir="2700000" algn="br">
                  <a:prstClr val="black"/>
                </a:outerShdw>
              </a:effectLst>
            </c:spPr>
          </c:dPt>
          <c:dPt>
            <c:idx val="1"/>
            <c:invertIfNegative val="0"/>
            <c:spPr>
              <a:noFill/>
              <a:ln w="12700">
                <a:solidFill>
                  <a:srgbClr val="969696"/>
                </a:solidFill>
                <a:prstDash val="dashDot"/>
              </a:ln>
              <a:effectLst>
                <a:outerShdw dist="35921" dir="2700000" algn="br">
                  <a:prstClr val="black"/>
                </a:outerShdw>
              </a:effectLst>
            </c:spPr>
          </c:dPt>
          <c:cat>
            <c:strRef>
              <c:f>Kuviot!$AY$5:$AZ$5</c:f>
              <c:strCache/>
            </c:strRef>
          </c:cat>
          <c:val>
            <c:numRef>
              <c:f>Kuviot!$AY$14:$AZ$14</c:f>
              <c:numCache/>
            </c:numRef>
          </c:val>
        </c:ser>
        <c:overlap val="100"/>
        <c:gapWidth val="40"/>
        <c:axId val="50882861"/>
        <c:axId val="55292566"/>
      </c:barChart>
      <c:catAx>
        <c:axId val="50882861"/>
        <c:scaling>
          <c:orientation val="minMax"/>
        </c:scaling>
        <c:axPos val="b"/>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000000"/>
                </a:solidFill>
              </a:defRPr>
            </a:pPr>
          </a:p>
        </c:txPr>
        <c:crossAx val="55292566"/>
        <c:crosses val="autoZero"/>
        <c:auto val="1"/>
        <c:lblOffset val="100"/>
        <c:tickLblSkip val="1"/>
        <c:noMultiLvlLbl val="0"/>
      </c:catAx>
      <c:valAx>
        <c:axId val="55292566"/>
        <c:scaling>
          <c:orientation val="minMax"/>
        </c:scaling>
        <c:axPos val="l"/>
        <c:majorGridlines>
          <c:spPr>
            <a:ln w="3175">
              <a:solidFill>
                <a:srgbClr val="C0C0C0"/>
              </a:solidFill>
              <a:prstDash val="dash"/>
            </a:ln>
          </c:spPr>
        </c:majorGridlines>
        <c:delete val="1"/>
        <c:majorTickMark val="out"/>
        <c:minorTickMark val="none"/>
        <c:tickLblPos val="nextTo"/>
        <c:crossAx val="50882861"/>
        <c:crossesAt val="1"/>
        <c:crossBetween val="between"/>
        <c:dispUnits/>
      </c:valAx>
      <c:spPr>
        <a:noFill/>
        <a:ln>
          <a:no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875"/>
          <c:y val="0.02575"/>
          <c:w val="0.96075"/>
          <c:h val="0.9825"/>
        </c:manualLayout>
      </c:layout>
      <c:barChart>
        <c:barDir val="col"/>
        <c:grouping val="stacked"/>
        <c:varyColors val="0"/>
        <c:ser>
          <c:idx val="0"/>
          <c:order val="0"/>
          <c:tx>
            <c:strRef>
              <c:f>Kuviot!$BA$6</c:f>
              <c:strCache>
                <c:ptCount val="1"/>
                <c:pt idx="0">
                  <c:v>toimintakate</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Kuviot!$BB$5:$BC$5</c:f>
              <c:strCache/>
            </c:strRef>
          </c:cat>
          <c:val>
            <c:numRef>
              <c:f>Kuviot!$BB$6:$BC$6</c:f>
              <c:numCache/>
            </c:numRef>
          </c:val>
        </c:ser>
        <c:ser>
          <c:idx val="1"/>
          <c:order val="1"/>
          <c:tx>
            <c:strRef>
              <c:f>Kuviot!$BA$7</c:f>
              <c:strCache>
                <c:ptCount val="1"/>
                <c:pt idx="0">
                  <c:v>kunnallisvero 50%</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Kuviot!$BB$5:$BC$5</c:f>
              <c:strCache/>
            </c:strRef>
          </c:cat>
          <c:val>
            <c:numRef>
              <c:f>Kuviot!$BB$7:$BC$7</c:f>
              <c:numCache/>
            </c:numRef>
          </c:val>
        </c:ser>
        <c:ser>
          <c:idx val="2"/>
          <c:order val="2"/>
          <c:tx>
            <c:strRef>
              <c:f>Kuviot!$BA$8</c:f>
              <c:strCache>
                <c:ptCount val="1"/>
                <c:pt idx="0">
                  <c:v>yhteisövero 8%</c:v>
                </c:pt>
              </c:strCache>
            </c:strRef>
          </c:tx>
          <c:spPr>
            <a:solidFill>
              <a:srgbClr val="CC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Kuviot!$BB$5:$BC$5</c:f>
              <c:strCache/>
            </c:strRef>
          </c:cat>
          <c:val>
            <c:numRef>
              <c:f>Kuviot!$BB$8:$BC$8</c:f>
              <c:numCache/>
            </c:numRef>
          </c:val>
        </c:ser>
        <c:ser>
          <c:idx val="3"/>
          <c:order val="3"/>
          <c:tx>
            <c:strRef>
              <c:f>Kuviot!$BA$9</c:f>
              <c:strCache>
                <c:ptCount val="1"/>
                <c:pt idx="0">
                  <c:v>kiinteistövero 13%</c:v>
                </c:pt>
              </c:strCache>
            </c:strRef>
          </c:tx>
          <c:spPr>
            <a:solidFill>
              <a:srgbClr val="FF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Kuviot!$BB$5:$BC$5</c:f>
              <c:strCache/>
            </c:strRef>
          </c:cat>
          <c:val>
            <c:numRef>
              <c:f>Kuviot!$BB$9:$BC$9</c:f>
              <c:numCache/>
            </c:numRef>
          </c:val>
        </c:ser>
        <c:ser>
          <c:idx val="4"/>
          <c:order val="4"/>
          <c:tx>
            <c:strRef>
              <c:f>Kuviot!$BA$10</c:f>
              <c:strCache>
                <c:ptCount val="1"/>
                <c:pt idx="0">
                  <c:v>vos 26%</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dLbls>
          <c:cat>
            <c:strRef>
              <c:f>Kuviot!$BB$5:$BC$5</c:f>
              <c:strCache/>
            </c:strRef>
          </c:cat>
          <c:val>
            <c:numRef>
              <c:f>Kuviot!$BB$10:$BC$10</c:f>
              <c:numCache/>
            </c:numRef>
          </c:val>
        </c:ser>
        <c:ser>
          <c:idx val="5"/>
          <c:order val="5"/>
          <c:tx>
            <c:strRef>
              <c:f>Kuviot!$BA$11</c:f>
              <c:strCache>
                <c:ptCount val="1"/>
                <c:pt idx="0">
                  <c:v>rahoituserät (netto) 3%</c:v>
                </c:pt>
              </c:strCache>
            </c:strRef>
          </c:tx>
          <c:spPr>
            <a:solidFill>
              <a:srgbClr val="00B050"/>
            </a:solidFill>
            <a:ln w="12700">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dLbls>
          <c:cat>
            <c:strRef>
              <c:f>Kuviot!$BB$5:$BC$5</c:f>
              <c:strCache/>
            </c:strRef>
          </c:cat>
          <c:val>
            <c:numRef>
              <c:f>Kuviot!$BB$11:$BC$11</c:f>
              <c:numCache/>
            </c:numRef>
          </c:val>
        </c:ser>
        <c:ser>
          <c:idx val="7"/>
          <c:order val="6"/>
          <c:tx>
            <c:strRef>
              <c:f>Kuviot!$BA$12</c:f>
              <c:strCache>
                <c:ptCount val="1"/>
                <c:pt idx="0">
                  <c:v>poistot</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Kuviot!$BB$5:$BC$5</c:f>
              <c:strCache/>
            </c:strRef>
          </c:cat>
          <c:val>
            <c:numRef>
              <c:f>Kuviot!$BB$12:$BC$12</c:f>
              <c:numCache/>
            </c:numRef>
          </c:val>
        </c:ser>
        <c:ser>
          <c:idx val="6"/>
          <c:order val="7"/>
          <c:tx>
            <c:strRef>
              <c:f>Kuviot!$BA$14</c:f>
              <c:strCache>
                <c:ptCount val="1"/>
                <c:pt idx="0">
                  <c:v>poistuvat</c:v>
                </c:pt>
              </c:strCache>
            </c:strRef>
          </c:tx>
          <c:spPr>
            <a:no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noFill/>
              <a:ln w="12700">
                <a:solidFill>
                  <a:srgbClr val="969696"/>
                </a:solidFill>
                <a:prstDash val="dashDot"/>
              </a:ln>
              <a:effectLst>
                <a:outerShdw dist="35921" dir="2700000" algn="br">
                  <a:prstClr val="black"/>
                </a:outerShdw>
              </a:effectLst>
            </c:spPr>
          </c:dPt>
          <c:dPt>
            <c:idx val="1"/>
            <c:invertIfNegative val="0"/>
            <c:spPr>
              <a:noFill/>
              <a:ln w="12700">
                <a:solidFill>
                  <a:srgbClr val="969696"/>
                </a:solidFill>
                <a:prstDash val="dashDot"/>
              </a:ln>
              <a:effectLst>
                <a:outerShdw dist="35921" dir="2700000" algn="br">
                  <a:prstClr val="black"/>
                </a:outerShdw>
              </a:effectLst>
            </c:spPr>
          </c:dPt>
          <c:cat>
            <c:strRef>
              <c:f>Kuviot!$BB$5:$BC$5</c:f>
              <c:strCache/>
            </c:strRef>
          </c:cat>
          <c:val>
            <c:numRef>
              <c:f>Kuviot!$BB$14:$BC$14</c:f>
              <c:numCache/>
            </c:numRef>
          </c:val>
        </c:ser>
        <c:overlap val="100"/>
        <c:gapWidth val="40"/>
        <c:axId val="27871047"/>
        <c:axId val="49512832"/>
      </c:barChart>
      <c:catAx>
        <c:axId val="27871047"/>
        <c:scaling>
          <c:orientation val="minMax"/>
        </c:scaling>
        <c:axPos val="b"/>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000000"/>
                </a:solidFill>
              </a:defRPr>
            </a:pPr>
          </a:p>
        </c:txPr>
        <c:crossAx val="49512832"/>
        <c:crosses val="autoZero"/>
        <c:auto val="1"/>
        <c:lblOffset val="100"/>
        <c:tickLblSkip val="1"/>
        <c:noMultiLvlLbl val="0"/>
      </c:catAx>
      <c:valAx>
        <c:axId val="49512832"/>
        <c:scaling>
          <c:orientation val="minMax"/>
        </c:scaling>
        <c:axPos val="l"/>
        <c:majorGridlines>
          <c:spPr>
            <a:ln w="3175">
              <a:solidFill>
                <a:srgbClr val="C0C0C0"/>
              </a:solidFill>
              <a:prstDash val="dash"/>
            </a:ln>
          </c:spPr>
        </c:majorGridlines>
        <c:delete val="1"/>
        <c:majorTickMark val="out"/>
        <c:minorTickMark val="none"/>
        <c:tickLblPos val="nextTo"/>
        <c:crossAx val="27871047"/>
        <c:crossesAt val="1"/>
        <c:crossBetween val="between"/>
        <c:dispUnits/>
      </c:valAx>
      <c:spPr>
        <a:noFill/>
        <a:ln>
          <a:no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825"/>
          <c:y val="0.02575"/>
          <c:w val="0.96175"/>
          <c:h val="0.9825"/>
        </c:manualLayout>
      </c:layout>
      <c:barChart>
        <c:barDir val="col"/>
        <c:grouping val="stacked"/>
        <c:varyColors val="0"/>
        <c:ser>
          <c:idx val="0"/>
          <c:order val="0"/>
          <c:tx>
            <c:strRef>
              <c:f>Kuviot!$BD$6</c:f>
              <c:strCache>
                <c:ptCount val="1"/>
                <c:pt idx="0">
                  <c:v>toimintakate</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Kuviot!$BE$5:$BF$5</c:f>
              <c:strCache/>
            </c:strRef>
          </c:cat>
          <c:val>
            <c:numRef>
              <c:f>Kuviot!$BE$6:$BF$6</c:f>
              <c:numCache/>
            </c:numRef>
          </c:val>
        </c:ser>
        <c:ser>
          <c:idx val="1"/>
          <c:order val="1"/>
          <c:tx>
            <c:strRef>
              <c:f>Kuviot!$BD$7</c:f>
              <c:strCache>
                <c:ptCount val="1"/>
                <c:pt idx="0">
                  <c:v>kunnallisvero 50%</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Kuviot!$BE$5:$BF$5</c:f>
              <c:strCache/>
            </c:strRef>
          </c:cat>
          <c:val>
            <c:numRef>
              <c:f>Kuviot!$BE$7:$BF$7</c:f>
              <c:numCache/>
            </c:numRef>
          </c:val>
        </c:ser>
        <c:ser>
          <c:idx val="2"/>
          <c:order val="2"/>
          <c:tx>
            <c:strRef>
              <c:f>Kuviot!$BD$8</c:f>
              <c:strCache>
                <c:ptCount val="1"/>
                <c:pt idx="0">
                  <c:v>yhteisövero 8%</c:v>
                </c:pt>
              </c:strCache>
            </c:strRef>
          </c:tx>
          <c:spPr>
            <a:solidFill>
              <a:srgbClr val="CC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Kuviot!$BE$5:$BF$5</c:f>
              <c:strCache/>
            </c:strRef>
          </c:cat>
          <c:val>
            <c:numRef>
              <c:f>Kuviot!$BE$8:$BF$8</c:f>
              <c:numCache/>
            </c:numRef>
          </c:val>
        </c:ser>
        <c:ser>
          <c:idx val="3"/>
          <c:order val="3"/>
          <c:tx>
            <c:strRef>
              <c:f>Kuviot!$BD$9</c:f>
              <c:strCache>
                <c:ptCount val="1"/>
                <c:pt idx="0">
                  <c:v>kiinteistövero 13%</c:v>
                </c:pt>
              </c:strCache>
            </c:strRef>
          </c:tx>
          <c:spPr>
            <a:solidFill>
              <a:srgbClr val="FF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Kuviot!$BE$5:$BF$5</c:f>
              <c:strCache/>
            </c:strRef>
          </c:cat>
          <c:val>
            <c:numRef>
              <c:f>Kuviot!$BE$9:$BF$9</c:f>
              <c:numCache/>
            </c:numRef>
          </c:val>
        </c:ser>
        <c:ser>
          <c:idx val="4"/>
          <c:order val="4"/>
          <c:tx>
            <c:strRef>
              <c:f>Kuviot!$BD$10</c:f>
              <c:strCache>
                <c:ptCount val="1"/>
                <c:pt idx="0">
                  <c:v>vos 26%</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dLbls>
          <c:cat>
            <c:strRef>
              <c:f>Kuviot!$BE$5:$BF$5</c:f>
              <c:strCache/>
            </c:strRef>
          </c:cat>
          <c:val>
            <c:numRef>
              <c:f>Kuviot!$BE$10:$BF$10</c:f>
              <c:numCache/>
            </c:numRef>
          </c:val>
        </c:ser>
        <c:ser>
          <c:idx val="5"/>
          <c:order val="5"/>
          <c:tx>
            <c:strRef>
              <c:f>Kuviot!$BD$11</c:f>
              <c:strCache>
                <c:ptCount val="1"/>
                <c:pt idx="0">
                  <c:v>rahoituserät (netto) 3%</c:v>
                </c:pt>
              </c:strCache>
            </c:strRef>
          </c:tx>
          <c:spPr>
            <a:solidFill>
              <a:srgbClr val="00B050"/>
            </a:solidFill>
            <a:ln w="12700">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dLbls>
          <c:cat>
            <c:strRef>
              <c:f>Kuviot!$BE$5:$BF$5</c:f>
              <c:strCache/>
            </c:strRef>
          </c:cat>
          <c:val>
            <c:numRef>
              <c:f>Kuviot!$BE$11:$BF$11</c:f>
              <c:numCache/>
            </c:numRef>
          </c:val>
        </c:ser>
        <c:ser>
          <c:idx val="7"/>
          <c:order val="6"/>
          <c:tx>
            <c:strRef>
              <c:f>Kuviot!$BD$12</c:f>
              <c:strCache>
                <c:ptCount val="1"/>
                <c:pt idx="0">
                  <c:v>poistot</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Kuviot!$BE$5:$BF$5</c:f>
              <c:strCache/>
            </c:strRef>
          </c:cat>
          <c:val>
            <c:numRef>
              <c:f>Kuviot!$BE$12:$BF$12</c:f>
              <c:numCache/>
            </c:numRef>
          </c:val>
        </c:ser>
        <c:ser>
          <c:idx val="6"/>
          <c:order val="7"/>
          <c:tx>
            <c:strRef>
              <c:f>Kuviot!$BD$14</c:f>
              <c:strCache>
                <c:ptCount val="1"/>
                <c:pt idx="0">
                  <c:v>poistuvat</c:v>
                </c:pt>
              </c:strCache>
            </c:strRef>
          </c:tx>
          <c:spPr>
            <a:no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noFill/>
              <a:ln w="12700">
                <a:solidFill>
                  <a:srgbClr val="969696"/>
                </a:solidFill>
                <a:prstDash val="dashDot"/>
              </a:ln>
              <a:effectLst>
                <a:outerShdw dist="35921" dir="2700000" algn="br">
                  <a:prstClr val="black"/>
                </a:outerShdw>
              </a:effectLst>
            </c:spPr>
          </c:dPt>
          <c:dPt>
            <c:idx val="1"/>
            <c:invertIfNegative val="0"/>
            <c:spPr>
              <a:noFill/>
              <a:ln w="12700">
                <a:solidFill>
                  <a:srgbClr val="969696"/>
                </a:solidFill>
                <a:prstDash val="dashDot"/>
              </a:ln>
              <a:effectLst>
                <a:outerShdw dist="35921" dir="2700000" algn="br">
                  <a:prstClr val="black"/>
                </a:outerShdw>
              </a:effectLst>
            </c:spPr>
          </c:dPt>
          <c:cat>
            <c:strRef>
              <c:f>Kuviot!$BE$5:$BF$5</c:f>
              <c:strCache/>
            </c:strRef>
          </c:cat>
          <c:val>
            <c:numRef>
              <c:f>Kuviot!$BE$14:$BF$14</c:f>
              <c:numCache/>
            </c:numRef>
          </c:val>
        </c:ser>
        <c:overlap val="100"/>
        <c:gapWidth val="40"/>
        <c:axId val="42962305"/>
        <c:axId val="51116426"/>
      </c:barChart>
      <c:catAx>
        <c:axId val="42962305"/>
        <c:scaling>
          <c:orientation val="minMax"/>
        </c:scaling>
        <c:axPos val="b"/>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000000"/>
                </a:solidFill>
              </a:defRPr>
            </a:pPr>
          </a:p>
        </c:txPr>
        <c:crossAx val="51116426"/>
        <c:crosses val="autoZero"/>
        <c:auto val="1"/>
        <c:lblOffset val="100"/>
        <c:tickLblSkip val="1"/>
        <c:noMultiLvlLbl val="0"/>
      </c:catAx>
      <c:valAx>
        <c:axId val="51116426"/>
        <c:scaling>
          <c:orientation val="minMax"/>
        </c:scaling>
        <c:axPos val="l"/>
        <c:majorGridlines>
          <c:spPr>
            <a:ln w="3175">
              <a:solidFill>
                <a:srgbClr val="C0C0C0"/>
              </a:solidFill>
              <a:prstDash val="dash"/>
            </a:ln>
          </c:spPr>
        </c:majorGridlines>
        <c:delete val="1"/>
        <c:majorTickMark val="out"/>
        <c:minorTickMark val="none"/>
        <c:tickLblPos val="nextTo"/>
        <c:crossAx val="42962305"/>
        <c:crossesAt val="1"/>
        <c:crossBetween val="between"/>
        <c:dispUnits/>
      </c:valAx>
      <c:spPr>
        <a:noFill/>
        <a:ln>
          <a:no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925"/>
          <c:y val="0.02575"/>
          <c:w val="0.9595"/>
          <c:h val="0.9825"/>
        </c:manualLayout>
      </c:layout>
      <c:barChart>
        <c:barDir val="col"/>
        <c:grouping val="stacked"/>
        <c:varyColors val="0"/>
        <c:ser>
          <c:idx val="0"/>
          <c:order val="0"/>
          <c:tx>
            <c:strRef>
              <c:f>Kuviot!$BG$6</c:f>
              <c:strCache>
                <c:ptCount val="1"/>
                <c:pt idx="0">
                  <c:v>toimintakate</c:v>
                </c:pt>
              </c:strCache>
            </c:strRef>
          </c:tx>
          <c:spPr>
            <a:solidFill>
              <a:srgbClr val="BFBFB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Kuviot!$BH$5:$BI$5</c:f>
              <c:strCache/>
            </c:strRef>
          </c:cat>
          <c:val>
            <c:numRef>
              <c:f>Kuviot!$BH$6:$BI$6</c:f>
              <c:numCache/>
            </c:numRef>
          </c:val>
        </c:ser>
        <c:ser>
          <c:idx val="1"/>
          <c:order val="1"/>
          <c:tx>
            <c:strRef>
              <c:f>Kuviot!$BG$7</c:f>
              <c:strCache>
                <c:ptCount val="1"/>
                <c:pt idx="0">
                  <c:v>kunnallisvero 50%</c:v>
                </c:pt>
              </c:strCache>
            </c:strRef>
          </c:tx>
          <c:spPr>
            <a:solidFill>
              <a:srgbClr val="FFFF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Kuviot!$BH$5:$BI$5</c:f>
              <c:strCache/>
            </c:strRef>
          </c:cat>
          <c:val>
            <c:numRef>
              <c:f>Kuviot!$BH$7:$BI$7</c:f>
              <c:numCache/>
            </c:numRef>
          </c:val>
        </c:ser>
        <c:ser>
          <c:idx val="2"/>
          <c:order val="2"/>
          <c:tx>
            <c:strRef>
              <c:f>Kuviot!$BG$8</c:f>
              <c:strCache>
                <c:ptCount val="1"/>
                <c:pt idx="0">
                  <c:v>yhteisövero 8%</c:v>
                </c:pt>
              </c:strCache>
            </c:strRef>
          </c:tx>
          <c:spPr>
            <a:solidFill>
              <a:srgbClr val="CC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Kuviot!$BH$5:$BI$5</c:f>
              <c:strCache/>
            </c:strRef>
          </c:cat>
          <c:val>
            <c:numRef>
              <c:f>Kuviot!$BH$8:$BI$8</c:f>
              <c:numCache/>
            </c:numRef>
          </c:val>
        </c:ser>
        <c:ser>
          <c:idx val="3"/>
          <c:order val="3"/>
          <c:tx>
            <c:strRef>
              <c:f>Kuviot!$BG$9</c:f>
              <c:strCache>
                <c:ptCount val="1"/>
                <c:pt idx="0">
                  <c:v>kiinteistövero 13%</c:v>
                </c:pt>
              </c:strCache>
            </c:strRef>
          </c:tx>
          <c:spPr>
            <a:solidFill>
              <a:srgbClr val="FFCC00"/>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Kuviot!$BH$5:$BI$5</c:f>
              <c:strCache/>
            </c:strRef>
          </c:cat>
          <c:val>
            <c:numRef>
              <c:f>Kuviot!$BH$9:$BI$9</c:f>
              <c:numCache/>
            </c:numRef>
          </c:val>
        </c:ser>
        <c:ser>
          <c:idx val="4"/>
          <c:order val="4"/>
          <c:tx>
            <c:strRef>
              <c:f>Kuviot!$BG$10</c:f>
              <c:strCache>
                <c:ptCount val="1"/>
                <c:pt idx="0">
                  <c:v>vos 26%</c:v>
                </c:pt>
              </c:strCache>
            </c:strRef>
          </c:tx>
          <c:spPr>
            <a:gradFill rotWithShape="1">
              <a:gsLst>
                <a:gs pos="0">
                  <a:srgbClr val="2787A0"/>
                </a:gs>
                <a:gs pos="80000">
                  <a:srgbClr val="36B1D2"/>
                </a:gs>
                <a:gs pos="100000">
                  <a:srgbClr val="34B3D6"/>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Lbls>
            <c:dLbl>
              <c:idx val="0"/>
              <c:delete val="1"/>
            </c:dLbl>
            <c:numFmt formatCode="General" sourceLinked="1"/>
          </c:dLbls>
          <c:cat>
            <c:strRef>
              <c:f>Kuviot!$BH$5:$BI$5</c:f>
              <c:strCache/>
            </c:strRef>
          </c:cat>
          <c:val>
            <c:numRef>
              <c:f>Kuviot!$BH$10:$BI$10</c:f>
              <c:numCache/>
            </c:numRef>
          </c:val>
        </c:ser>
        <c:ser>
          <c:idx val="5"/>
          <c:order val="5"/>
          <c:tx>
            <c:strRef>
              <c:f>Kuviot!$BG$11</c:f>
              <c:strCache>
                <c:ptCount val="1"/>
                <c:pt idx="0">
                  <c:v>rahoituserät (netto) 3%</c:v>
                </c:pt>
              </c:strCache>
            </c:strRef>
          </c:tx>
          <c:spPr>
            <a:solidFill>
              <a:srgbClr val="00B050"/>
            </a:solidFill>
            <a:ln w="12700">
              <a:solidFill>
                <a:srgbClr val="C0C0C0"/>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dLbl>
              <c:idx val="0"/>
              <c:delete val="1"/>
            </c:dLbl>
            <c:numFmt formatCode="General" sourceLinked="1"/>
          </c:dLbls>
          <c:cat>
            <c:strRef>
              <c:f>Kuviot!$BH$5:$BI$5</c:f>
              <c:strCache/>
            </c:strRef>
          </c:cat>
          <c:val>
            <c:numRef>
              <c:f>Kuviot!$BH$11:$BI$11</c:f>
              <c:numCache/>
            </c:numRef>
          </c:val>
        </c:ser>
        <c:ser>
          <c:idx val="7"/>
          <c:order val="6"/>
          <c:tx>
            <c:strRef>
              <c:f>Kuviot!$BG$12</c:f>
              <c:strCache>
                <c:ptCount val="1"/>
                <c:pt idx="0">
                  <c:v>poistot</c:v>
                </c:pt>
              </c:strCache>
            </c:strRef>
          </c:tx>
          <c:spPr>
            <a:solidFill>
              <a:srgbClr val="7F7F7F"/>
            </a:soli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dLbls>
          <c:cat>
            <c:strRef>
              <c:f>Kuviot!$BH$5:$BI$5</c:f>
              <c:strCache/>
            </c:strRef>
          </c:cat>
          <c:val>
            <c:numRef>
              <c:f>Kuviot!$BH$12:$BI$12</c:f>
              <c:numCache/>
            </c:numRef>
          </c:val>
        </c:ser>
        <c:ser>
          <c:idx val="6"/>
          <c:order val="7"/>
          <c:tx>
            <c:strRef>
              <c:f>Kuviot!$BG$14</c:f>
              <c:strCache>
                <c:ptCount val="1"/>
                <c:pt idx="0">
                  <c:v>poistuvat</c:v>
                </c:pt>
              </c:strCache>
            </c:strRef>
          </c:tx>
          <c:spPr>
            <a:noFill/>
            <a:ln w="12700">
              <a:solidFill>
                <a:srgbClr val="969696"/>
              </a:solid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noFill/>
              <a:ln w="12700">
                <a:solidFill>
                  <a:srgbClr val="969696"/>
                </a:solidFill>
                <a:prstDash val="dashDot"/>
              </a:ln>
              <a:effectLst>
                <a:outerShdw dist="35921" dir="2700000" algn="br">
                  <a:prstClr val="black"/>
                </a:outerShdw>
              </a:effectLst>
            </c:spPr>
          </c:dPt>
          <c:dPt>
            <c:idx val="1"/>
            <c:invertIfNegative val="0"/>
            <c:spPr>
              <a:noFill/>
              <a:ln w="12700">
                <a:solidFill>
                  <a:srgbClr val="969696"/>
                </a:solidFill>
                <a:prstDash val="dashDot"/>
              </a:ln>
              <a:effectLst>
                <a:outerShdw dist="35921" dir="2700000" algn="br">
                  <a:prstClr val="black"/>
                </a:outerShdw>
              </a:effectLst>
            </c:spPr>
          </c:dPt>
          <c:cat>
            <c:strRef>
              <c:f>Kuviot!$BH$5:$BI$5</c:f>
              <c:strCache/>
            </c:strRef>
          </c:cat>
          <c:val>
            <c:numRef>
              <c:f>Kuviot!$BH$14:$BI$14</c:f>
              <c:numCache/>
            </c:numRef>
          </c:val>
        </c:ser>
        <c:overlap val="100"/>
        <c:gapWidth val="40"/>
        <c:axId val="57394651"/>
        <c:axId val="46789812"/>
      </c:barChart>
      <c:catAx>
        <c:axId val="57394651"/>
        <c:scaling>
          <c:orientation val="minMax"/>
        </c:scaling>
        <c:axPos val="b"/>
        <c:delete val="0"/>
        <c:numFmt formatCode="General" sourceLinked="1"/>
        <c:majorTickMark val="none"/>
        <c:minorTickMark val="none"/>
        <c:tickLblPos val="nextTo"/>
        <c:spPr>
          <a:ln w="3175">
            <a:solidFill>
              <a:srgbClr val="CCCCFF"/>
            </a:solidFill>
          </a:ln>
        </c:spPr>
        <c:txPr>
          <a:bodyPr vert="horz" rot="0"/>
          <a:lstStyle/>
          <a:p>
            <a:pPr>
              <a:defRPr lang="en-US" cap="none" sz="900" b="0" i="0" u="none" baseline="0">
                <a:solidFill>
                  <a:srgbClr val="000000"/>
                </a:solidFill>
              </a:defRPr>
            </a:pPr>
          </a:p>
        </c:txPr>
        <c:crossAx val="46789812"/>
        <c:crosses val="autoZero"/>
        <c:auto val="1"/>
        <c:lblOffset val="100"/>
        <c:tickLblSkip val="1"/>
        <c:noMultiLvlLbl val="0"/>
      </c:catAx>
      <c:valAx>
        <c:axId val="46789812"/>
        <c:scaling>
          <c:orientation val="minMax"/>
        </c:scaling>
        <c:axPos val="l"/>
        <c:majorGridlines>
          <c:spPr>
            <a:ln w="3175">
              <a:solidFill>
                <a:srgbClr val="C0C0C0"/>
              </a:solidFill>
              <a:prstDash val="dash"/>
            </a:ln>
          </c:spPr>
        </c:majorGridlines>
        <c:delete val="1"/>
        <c:majorTickMark val="out"/>
        <c:minorTickMark val="none"/>
        <c:tickLblPos val="nextTo"/>
        <c:crossAx val="57394651"/>
        <c:crossesAt val="1"/>
        <c:crossBetween val="between"/>
        <c:dispUnits/>
      </c:valAx>
      <c:spPr>
        <a:noFill/>
        <a:ln>
          <a:noFill/>
        </a:ln>
      </c:spPr>
    </c:plotArea>
    <c:plotVisOnly val="1"/>
    <c:dispBlanksAs val="gap"/>
    <c:showDLblsOverMax val="0"/>
  </c:chart>
  <c:spPr>
    <a:solidFill>
      <a:srgbClr val="FFFFFF"/>
    </a:solidFill>
    <a:ln w="12700">
      <a:solidFill>
        <a:srgbClr val="C0C0C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3</xdr:row>
      <xdr:rowOff>28575</xdr:rowOff>
    </xdr:from>
    <xdr:to>
      <xdr:col>6</xdr:col>
      <xdr:colOff>57150</xdr:colOff>
      <xdr:row>23</xdr:row>
      <xdr:rowOff>95250</xdr:rowOff>
    </xdr:to>
    <xdr:graphicFrame>
      <xdr:nvGraphicFramePr>
        <xdr:cNvPr id="1" name="Kaavio 10"/>
        <xdr:cNvGraphicFramePr/>
      </xdr:nvGraphicFramePr>
      <xdr:xfrm>
        <a:off x="66675" y="514350"/>
        <a:ext cx="4067175" cy="3362325"/>
      </xdr:xfrm>
      <a:graphic>
        <a:graphicData uri="http://schemas.openxmlformats.org/drawingml/2006/chart">
          <c:chart xmlns:c="http://schemas.openxmlformats.org/drawingml/2006/chart" r:id="rId1"/>
        </a:graphicData>
      </a:graphic>
    </xdr:graphicFrame>
    <xdr:clientData/>
  </xdr:twoCellAnchor>
  <xdr:twoCellAnchor>
    <xdr:from>
      <xdr:col>7</xdr:col>
      <xdr:colOff>19050</xdr:colOff>
      <xdr:row>3</xdr:row>
      <xdr:rowOff>19050</xdr:rowOff>
    </xdr:from>
    <xdr:to>
      <xdr:col>13</xdr:col>
      <xdr:colOff>352425</xdr:colOff>
      <xdr:row>23</xdr:row>
      <xdr:rowOff>95250</xdr:rowOff>
    </xdr:to>
    <xdr:graphicFrame>
      <xdr:nvGraphicFramePr>
        <xdr:cNvPr id="2" name="Kaavio 11"/>
        <xdr:cNvGraphicFramePr/>
      </xdr:nvGraphicFramePr>
      <xdr:xfrm>
        <a:off x="4733925" y="504825"/>
        <a:ext cx="4210050" cy="3371850"/>
      </xdr:xfrm>
      <a:graphic>
        <a:graphicData uri="http://schemas.openxmlformats.org/drawingml/2006/chart">
          <c:chart xmlns:c="http://schemas.openxmlformats.org/drawingml/2006/chart" r:id="rId2"/>
        </a:graphicData>
      </a:graphic>
    </xdr:graphicFrame>
    <xdr:clientData/>
  </xdr:twoCellAnchor>
  <xdr:twoCellAnchor>
    <xdr:from>
      <xdr:col>6</xdr:col>
      <xdr:colOff>104775</xdr:colOff>
      <xdr:row>10</xdr:row>
      <xdr:rowOff>38100</xdr:rowOff>
    </xdr:from>
    <xdr:to>
      <xdr:col>6</xdr:col>
      <xdr:colOff>485775</xdr:colOff>
      <xdr:row>14</xdr:row>
      <xdr:rowOff>28575</xdr:rowOff>
    </xdr:to>
    <xdr:sp>
      <xdr:nvSpPr>
        <xdr:cNvPr id="3" name="Nuoli oikealle 12"/>
        <xdr:cNvSpPr>
          <a:spLocks/>
        </xdr:cNvSpPr>
      </xdr:nvSpPr>
      <xdr:spPr>
        <a:xfrm>
          <a:off x="4181475" y="1657350"/>
          <a:ext cx="381000" cy="6381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15</xdr:col>
      <xdr:colOff>19050</xdr:colOff>
      <xdr:row>3</xdr:row>
      <xdr:rowOff>19050</xdr:rowOff>
    </xdr:from>
    <xdr:to>
      <xdr:col>20</xdr:col>
      <xdr:colOff>257175</xdr:colOff>
      <xdr:row>23</xdr:row>
      <xdr:rowOff>95250</xdr:rowOff>
    </xdr:to>
    <xdr:graphicFrame>
      <xdr:nvGraphicFramePr>
        <xdr:cNvPr id="4" name="Kaavio 11"/>
        <xdr:cNvGraphicFramePr/>
      </xdr:nvGraphicFramePr>
      <xdr:xfrm>
        <a:off x="9829800" y="504825"/>
        <a:ext cx="4181475" cy="3371850"/>
      </xdr:xfrm>
      <a:graphic>
        <a:graphicData uri="http://schemas.openxmlformats.org/drawingml/2006/chart">
          <c:chart xmlns:c="http://schemas.openxmlformats.org/drawingml/2006/chart" r:id="rId3"/>
        </a:graphicData>
      </a:graphic>
    </xdr:graphicFrame>
    <xdr:clientData/>
  </xdr:twoCellAnchor>
  <xdr:twoCellAnchor>
    <xdr:from>
      <xdr:col>14</xdr:col>
      <xdr:colOff>0</xdr:colOff>
      <xdr:row>10</xdr:row>
      <xdr:rowOff>76200</xdr:rowOff>
    </xdr:from>
    <xdr:to>
      <xdr:col>14</xdr:col>
      <xdr:colOff>428625</xdr:colOff>
      <xdr:row>14</xdr:row>
      <xdr:rowOff>76200</xdr:rowOff>
    </xdr:to>
    <xdr:sp>
      <xdr:nvSpPr>
        <xdr:cNvPr id="5" name="Nuoli oikealle 6"/>
        <xdr:cNvSpPr>
          <a:spLocks/>
        </xdr:cNvSpPr>
      </xdr:nvSpPr>
      <xdr:spPr>
        <a:xfrm>
          <a:off x="9201150" y="1695450"/>
          <a:ext cx="428625" cy="6477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21</xdr:col>
      <xdr:colOff>76200</xdr:colOff>
      <xdr:row>3</xdr:row>
      <xdr:rowOff>28575</xdr:rowOff>
    </xdr:from>
    <xdr:to>
      <xdr:col>28</xdr:col>
      <xdr:colOff>57150</xdr:colOff>
      <xdr:row>23</xdr:row>
      <xdr:rowOff>104775</xdr:rowOff>
    </xdr:to>
    <xdr:graphicFrame>
      <xdr:nvGraphicFramePr>
        <xdr:cNvPr id="6" name="Kaavio 11"/>
        <xdr:cNvGraphicFramePr/>
      </xdr:nvGraphicFramePr>
      <xdr:xfrm>
        <a:off x="14744700" y="514350"/>
        <a:ext cx="4362450" cy="3371850"/>
      </xdr:xfrm>
      <a:graphic>
        <a:graphicData uri="http://schemas.openxmlformats.org/drawingml/2006/chart">
          <c:chart xmlns:c="http://schemas.openxmlformats.org/drawingml/2006/chart" r:id="rId4"/>
        </a:graphicData>
      </a:graphic>
    </xdr:graphicFrame>
    <xdr:clientData/>
  </xdr:twoCellAnchor>
  <xdr:twoCellAnchor>
    <xdr:from>
      <xdr:col>20</xdr:col>
      <xdr:colOff>295275</xdr:colOff>
      <xdr:row>10</xdr:row>
      <xdr:rowOff>28575</xdr:rowOff>
    </xdr:from>
    <xdr:to>
      <xdr:col>20</xdr:col>
      <xdr:colOff>704850</xdr:colOff>
      <xdr:row>14</xdr:row>
      <xdr:rowOff>19050</xdr:rowOff>
    </xdr:to>
    <xdr:sp>
      <xdr:nvSpPr>
        <xdr:cNvPr id="7" name="Nuoli oikealle 8"/>
        <xdr:cNvSpPr>
          <a:spLocks/>
        </xdr:cNvSpPr>
      </xdr:nvSpPr>
      <xdr:spPr>
        <a:xfrm>
          <a:off x="14049375" y="1647825"/>
          <a:ext cx="409575" cy="63817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29</xdr:col>
      <xdr:colOff>57150</xdr:colOff>
      <xdr:row>3</xdr:row>
      <xdr:rowOff>28575</xdr:rowOff>
    </xdr:from>
    <xdr:to>
      <xdr:col>36</xdr:col>
      <xdr:colOff>66675</xdr:colOff>
      <xdr:row>23</xdr:row>
      <xdr:rowOff>95250</xdr:rowOff>
    </xdr:to>
    <xdr:graphicFrame>
      <xdr:nvGraphicFramePr>
        <xdr:cNvPr id="8" name="Kaavio 11"/>
        <xdr:cNvGraphicFramePr/>
      </xdr:nvGraphicFramePr>
      <xdr:xfrm>
        <a:off x="19716750" y="514350"/>
        <a:ext cx="4514850" cy="3362325"/>
      </xdr:xfrm>
      <a:graphic>
        <a:graphicData uri="http://schemas.openxmlformats.org/drawingml/2006/chart">
          <c:chart xmlns:c="http://schemas.openxmlformats.org/drawingml/2006/chart" r:id="rId5"/>
        </a:graphicData>
      </a:graphic>
    </xdr:graphicFrame>
    <xdr:clientData/>
  </xdr:twoCellAnchor>
  <xdr:twoCellAnchor>
    <xdr:from>
      <xdr:col>28</xdr:col>
      <xdr:colOff>114300</xdr:colOff>
      <xdr:row>10</xdr:row>
      <xdr:rowOff>85725</xdr:rowOff>
    </xdr:from>
    <xdr:to>
      <xdr:col>28</xdr:col>
      <xdr:colOff>485775</xdr:colOff>
      <xdr:row>14</xdr:row>
      <xdr:rowOff>85725</xdr:rowOff>
    </xdr:to>
    <xdr:sp>
      <xdr:nvSpPr>
        <xdr:cNvPr id="9" name="Nuoli oikealle 10"/>
        <xdr:cNvSpPr>
          <a:spLocks/>
        </xdr:cNvSpPr>
      </xdr:nvSpPr>
      <xdr:spPr>
        <a:xfrm>
          <a:off x="19164300" y="1704975"/>
          <a:ext cx="371475" cy="6477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37</xdr:col>
      <xdr:colOff>95250</xdr:colOff>
      <xdr:row>3</xdr:row>
      <xdr:rowOff>28575</xdr:rowOff>
    </xdr:from>
    <xdr:to>
      <xdr:col>42</xdr:col>
      <xdr:colOff>123825</xdr:colOff>
      <xdr:row>23</xdr:row>
      <xdr:rowOff>104775</xdr:rowOff>
    </xdr:to>
    <xdr:graphicFrame>
      <xdr:nvGraphicFramePr>
        <xdr:cNvPr id="10" name="Kaavio 11"/>
        <xdr:cNvGraphicFramePr/>
      </xdr:nvGraphicFramePr>
      <xdr:xfrm>
        <a:off x="24869775" y="514350"/>
        <a:ext cx="4219575" cy="3371850"/>
      </xdr:xfrm>
      <a:graphic>
        <a:graphicData uri="http://schemas.openxmlformats.org/drawingml/2006/chart">
          <c:chart xmlns:c="http://schemas.openxmlformats.org/drawingml/2006/chart" r:id="rId6"/>
        </a:graphicData>
      </a:graphic>
    </xdr:graphicFrame>
    <xdr:clientData/>
  </xdr:twoCellAnchor>
  <xdr:twoCellAnchor>
    <xdr:from>
      <xdr:col>36</xdr:col>
      <xdr:colOff>161925</xdr:colOff>
      <xdr:row>10</xdr:row>
      <xdr:rowOff>76200</xdr:rowOff>
    </xdr:from>
    <xdr:to>
      <xdr:col>37</xdr:col>
      <xdr:colOff>38100</xdr:colOff>
      <xdr:row>14</xdr:row>
      <xdr:rowOff>76200</xdr:rowOff>
    </xdr:to>
    <xdr:sp>
      <xdr:nvSpPr>
        <xdr:cNvPr id="11" name="Nuoli oikealle 13"/>
        <xdr:cNvSpPr>
          <a:spLocks/>
        </xdr:cNvSpPr>
      </xdr:nvSpPr>
      <xdr:spPr>
        <a:xfrm>
          <a:off x="24326850" y="1695450"/>
          <a:ext cx="485775" cy="647700"/>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57150</xdr:colOff>
      <xdr:row>1</xdr:row>
      <xdr:rowOff>0</xdr:rowOff>
    </xdr:from>
    <xdr:to>
      <xdr:col>7</xdr:col>
      <xdr:colOff>1200150</xdr:colOff>
      <xdr:row>2</xdr:row>
      <xdr:rowOff>247650</xdr:rowOff>
    </xdr:to>
    <xdr:pic>
      <xdr:nvPicPr>
        <xdr:cNvPr id="1" name="Kuva 1"/>
        <xdr:cNvPicPr preferRelativeResize="1">
          <a:picLocks noChangeAspect="1"/>
        </xdr:cNvPicPr>
      </xdr:nvPicPr>
      <xdr:blipFill>
        <a:blip r:embed="rId1"/>
        <a:stretch>
          <a:fillRect/>
        </a:stretch>
      </xdr:blipFill>
      <xdr:spPr>
        <a:xfrm>
          <a:off x="11191875" y="161925"/>
          <a:ext cx="1143000" cy="5524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352425</xdr:colOff>
      <xdr:row>4</xdr:row>
      <xdr:rowOff>95250</xdr:rowOff>
    </xdr:from>
    <xdr:to>
      <xdr:col>10</xdr:col>
      <xdr:colOff>47625</xdr:colOff>
      <xdr:row>18</xdr:row>
      <xdr:rowOff>104775</xdr:rowOff>
    </xdr:to>
    <xdr:pic>
      <xdr:nvPicPr>
        <xdr:cNvPr id="1" name="Kuva 1"/>
        <xdr:cNvPicPr preferRelativeResize="1">
          <a:picLocks noChangeAspect="1"/>
        </xdr:cNvPicPr>
      </xdr:nvPicPr>
      <xdr:blipFill>
        <a:blip r:embed="rId1"/>
        <a:stretch>
          <a:fillRect/>
        </a:stretch>
      </xdr:blipFill>
      <xdr:spPr>
        <a:xfrm>
          <a:off x="4438650" y="771525"/>
          <a:ext cx="2857500" cy="2352675"/>
        </a:xfrm>
        <a:prstGeom prst="rect">
          <a:avLst/>
        </a:prstGeom>
        <a:noFill/>
        <a:ln w="9525" cmpd="sng">
          <a:noFill/>
        </a:ln>
      </xdr:spPr>
    </xdr:pic>
    <xdr:clientData/>
  </xdr:twoCellAnchor>
  <xdr:twoCellAnchor>
    <xdr:from>
      <xdr:col>4</xdr:col>
      <xdr:colOff>409575</xdr:colOff>
      <xdr:row>20</xdr:row>
      <xdr:rowOff>114300</xdr:rowOff>
    </xdr:from>
    <xdr:to>
      <xdr:col>5</xdr:col>
      <xdr:colOff>352425</xdr:colOff>
      <xdr:row>26</xdr:row>
      <xdr:rowOff>57150</xdr:rowOff>
    </xdr:to>
    <xdr:sp>
      <xdr:nvSpPr>
        <xdr:cNvPr id="2" name="Nuoli oikealle 2"/>
        <xdr:cNvSpPr>
          <a:spLocks/>
        </xdr:cNvSpPr>
      </xdr:nvSpPr>
      <xdr:spPr>
        <a:xfrm>
          <a:off x="3448050" y="3457575"/>
          <a:ext cx="990600" cy="1000125"/>
        </a:xfrm>
        <a:prstGeom prst="rightArrow">
          <a:avLst>
            <a:gd name="adj" fmla="val 0"/>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171450</xdr:colOff>
      <xdr:row>20</xdr:row>
      <xdr:rowOff>95250</xdr:rowOff>
    </xdr:from>
    <xdr:to>
      <xdr:col>10</xdr:col>
      <xdr:colOff>495300</xdr:colOff>
      <xdr:row>26</xdr:row>
      <xdr:rowOff>57150</xdr:rowOff>
    </xdr:to>
    <xdr:sp>
      <xdr:nvSpPr>
        <xdr:cNvPr id="3" name="Nuoli oikealle 3"/>
        <xdr:cNvSpPr>
          <a:spLocks/>
        </xdr:cNvSpPr>
      </xdr:nvSpPr>
      <xdr:spPr>
        <a:xfrm rot="10800000">
          <a:off x="6810375" y="3438525"/>
          <a:ext cx="933450" cy="1019175"/>
        </a:xfrm>
        <a:prstGeom prst="rightArrow">
          <a:avLst>
            <a:gd name="adj" fmla="val 1217"/>
          </a:avLst>
        </a:prstGeom>
        <a:solidFill>
          <a:srgbClr val="4F81BD"/>
        </a:solidFill>
        <a:ln w="25400" cmpd="sng">
          <a:solidFill>
            <a:srgbClr val="385D8A"/>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4314825</xdr:colOff>
      <xdr:row>1</xdr:row>
      <xdr:rowOff>28575</xdr:rowOff>
    </xdr:from>
    <xdr:to>
      <xdr:col>5</xdr:col>
      <xdr:colOff>5467350</xdr:colOff>
      <xdr:row>4</xdr:row>
      <xdr:rowOff>0</xdr:rowOff>
    </xdr:to>
    <xdr:pic>
      <xdr:nvPicPr>
        <xdr:cNvPr id="1" name="Kuva 1"/>
        <xdr:cNvPicPr preferRelativeResize="1">
          <a:picLocks noChangeAspect="1"/>
        </xdr:cNvPicPr>
      </xdr:nvPicPr>
      <xdr:blipFill>
        <a:blip r:embed="rId1"/>
        <a:stretch>
          <a:fillRect/>
        </a:stretch>
      </xdr:blipFill>
      <xdr:spPr>
        <a:xfrm>
          <a:off x="10772775" y="190500"/>
          <a:ext cx="114300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5400675</xdr:colOff>
      <xdr:row>2</xdr:row>
      <xdr:rowOff>28575</xdr:rowOff>
    </xdr:from>
    <xdr:to>
      <xdr:col>4</xdr:col>
      <xdr:colOff>6534150</xdr:colOff>
      <xdr:row>4</xdr:row>
      <xdr:rowOff>133350</xdr:rowOff>
    </xdr:to>
    <xdr:pic>
      <xdr:nvPicPr>
        <xdr:cNvPr id="1" name="Kuva 1"/>
        <xdr:cNvPicPr preferRelativeResize="1">
          <a:picLocks noChangeAspect="1"/>
        </xdr:cNvPicPr>
      </xdr:nvPicPr>
      <xdr:blipFill>
        <a:blip r:embed="rId1"/>
        <a:stretch>
          <a:fillRect/>
        </a:stretch>
      </xdr:blipFill>
      <xdr:spPr>
        <a:xfrm>
          <a:off x="11410950" y="409575"/>
          <a:ext cx="1143000" cy="4953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13</xdr:col>
      <xdr:colOff>114300</xdr:colOff>
      <xdr:row>8</xdr:row>
      <xdr:rowOff>95250</xdr:rowOff>
    </xdr:from>
    <xdr:to>
      <xdr:col>20</xdr:col>
      <xdr:colOff>57150</xdr:colOff>
      <xdr:row>15</xdr:row>
      <xdr:rowOff>104775</xdr:rowOff>
    </xdr:to>
    <xdr:pic>
      <xdr:nvPicPr>
        <xdr:cNvPr id="1" name="Kuva 2"/>
        <xdr:cNvPicPr preferRelativeResize="1">
          <a:picLocks noChangeAspect="1"/>
        </xdr:cNvPicPr>
      </xdr:nvPicPr>
      <xdr:blipFill>
        <a:blip r:embed="rId1"/>
        <a:stretch>
          <a:fillRect/>
        </a:stretch>
      </xdr:blipFill>
      <xdr:spPr>
        <a:xfrm>
          <a:off x="9744075" y="1390650"/>
          <a:ext cx="4210050" cy="1143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http://alueuudistus.fi/kuntien-valtionosuusjarjestelma" TargetMode="External" /><Relationship Id="rId2" Type="http://schemas.openxmlformats.org/officeDocument/2006/relationships/hyperlink" Target="http://alueuudistus.fi/documents/1477425/5328784/Kuntakohtaisten+painelaskelmien+aineisto-+ja+menetelm%C3%A4kuvaus+15092017/35d54485-5fa0-497c-a9fe-9ae11d963a09" TargetMode="External" /><Relationship Id="rId3" Type="http://schemas.openxmlformats.org/officeDocument/2006/relationships/drawing" Target="../drawings/drawing6.xml" /><Relationship Id="rId4"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Taul4"/>
  <dimension ref="B1:BI29"/>
  <sheetViews>
    <sheetView zoomScale="90" zoomScaleNormal="90" zoomScalePageLayoutView="0" workbookViewId="0" topLeftCell="A1">
      <selection activeCell="Q38" sqref="Q38"/>
    </sheetView>
  </sheetViews>
  <sheetFormatPr defaultColWidth="9.140625" defaultRowHeight="12.75"/>
  <cols>
    <col min="2" max="2" width="10.8515625" style="0" customWidth="1"/>
    <col min="3" max="3" width="8.28125" style="0" customWidth="1"/>
    <col min="4" max="4" width="12.28125" style="0" customWidth="1"/>
    <col min="5" max="5" width="11.7109375" style="0" customWidth="1"/>
    <col min="6" max="6" width="8.8515625" style="0" customWidth="1"/>
    <col min="7" max="7" width="9.57421875" style="0" customWidth="1"/>
    <col min="11" max="11" width="12.421875" style="0" customWidth="1"/>
    <col min="19" max="19" width="19.00390625" style="0" customWidth="1"/>
    <col min="20" max="20" width="12.7109375" style="0" customWidth="1"/>
    <col min="21" max="21" width="13.7109375" style="0" customWidth="1"/>
    <col min="22" max="22" width="9.7109375" style="0" customWidth="1"/>
    <col min="23" max="23" width="9.00390625" style="0" customWidth="1"/>
    <col min="24" max="24" width="8.8515625" style="0" customWidth="1"/>
    <col min="25" max="25" width="10.7109375" style="0" customWidth="1"/>
    <col min="33" max="33" width="11.57421875" style="0" customWidth="1"/>
    <col min="34" max="34" width="10.28125" style="0" customWidth="1"/>
    <col min="41" max="41" width="16.7109375" style="0" customWidth="1"/>
    <col min="42" max="42" width="18.7109375" style="0" customWidth="1"/>
    <col min="43" max="43" width="20.140625" style="0" customWidth="1"/>
    <col min="44" max="44" width="22.140625" style="0" customWidth="1"/>
    <col min="45" max="45" width="27.00390625" style="0" customWidth="1"/>
    <col min="46" max="46" width="18.421875" style="0" customWidth="1"/>
    <col min="47" max="47" width="16.140625" style="0" customWidth="1"/>
    <col min="48" max="48" width="23.28125" style="0" customWidth="1"/>
    <col min="49" max="49" width="16.28125" style="0" customWidth="1"/>
    <col min="50" max="50" width="19.57421875" style="0" customWidth="1"/>
    <col min="51" max="51" width="23.7109375" style="0" customWidth="1"/>
    <col min="52" max="52" width="18.28125" style="0" customWidth="1"/>
    <col min="53" max="53" width="17.57421875" style="0" customWidth="1"/>
    <col min="54" max="54" width="19.8515625" style="0" customWidth="1"/>
    <col min="55" max="55" width="18.140625" style="0" customWidth="1"/>
    <col min="56" max="56" width="17.140625" style="0" customWidth="1"/>
    <col min="57" max="57" width="15.57421875" style="0" customWidth="1"/>
    <col min="58" max="58" width="10.28125" style="0" customWidth="1"/>
    <col min="59" max="59" width="17.421875" style="0" customWidth="1"/>
    <col min="60" max="60" width="17.28125" style="0" customWidth="1"/>
    <col min="61" max="61" width="19.7109375" style="0" customWidth="1"/>
  </cols>
  <sheetData>
    <row r="1" ht="12.75">
      <c r="B1" s="111" t="s">
        <v>518</v>
      </c>
    </row>
    <row r="2" ht="12.75">
      <c r="B2" s="112" t="s">
        <v>515</v>
      </c>
    </row>
    <row r="3" spans="2:59" ht="12.75">
      <c r="B3" s="3" t="str">
        <f>"Vanha "&amp;Tuloslaskelma!A8</f>
        <v>Vanha Manner-Suomi</v>
      </c>
      <c r="I3" s="3" t="str">
        <f>"Uusi "&amp;Tuloslaskelma!$A$8&amp;" vuonna 2023"</f>
        <v>Uusi Manner-Suomi vuonna 2023</v>
      </c>
      <c r="J3" s="3"/>
      <c r="K3" s="3"/>
      <c r="L3" s="3"/>
      <c r="M3" s="3"/>
      <c r="N3" s="3"/>
      <c r="O3" s="3"/>
      <c r="P3" s="3"/>
      <c r="Q3" s="3" t="str">
        <f>"Uusi "&amp;Tuloslaskelma!$A$8&amp;" vuonna 2024"</f>
        <v>Uusi Manner-Suomi vuonna 2024</v>
      </c>
      <c r="R3" s="3"/>
      <c r="S3" s="3"/>
      <c r="T3" s="3"/>
      <c r="U3" s="3"/>
      <c r="V3" s="3"/>
      <c r="W3" s="3" t="str">
        <f>"Uusi "&amp;Tuloslaskelma!$A$8&amp;" vuonna 2025"</f>
        <v>Uusi Manner-Suomi vuonna 2025</v>
      </c>
      <c r="X3" s="3"/>
      <c r="Y3" s="3"/>
      <c r="Z3" s="3"/>
      <c r="AA3" s="3"/>
      <c r="AB3" s="3"/>
      <c r="AC3" s="3"/>
      <c r="AD3" s="3"/>
      <c r="AE3" s="3" t="str">
        <f>"Uusi "&amp;Tuloslaskelma!$A$8&amp;" vuonna 2026"</f>
        <v>Uusi Manner-Suomi vuonna 2026</v>
      </c>
      <c r="AF3" s="3"/>
      <c r="AG3" s="3"/>
      <c r="AH3" s="3"/>
      <c r="AI3" s="3"/>
      <c r="AJ3" s="3"/>
      <c r="AK3" s="3"/>
      <c r="AL3" s="3"/>
      <c r="AM3" s="3" t="str">
        <f>"Uusi "&amp;Tuloslaskelma!$A$8&amp;" vuonna 2027"</f>
        <v>Uusi Manner-Suomi vuonna 2027</v>
      </c>
      <c r="AU3">
        <v>2023</v>
      </c>
      <c r="AX3">
        <v>2024</v>
      </c>
      <c r="BA3">
        <v>2025</v>
      </c>
      <c r="BD3">
        <v>2026</v>
      </c>
      <c r="BG3">
        <v>2027</v>
      </c>
    </row>
    <row r="5" spans="44:61" ht="12.75">
      <c r="AR5" s="108"/>
      <c r="AS5" s="108" t="str">
        <f>"Toimintakate+poistot "&amp;IF(AS11="","","+rahoituserät(netto) ")&amp;IF(AS13&gt;1000000,ROUND(AS13/1000000,1)&amp;" mrd.€",ROUND(AS13/1000,0)&amp;" milj. €")</f>
        <v>Toimintakate+poistot 33,8 mrd.€</v>
      </c>
      <c r="AT5" s="108" t="str">
        <f>"Rahoitus "&amp;IF(AS13&gt;1000000,ROUND(AT13/1000000,1)&amp;" mrd.€",ROUND(AT13/1000,0)&amp;" milj. €")</f>
        <v>Rahoitus 34 mrd.€</v>
      </c>
      <c r="AU5" s="108"/>
      <c r="AV5" s="108" t="str">
        <f>"Toimintakate+poistot"&amp;IF(AV11="","","+rahoituser.(netto) ")&amp;" "&amp;IF(AV10="","","+vos(neg.) ")&amp;IF(AV13&gt;1000000,ROUND(AV13/1000000,1)&amp;" mrd.€",ROUND(AV13/1000,0)&amp;" milj. €")</f>
        <v>Toimintakate+poistot 13,9 mrd.€</v>
      </c>
      <c r="AW5" s="108" t="str">
        <f>"Rahoitus "&amp;IF(AV13&gt;1000000,ROUND(AW13/1000000,1)&amp;" mrd.€",ROUND(AW13/1000,0)&amp;" milj. €")</f>
        <v>Rahoitus 14,1 mrd.€</v>
      </c>
      <c r="AX5" s="108"/>
      <c r="AY5" s="108" t="str">
        <f>"Toimintakate+poistot"&amp;IF(AY11="","","+rahoituser.(netto) ")&amp;" "&amp;IF(AY10="","","+vos(neg.) ")&amp;IF(AY13&gt;1000000,ROUND(AY13/1000000,1)&amp;" mrd.€",ROUND(AY13/1000,0)&amp;" milj. €")</f>
        <v>Toimintakate+poistot 13,9 mrd.€</v>
      </c>
      <c r="AZ5" s="108" t="str">
        <f>"Rahoitus "&amp;IF(AY13&gt;1000000,ROUND(AZ13/1000000,1)&amp;" mrd.€",ROUND(AZ13/1000,0)&amp;" milj. €")</f>
        <v>Rahoitus 14,1 mrd.€</v>
      </c>
      <c r="BA5" s="108"/>
      <c r="BB5" s="108" t="str">
        <f>"Toimintakate+poistot"&amp;IF(BB11="","","+rahoituser.(netto) ")&amp;" "&amp;IF(BB10="","","+vos(neg.) ")&amp;IF(BB13&gt;1000000,ROUND(BB13/1000000,1)&amp;" mrd.€",ROUND(BB13/1000,0)&amp;" milj. €")</f>
        <v>Toimintakate+poistot 13,9 mrd.€</v>
      </c>
      <c r="BC5" s="108" t="str">
        <f>"Rahoitus "&amp;IF(BB13&gt;1000000,ROUND(BC13/1000000,1)&amp;" mrd.€",ROUND(BC13/1000,0)&amp;" milj. €")</f>
        <v>Rahoitus 14,1 mrd.€</v>
      </c>
      <c r="BD5" s="108"/>
      <c r="BE5" s="108" t="str">
        <f>"Toimintakate+poistot"&amp;IF(BE11="","","+rahoituser.(netto) ")&amp;" "&amp;IF(BE10="","","+vos(neg.) ")&amp;IF(BE13&gt;1000000,ROUND(BE13/1000000,1)&amp;" mrd.€",ROUND(BE13/1000,0)&amp;" milj. €")</f>
        <v>Toimintakate+poistot 13,9 mrd.€</v>
      </c>
      <c r="BF5" s="108" t="str">
        <f>"Rahoitus "&amp;IF(BE13&gt;1000000,ROUND(BF13/1000000,1)&amp;" mrd.€",ROUND(BF13/1000,0)&amp;" milj. €")</f>
        <v>Rahoitus 14,1 mrd.€</v>
      </c>
      <c r="BG5" s="108"/>
      <c r="BH5" s="108" t="str">
        <f>"Toimintakate+poistot"&amp;IF(BH11="","","+rahoituser.(netto) ")&amp;" "&amp;IF(BH10="","","+vos(neg.) ")&amp;IF(BH13&gt;1000000,ROUND(BH13/1000000,1)&amp;" mrd.€",ROUND(BH13/1000,0)&amp;" milj. €")</f>
        <v>Toimintakate+poistot 13,9 mrd.€</v>
      </c>
      <c r="BI5" s="108" t="str">
        <f>"Rahoitus "&amp;IF(BH13&gt;1000000,ROUND(BI13/1000000,1)&amp;" mrd.€",ROUND(BI13/1000,0)&amp;" milj. €")</f>
        <v>Rahoitus 14,1 mrd.€</v>
      </c>
    </row>
    <row r="6" spans="44:60" ht="12.75">
      <c r="AR6" s="108" t="s">
        <v>514</v>
      </c>
      <c r="AS6" s="109">
        <f>Tuloslaskelma!B29*(-1)</f>
        <v>31532790.759999998</v>
      </c>
      <c r="AU6" s="108" t="s">
        <v>514</v>
      </c>
      <c r="AV6" s="109">
        <f>Tuloslaskelma!D29*(-1)</f>
        <v>11658489.48382001</v>
      </c>
      <c r="AX6" s="108" t="s">
        <v>514</v>
      </c>
      <c r="AY6" s="109">
        <f>Tuloslaskelma!E29*(-1)</f>
        <v>11658489.48382001</v>
      </c>
      <c r="BA6" s="108" t="s">
        <v>514</v>
      </c>
      <c r="BB6" s="109">
        <f>Tuloslaskelma!F29*(-1)</f>
        <v>11658489.48382001</v>
      </c>
      <c r="BD6" s="108" t="s">
        <v>514</v>
      </c>
      <c r="BE6" s="109">
        <f>Tuloslaskelma!G29*(-1)</f>
        <v>11658489.48382001</v>
      </c>
      <c r="BG6" s="108" t="s">
        <v>514</v>
      </c>
      <c r="BH6" s="109">
        <f>Tuloslaskelma!H29*(-1)</f>
        <v>11658489.48382001</v>
      </c>
    </row>
    <row r="7" spans="44:61" ht="12.75">
      <c r="AR7" s="108" t="str">
        <f>IF(Tuloslaskelma!B42=0,"verot yhteensä ","kunnallisvero ")&amp;ROUND(AT7/AT13*100,0)&amp;"%"</f>
        <v>kunnallisvero 59%</v>
      </c>
      <c r="AT7" s="109">
        <f>IF(Tuloslaskelma!B42=0,Tuloslaskelma!B41,Tuloslaskelma!B42)</f>
        <v>19946936.1185775</v>
      </c>
      <c r="AU7" s="108" t="str">
        <f>IF(Tuloslaskelma!D42=0,"verot yhteensä ","kunnallisvero ")&amp;ROUND(AW7/AW13*100,0)&amp;"%"</f>
        <v>kunnallisvero 50%</v>
      </c>
      <c r="AW7" s="109">
        <f>IF(Tuloslaskelma!D42=0,Tuloslaskelma!D41,Tuloslaskelma!D42)</f>
        <v>7122372.269</v>
      </c>
      <c r="AX7" s="108" t="str">
        <f>IF(Tuloslaskelma!E42=0,"verot yhteensä ","kunnallisvero ")&amp;ROUND(AZ7/AZ13*100,0)&amp;"%"</f>
        <v>kunnallisvero 50%</v>
      </c>
      <c r="AZ7" s="109">
        <f>IF(Tuloslaskelma!E42=0,Tuloslaskelma!E41,Tuloslaskelma!E42)</f>
        <v>7122372.269</v>
      </c>
      <c r="BA7" s="108" t="str">
        <f>IF(Tuloslaskelma!F42=0,"verot yhteensä ","kunnallisvero ")&amp;ROUND(BC7/BC13*100,0)&amp;"%"</f>
        <v>kunnallisvero 50%</v>
      </c>
      <c r="BC7" s="109">
        <f>IF(Tuloslaskelma!F42=0,Tuloslaskelma!F41,Tuloslaskelma!F42)</f>
        <v>7122372.269</v>
      </c>
      <c r="BD7" s="108" t="str">
        <f>IF(Tuloslaskelma!G42=0,"verot yhteensä ","kunnallisvero ")&amp;ROUND(BF7/BF13*100,0)&amp;"%"</f>
        <v>kunnallisvero 50%</v>
      </c>
      <c r="BF7" s="109">
        <f>IF(Tuloslaskelma!G42=0,Tuloslaskelma!G41,Tuloslaskelma!G42)</f>
        <v>7122372.269</v>
      </c>
      <c r="BG7" s="108" t="str">
        <f>IF(Tuloslaskelma!H42=0,"verot yhteensä ","kunnallisvero ")&amp;ROUND(BI7/BI13*100,0)&amp;"%"</f>
        <v>kunnallisvero 50%</v>
      </c>
      <c r="BI7" s="109">
        <f>IF(Tuloslaskelma!H42=0,Tuloslaskelma!H41,Tuloslaskelma!H42)</f>
        <v>7122372.269</v>
      </c>
    </row>
    <row r="8" spans="44:61" ht="12.75">
      <c r="AR8" s="108" t="str">
        <f>"yhteisövero "&amp;ROUND(AT8/AT13*100,0)&amp;"%"</f>
        <v>yhteisövero 5%</v>
      </c>
      <c r="AT8" s="109">
        <f>Tuloslaskelma!B43</f>
        <v>1717387.0561717383</v>
      </c>
      <c r="AU8" s="108" t="str">
        <f>"yhteisövero "&amp;ROUND(AW8/AW13*100,0)&amp;"%"</f>
        <v>yhteisövero 8%</v>
      </c>
      <c r="AW8" s="109">
        <f>Tuloslaskelma!D43</f>
        <v>1144924.7041144934</v>
      </c>
      <c r="AX8" s="108" t="str">
        <f>"yhteisövero "&amp;ROUND(AZ8/AZ13*100,0)&amp;"%"</f>
        <v>yhteisövero 8%</v>
      </c>
      <c r="AZ8" s="109">
        <f>Tuloslaskelma!E43</f>
        <v>1144924.7041144934</v>
      </c>
      <c r="BA8" s="108" t="str">
        <f>"yhteisövero "&amp;ROUND(BC8/BC13*100,0)&amp;"%"</f>
        <v>yhteisövero 8%</v>
      </c>
      <c r="BC8" s="109">
        <f>Tuloslaskelma!F43</f>
        <v>1144924.7041144934</v>
      </c>
      <c r="BD8" s="108" t="str">
        <f>"yhteisövero "&amp;ROUND(BF8/BF13*100,0)&amp;"%"</f>
        <v>yhteisövero 8%</v>
      </c>
      <c r="BF8" s="109">
        <f>Tuloslaskelma!G43</f>
        <v>1144924.7041144934</v>
      </c>
      <c r="BG8" s="108" t="str">
        <f>"yhteisövero "&amp;ROUND(BI8/BI13*100,0)&amp;"%"</f>
        <v>yhteisövero 8%</v>
      </c>
      <c r="BI8" s="109">
        <f>Tuloslaskelma!H43</f>
        <v>1144924.7041144934</v>
      </c>
    </row>
    <row r="9" spans="44:61" ht="12.75">
      <c r="AR9" s="108" t="str">
        <f>"kiinteistövero "&amp;ROUND(AT9/AT13*100,0)&amp;"%"</f>
        <v>kiinteistövero 5%</v>
      </c>
      <c r="AT9" s="109">
        <f>Tuloslaskelma!B44</f>
        <v>1794999.9999999993</v>
      </c>
      <c r="AU9" s="108" t="str">
        <f>"kiinteistövero "&amp;ROUND(AW9/AW13*100,0)&amp;"%"</f>
        <v>kiinteistövero 13%</v>
      </c>
      <c r="AW9" s="109">
        <f>Tuloslaskelma!D44</f>
        <v>1794999.9999999993</v>
      </c>
      <c r="AX9" s="108" t="str">
        <f>"kiinteistövero "&amp;ROUND(AZ9/AZ13*100,0)&amp;"%"</f>
        <v>kiinteistövero 13%</v>
      </c>
      <c r="AZ9" s="109">
        <f>Tuloslaskelma!E44</f>
        <v>1794999.9999999993</v>
      </c>
      <c r="BA9" s="108" t="str">
        <f>"kiinteistövero "&amp;ROUND(BC9/BC13*100,0)&amp;"%"</f>
        <v>kiinteistövero 13%</v>
      </c>
      <c r="BC9" s="109">
        <f>Tuloslaskelma!F44</f>
        <v>1794999.9999999993</v>
      </c>
      <c r="BD9" s="108" t="str">
        <f>"kiinteistövero "&amp;ROUND(BF9/BF13*100,0)&amp;"%"</f>
        <v>kiinteistövero 13%</v>
      </c>
      <c r="BF9" s="109">
        <f>Tuloslaskelma!G44</f>
        <v>1794999.9999999993</v>
      </c>
      <c r="BG9" s="108" t="str">
        <f>"kiinteistövero "&amp;ROUND(BI9/BI13*100,0)&amp;"%"</f>
        <v>kiinteistövero 13%</v>
      </c>
      <c r="BI9" s="109">
        <f>Tuloslaskelma!H44</f>
        <v>1794999.9999999993</v>
      </c>
    </row>
    <row r="10" spans="44:61" ht="12.75">
      <c r="AR10" s="108" t="str">
        <f>"vos "&amp;ROUND(AT10/AT13*100,0)&amp;"%"</f>
        <v>vos 30%</v>
      </c>
      <c r="AS10">
        <f>IF(Tuloslaskelma!B46&lt;0,Tuloslaskelma!B46,"")</f>
      </c>
      <c r="AT10" s="109">
        <f>IF(Tuloslaskelma!B46&gt;0,Tuloslaskelma!B46,"")</f>
        <v>10169984.819856817</v>
      </c>
      <c r="AU10" s="108" t="str">
        <f>IF(AW10="","","vos "&amp;ROUND(AW10/AW13*100,0)&amp;"%")</f>
        <v>vos 26%</v>
      </c>
      <c r="AV10" s="114">
        <f>IF(Tuloslaskelma!D46&lt;0,Tuloslaskelma!D46*(-1),"")</f>
      </c>
      <c r="AW10" s="109">
        <f>IF(Tuloslaskelma!D46&gt;0,Tuloslaskelma!D46,"")</f>
        <v>3656378.718244817</v>
      </c>
      <c r="AX10" s="108" t="str">
        <f>IF(AZ10="","","vos "&amp;ROUND(AZ10/AZ13*100,0)&amp;"%")</f>
        <v>vos 26%</v>
      </c>
      <c r="AY10" s="114">
        <f>IF(Tuloslaskelma!E46&lt;0,Tuloslaskelma!E46*(-1),"")</f>
      </c>
      <c r="AZ10" s="109">
        <f>IF(Tuloslaskelma!E46&gt;0,Tuloslaskelma!E46,"")</f>
        <v>3656378.7182448115</v>
      </c>
      <c r="BA10" s="108" t="str">
        <f>IF(BC10="","","vos "&amp;ROUND(BC10/BC13*100,0)&amp;"%")</f>
        <v>vos 26%</v>
      </c>
      <c r="BB10" s="114">
        <f>IF(Tuloslaskelma!F46&lt;0,Tuloslaskelma!F46*(-1),"")</f>
      </c>
      <c r="BC10" s="109">
        <f>IF(Tuloslaskelma!F46&gt;0,Tuloslaskelma!F46,"")</f>
        <v>3656378.7182448115</v>
      </c>
      <c r="BD10" s="108" t="str">
        <f>IF(BF10="","","vos "&amp;ROUND(BF10/BF13*100,0)&amp;"%")</f>
        <v>vos 26%</v>
      </c>
      <c r="BE10" s="114">
        <f>IF(Tuloslaskelma!G46&lt;0,Tuloslaskelma!G46*(-1),"")</f>
      </c>
      <c r="BF10" s="109">
        <f>IF(Tuloslaskelma!G46&gt;0,Tuloslaskelma!G46,"")</f>
        <v>3656378.7182448115</v>
      </c>
      <c r="BG10" s="108" t="str">
        <f>IF(BI10="","","vos "&amp;ROUND(BI10/BI13*100,0)&amp;"%")</f>
        <v>vos 26%</v>
      </c>
      <c r="BH10" s="114">
        <f>IF(Tuloslaskelma!H46&lt;0,Tuloslaskelma!H46*(-1),"")</f>
      </c>
      <c r="BI10" s="109">
        <f>IF(Tuloslaskelma!H46&gt;0,Tuloslaskelma!H46,"")</f>
        <v>3656378.7182448115</v>
      </c>
    </row>
    <row r="11" spans="44:61" ht="12.75">
      <c r="AR11" s="108" t="str">
        <f>IF(AT11="","","rahoituserät (netto) "&amp;ROUND(AT11/AT13*100,0)&amp;"%")</f>
        <v>rahoituserät (netto) 1%</v>
      </c>
      <c r="AS11" s="109">
        <f>IF(Tuloslaskelma!B53&lt;0,Tuloslaskelma!B53*(-1),"")</f>
      </c>
      <c r="AT11" s="109">
        <f>IF(Tuloslaskelma!B53&gt;0,Tuloslaskelma!B53,"")</f>
        <v>401901.23805999995</v>
      </c>
      <c r="AU11" s="108" t="str">
        <f>IF(AW11="","","rahoituserät (netto) "&amp;ROUND(AW11/AW13*100,0)&amp;"%")</f>
        <v>rahoituserät (netto) 3%</v>
      </c>
      <c r="AV11" s="109">
        <f>IF(Tuloslaskelma!D53&lt;0,Tuloslaskelma!D53*(-1),"")</f>
      </c>
      <c r="AW11" s="109">
        <f>IF(Tuloslaskelma!D53&gt;0,Tuloslaskelma!D53,"")</f>
        <v>401901.23805999995</v>
      </c>
      <c r="AX11" s="108" t="str">
        <f>IF(AZ11="","","rahoituserät (netto) "&amp;ROUND(AZ11/AZ13*100,0)&amp;"%")</f>
        <v>rahoituserät (netto) 3%</v>
      </c>
      <c r="AY11" s="109">
        <f>IF(Tuloslaskelma!E53&lt;0,Tuloslaskelma!E53*(-1),"")</f>
      </c>
      <c r="AZ11" s="109">
        <f>IF(Tuloslaskelma!E53&gt;0,Tuloslaskelma!E53,"")</f>
        <v>401901.23805999995</v>
      </c>
      <c r="BA11" s="108" t="str">
        <f>IF(BC11="","","rahoituserät (netto) "&amp;ROUND(BC11/BC13*100,0)&amp;"%")</f>
        <v>rahoituserät (netto) 3%</v>
      </c>
      <c r="BB11" s="109">
        <f>IF(Tuloslaskelma!F53&lt;0,Tuloslaskelma!F53*(-1),"")</f>
      </c>
      <c r="BC11" s="109">
        <f>IF(Tuloslaskelma!F53&gt;0,Tuloslaskelma!F53,"")</f>
        <v>401901.23805999995</v>
      </c>
      <c r="BD11" s="108" t="str">
        <f>IF(BF11="","","rahoituserät (netto) "&amp;ROUND(BF11/BF13*100,0)&amp;"%")</f>
        <v>rahoituserät (netto) 3%</v>
      </c>
      <c r="BE11" s="109">
        <f>IF(Tuloslaskelma!G53&lt;0,Tuloslaskelma!G53*(-1),"")</f>
      </c>
      <c r="BF11" s="109">
        <f>IF(Tuloslaskelma!G53&gt;0,Tuloslaskelma!G53,"")</f>
        <v>401901.23805999995</v>
      </c>
      <c r="BG11" s="108" t="str">
        <f>IF(BI11="","","rahoituserät (netto) "&amp;ROUND(BI11/BI13*100,0)&amp;"%")</f>
        <v>rahoituserät (netto) 3%</v>
      </c>
      <c r="BH11" s="109">
        <f>IF(Tuloslaskelma!H53&lt;0,Tuloslaskelma!H53*(-1),"")</f>
      </c>
      <c r="BI11" s="109">
        <f>IF(Tuloslaskelma!H53&gt;0,Tuloslaskelma!H53,"")</f>
        <v>401901.23805999995</v>
      </c>
    </row>
    <row r="12" spans="44:60" ht="12.75">
      <c r="AR12" s="116" t="s">
        <v>517</v>
      </c>
      <c r="AS12" s="109">
        <f>IF(Tuloslaskelma!B62&lt;0,Tuloslaskelma!B62*(-1),"")</f>
        <v>2305725</v>
      </c>
      <c r="AU12" s="116" t="s">
        <v>517</v>
      </c>
      <c r="AV12" s="109">
        <f>IF(Tuloslaskelma!D62&lt;0,Tuloslaskelma!D62*(-1),"")</f>
        <v>2246732</v>
      </c>
      <c r="AX12" s="116" t="s">
        <v>517</v>
      </c>
      <c r="AY12" s="109">
        <f>IF(Tuloslaskelma!E62&lt;0,Tuloslaskelma!E62*(-1),"")</f>
        <v>2246732</v>
      </c>
      <c r="BA12" s="116" t="s">
        <v>517</v>
      </c>
      <c r="BB12" s="109">
        <f>IF(Tuloslaskelma!F62&lt;0,Tuloslaskelma!F62*(-1),"")</f>
        <v>2246732</v>
      </c>
      <c r="BD12" s="116" t="s">
        <v>517</v>
      </c>
      <c r="BE12" s="109">
        <f>IF(Tuloslaskelma!G62&lt;0,Tuloslaskelma!G62*(-1),"")</f>
        <v>2246732</v>
      </c>
      <c r="BG12" s="116" t="s">
        <v>517</v>
      </c>
      <c r="BH12" s="109">
        <f>IF(Tuloslaskelma!H62&lt;0,Tuloslaskelma!H62*(-1),"")</f>
        <v>2246732</v>
      </c>
    </row>
    <row r="13" spans="44:61" ht="12.75">
      <c r="AR13" s="108" t="s">
        <v>23</v>
      </c>
      <c r="AS13" s="110">
        <f>SUM(AS6:AS12)</f>
        <v>33838515.76</v>
      </c>
      <c r="AT13" s="110">
        <f>SUM(AT7:AT11)</f>
        <v>34031209.23266605</v>
      </c>
      <c r="AU13" s="108" t="s">
        <v>23</v>
      </c>
      <c r="AV13" s="110">
        <f>SUM(AV6:AV12)</f>
        <v>13905221.48382001</v>
      </c>
      <c r="AW13" s="110">
        <f>SUM(AW7:AW11)</f>
        <v>14120576.92941931</v>
      </c>
      <c r="AX13" s="108" t="s">
        <v>23</v>
      </c>
      <c r="AY13" s="110">
        <f>SUM(AY6:AY12)</f>
        <v>13905221.48382001</v>
      </c>
      <c r="AZ13" s="110">
        <f>SUM(AZ7:AZ11)</f>
        <v>14120576.929419305</v>
      </c>
      <c r="BA13" s="108" t="s">
        <v>23</v>
      </c>
      <c r="BB13" s="110">
        <f>SUM(BB6:BB12)</f>
        <v>13905221.48382001</v>
      </c>
      <c r="BC13" s="110">
        <f>SUM(BC7:BC11)</f>
        <v>14120576.929419305</v>
      </c>
      <c r="BD13" s="108" t="s">
        <v>23</v>
      </c>
      <c r="BE13" s="110">
        <f>SUM(BE6:BE12)</f>
        <v>13905221.48382001</v>
      </c>
      <c r="BF13" s="110">
        <f>SUM(BF7:BF11)</f>
        <v>14120576.929419305</v>
      </c>
      <c r="BG13" s="108" t="s">
        <v>23</v>
      </c>
      <c r="BH13" s="110">
        <f>SUM(BH6:BH12)</f>
        <v>13905221.48382001</v>
      </c>
      <c r="BI13" s="110">
        <f>SUM(BI7:BI11)</f>
        <v>14120576.929419305</v>
      </c>
    </row>
    <row r="14" spans="46:61" ht="12.75">
      <c r="AT14" s="3"/>
      <c r="AU14" s="113" t="s">
        <v>516</v>
      </c>
      <c r="AV14" s="109">
        <f>AS13-AV13</f>
        <v>19933294.276179988</v>
      </c>
      <c r="AW14" s="109">
        <f>AT13-AW13</f>
        <v>19910632.303246744</v>
      </c>
      <c r="AX14" s="113" t="s">
        <v>516</v>
      </c>
      <c r="AY14" s="109">
        <f>$AS$13-AY13</f>
        <v>19933294.276179988</v>
      </c>
      <c r="AZ14" s="109">
        <f>$AT$13-AZ13</f>
        <v>19910632.303246748</v>
      </c>
      <c r="BA14" s="113" t="s">
        <v>516</v>
      </c>
      <c r="BB14" s="109">
        <f>$AS$13-BB13</f>
        <v>19933294.276179988</v>
      </c>
      <c r="BC14" s="109">
        <f>$AT$13-BC13</f>
        <v>19910632.303246748</v>
      </c>
      <c r="BD14" s="113" t="s">
        <v>516</v>
      </c>
      <c r="BE14" s="109">
        <f>$AS$13-BE13</f>
        <v>19933294.276179988</v>
      </c>
      <c r="BF14" s="109">
        <f>$AT$13-BF13</f>
        <v>19910632.303246748</v>
      </c>
      <c r="BG14" s="113" t="s">
        <v>516</v>
      </c>
      <c r="BH14" s="109">
        <f>$AS$13-BH13</f>
        <v>19933294.276179988</v>
      </c>
      <c r="BI14" s="109">
        <f>$AT$13-BI13</f>
        <v>19910632.303246748</v>
      </c>
    </row>
    <row r="23" spans="48:52" ht="17.25">
      <c r="AV23" s="240"/>
      <c r="AW23" s="240"/>
      <c r="AX23" s="240"/>
      <c r="AY23" s="240"/>
      <c r="AZ23" s="240"/>
    </row>
    <row r="24" spans="10:15" ht="12.75">
      <c r="J24" s="115"/>
      <c r="K24" s="115"/>
      <c r="L24" s="115"/>
      <c r="M24" s="115"/>
      <c r="N24" s="115"/>
      <c r="O24" s="115"/>
    </row>
    <row r="25" spans="2:42" ht="12.75">
      <c r="B25" s="1" t="s">
        <v>519</v>
      </c>
      <c r="D25" s="117">
        <f>Tuloslaskelma!B66*1000</f>
        <v>192693472.66605544</v>
      </c>
      <c r="E25" s="1" t="s">
        <v>478</v>
      </c>
      <c r="I25" s="1" t="s">
        <v>520</v>
      </c>
      <c r="K25" s="117">
        <f>Tuloslaskelma!D66*1000</f>
        <v>215355445.59930125</v>
      </c>
      <c r="L25" s="1" t="s">
        <v>478</v>
      </c>
      <c r="Q25" s="1" t="s">
        <v>520</v>
      </c>
      <c r="S25" s="117">
        <f>Tuloslaskelma!$E$66*1000</f>
        <v>215355445.59929568</v>
      </c>
      <c r="T25" s="1" t="s">
        <v>478</v>
      </c>
      <c r="W25" s="1" t="s">
        <v>520</v>
      </c>
      <c r="Y25" s="117">
        <f>Tuloslaskelma!$F$66*1000</f>
        <v>215355445.59929568</v>
      </c>
      <c r="Z25" s="1" t="s">
        <v>478</v>
      </c>
      <c r="AE25" s="1" t="s">
        <v>520</v>
      </c>
      <c r="AG25" s="117">
        <f>Tuloslaskelma!$G$66*1000</f>
        <v>215355445.59929568</v>
      </c>
      <c r="AH25" s="1" t="s">
        <v>478</v>
      </c>
      <c r="AM25" s="1" t="s">
        <v>520</v>
      </c>
      <c r="AO25" s="117">
        <f>Tuloslaskelma!$H$66*1000</f>
        <v>215355445.59929568</v>
      </c>
      <c r="AP25" s="1" t="s">
        <v>478</v>
      </c>
    </row>
    <row r="26" spans="4:42" ht="12.75">
      <c r="D26" s="117">
        <f>D25/Tuloslaskelma!A10</f>
        <v>35.11095266804092</v>
      </c>
      <c r="E26" s="1" t="s">
        <v>505</v>
      </c>
      <c r="K26" s="117">
        <f>Tuloslaskelma!D74</f>
        <v>39.24022309954415</v>
      </c>
      <c r="L26" s="1" t="s">
        <v>505</v>
      </c>
      <c r="S26" s="117">
        <f>Tuloslaskelma!$E$74</f>
        <v>39.24022309954314</v>
      </c>
      <c r="T26" s="1" t="s">
        <v>505</v>
      </c>
      <c r="Y26" s="117">
        <f>Tuloslaskelma!$F$74</f>
        <v>39.24022309954314</v>
      </c>
      <c r="Z26" s="1" t="s">
        <v>505</v>
      </c>
      <c r="AG26" s="117">
        <f>Tuloslaskelma!$G$74</f>
        <v>39.24022309954314</v>
      </c>
      <c r="AH26" s="1" t="s">
        <v>505</v>
      </c>
      <c r="AO26" s="117">
        <f>Tuloslaskelma!$H$74</f>
        <v>39.24022309954314</v>
      </c>
      <c r="AP26" s="1" t="s">
        <v>505</v>
      </c>
    </row>
    <row r="28" spans="2:9" ht="12.75">
      <c r="B28" s="177" t="str">
        <f>"&gt; "&amp;Tuloslaskelma!A40</f>
        <v>&gt; maksuunpannut verot (VM:n siirtolaskelman mukaan)</v>
      </c>
      <c r="I28" s="177" t="s">
        <v>679</v>
      </c>
    </row>
    <row r="29" ht="12.75">
      <c r="I29" s="177"/>
    </row>
  </sheetData>
  <sheetProtection/>
  <printOptions/>
  <pageMargins left="0.7" right="0.7" top="0.75" bottom="0.75" header="0.3" footer="0.3"/>
  <pageSetup horizontalDpi="600" verticalDpi="600" orientation="landscape" paperSize="9" r:id="rId2"/>
  <drawing r:id="rId1"/>
</worksheet>
</file>

<file path=xl/worksheets/sheet10.xml><?xml version="1.0" encoding="utf-8"?>
<worksheet xmlns="http://schemas.openxmlformats.org/spreadsheetml/2006/main" xmlns:r="http://schemas.openxmlformats.org/officeDocument/2006/relationships">
  <sheetPr codeName="Taul9"/>
  <dimension ref="A1:AD328"/>
  <sheetViews>
    <sheetView zoomScalePageLayoutView="0" workbookViewId="0" topLeftCell="A3">
      <selection activeCell="A4" sqref="A4"/>
    </sheetView>
  </sheetViews>
  <sheetFormatPr defaultColWidth="9.140625" defaultRowHeight="12.75"/>
  <cols>
    <col min="1" max="1" width="10.421875" style="0" customWidth="1"/>
    <col min="2" max="2" width="17.7109375" style="0" customWidth="1"/>
    <col min="10" max="10" width="14.421875" style="125" customWidth="1"/>
    <col min="11" max="11" width="19.140625" style="125" customWidth="1"/>
    <col min="12" max="12" width="17.00390625" style="125" customWidth="1"/>
    <col min="19" max="19" width="23.8515625" style="125" customWidth="1"/>
    <col min="20" max="20" width="27.421875" style="125" customWidth="1"/>
    <col min="21" max="21" width="19.8515625" style="125" bestFit="1" customWidth="1"/>
  </cols>
  <sheetData>
    <row r="1" spans="1:30" ht="14.25">
      <c r="A1" s="133" t="s">
        <v>534</v>
      </c>
      <c r="C1" s="120"/>
      <c r="D1" s="120"/>
      <c r="E1" s="120"/>
      <c r="F1" s="120"/>
      <c r="G1" s="123"/>
      <c r="H1" s="123"/>
      <c r="I1" s="123"/>
      <c r="M1" s="127"/>
      <c r="N1" s="127"/>
      <c r="O1" s="127"/>
      <c r="P1" s="129"/>
      <c r="Q1" s="129"/>
      <c r="R1" s="129"/>
      <c r="V1" s="136"/>
      <c r="W1" s="136"/>
      <c r="X1" s="136"/>
      <c r="Y1" s="137"/>
      <c r="Z1" s="137"/>
      <c r="AA1" s="137"/>
      <c r="AB1" s="141"/>
      <c r="AC1" s="141"/>
      <c r="AD1" s="141"/>
    </row>
    <row r="3" spans="1:30" ht="14.25">
      <c r="A3" s="143" t="s">
        <v>540</v>
      </c>
      <c r="B3" s="120"/>
      <c r="C3" s="122" t="s">
        <v>539</v>
      </c>
      <c r="D3" s="122" t="s">
        <v>539</v>
      </c>
      <c r="E3" s="122" t="s">
        <v>539</v>
      </c>
      <c r="F3" s="122" t="s">
        <v>539</v>
      </c>
      <c r="G3" s="124" t="s">
        <v>535</v>
      </c>
      <c r="H3" s="124" t="s">
        <v>536</v>
      </c>
      <c r="I3" s="124" t="s">
        <v>537</v>
      </c>
      <c r="J3" s="126" t="s">
        <v>535</v>
      </c>
      <c r="K3" s="126" t="s">
        <v>536</v>
      </c>
      <c r="L3" s="126" t="s">
        <v>537</v>
      </c>
      <c r="M3" s="128" t="s">
        <v>535</v>
      </c>
      <c r="N3" s="128" t="s">
        <v>536</v>
      </c>
      <c r="O3" s="128" t="s">
        <v>537</v>
      </c>
      <c r="P3" s="132" t="s">
        <v>535</v>
      </c>
      <c r="Q3" s="132" t="s">
        <v>536</v>
      </c>
      <c r="R3" s="132" t="s">
        <v>537</v>
      </c>
      <c r="S3" s="131" t="s">
        <v>539</v>
      </c>
      <c r="T3" s="131" t="s">
        <v>539</v>
      </c>
      <c r="U3" s="131" t="s">
        <v>539</v>
      </c>
      <c r="V3" s="130" t="s">
        <v>535</v>
      </c>
      <c r="W3" s="130" t="s">
        <v>536</v>
      </c>
      <c r="X3" s="130" t="s">
        <v>537</v>
      </c>
      <c r="Y3" s="138" t="s">
        <v>535</v>
      </c>
      <c r="Z3" s="138" t="s">
        <v>536</v>
      </c>
      <c r="AA3" s="138" t="s">
        <v>537</v>
      </c>
      <c r="AB3" s="140" t="s">
        <v>535</v>
      </c>
      <c r="AC3" s="140" t="s">
        <v>536</v>
      </c>
      <c r="AD3" s="140" t="s">
        <v>537</v>
      </c>
    </row>
    <row r="4" spans="1:30" ht="14.25">
      <c r="A4" s="3" t="s">
        <v>123</v>
      </c>
      <c r="B4" s="120" t="s">
        <v>104</v>
      </c>
      <c r="C4" s="122" t="s">
        <v>139</v>
      </c>
      <c r="D4" s="122" t="s">
        <v>140</v>
      </c>
      <c r="E4" s="122" t="s">
        <v>9</v>
      </c>
      <c r="F4" s="122" t="s">
        <v>523</v>
      </c>
      <c r="G4" s="124" t="s">
        <v>139</v>
      </c>
      <c r="H4" s="124" t="s">
        <v>139</v>
      </c>
      <c r="I4" s="124" t="s">
        <v>139</v>
      </c>
      <c r="J4" s="126" t="s">
        <v>140</v>
      </c>
      <c r="K4" s="126" t="s">
        <v>140</v>
      </c>
      <c r="L4" s="126" t="s">
        <v>140</v>
      </c>
      <c r="M4" s="128" t="s">
        <v>9</v>
      </c>
      <c r="N4" s="128" t="s">
        <v>9</v>
      </c>
      <c r="O4" s="128" t="s">
        <v>9</v>
      </c>
      <c r="P4" s="132" t="s">
        <v>523</v>
      </c>
      <c r="Q4" s="132" t="s">
        <v>523</v>
      </c>
      <c r="R4" s="132" t="s">
        <v>523</v>
      </c>
      <c r="S4" s="134" t="s">
        <v>141</v>
      </c>
      <c r="T4" s="134" t="s">
        <v>10</v>
      </c>
      <c r="U4" s="134" t="s">
        <v>538</v>
      </c>
      <c r="V4" s="135" t="s">
        <v>141</v>
      </c>
      <c r="W4" s="135" t="s">
        <v>141</v>
      </c>
      <c r="X4" s="135" t="s">
        <v>141</v>
      </c>
      <c r="Y4" s="139" t="s">
        <v>10</v>
      </c>
      <c r="Z4" s="139" t="s">
        <v>10</v>
      </c>
      <c r="AA4" s="139" t="s">
        <v>10</v>
      </c>
      <c r="AB4" s="142" t="s">
        <v>538</v>
      </c>
      <c r="AC4" s="142" t="s">
        <v>538</v>
      </c>
      <c r="AD4" s="142" t="s">
        <v>538</v>
      </c>
    </row>
    <row r="5" spans="1:30" ht="14.25">
      <c r="A5">
        <v>5</v>
      </c>
      <c r="B5" s="121" t="s">
        <v>144</v>
      </c>
      <c r="C5" s="120">
        <v>44216</v>
      </c>
      <c r="D5" s="120">
        <v>0</v>
      </c>
      <c r="E5" s="120">
        <v>0</v>
      </c>
      <c r="F5" s="120">
        <v>0</v>
      </c>
      <c r="G5" s="123">
        <v>16</v>
      </c>
      <c r="H5" s="123">
        <v>27269</v>
      </c>
      <c r="I5" s="123">
        <v>0</v>
      </c>
      <c r="J5" s="125">
        <v>0</v>
      </c>
      <c r="K5" s="125">
        <v>0</v>
      </c>
      <c r="L5" s="125">
        <v>0</v>
      </c>
      <c r="M5" s="127">
        <v>0</v>
      </c>
      <c r="N5" s="127">
        <v>0</v>
      </c>
      <c r="O5" s="127">
        <v>0</v>
      </c>
      <c r="P5" s="129">
        <v>0</v>
      </c>
      <c r="Q5" s="129">
        <v>0</v>
      </c>
      <c r="R5" s="129">
        <v>0</v>
      </c>
      <c r="S5" s="125">
        <v>101014</v>
      </c>
      <c r="T5" s="125">
        <v>3095</v>
      </c>
      <c r="U5" s="125">
        <v>0</v>
      </c>
      <c r="V5" s="136">
        <v>209</v>
      </c>
      <c r="W5" s="136">
        <v>61548</v>
      </c>
      <c r="X5" s="136">
        <v>866</v>
      </c>
      <c r="Y5" s="137">
        <v>0</v>
      </c>
      <c r="Z5" s="137">
        <v>98</v>
      </c>
      <c r="AA5" s="137">
        <v>0</v>
      </c>
      <c r="AB5" s="141">
        <v>0</v>
      </c>
      <c r="AC5" s="141">
        <v>0</v>
      </c>
      <c r="AD5" s="141">
        <v>0</v>
      </c>
    </row>
    <row r="6" spans="1:30" ht="14.25">
      <c r="A6">
        <v>9</v>
      </c>
      <c r="B6" s="121" t="s">
        <v>145</v>
      </c>
      <c r="C6" s="120">
        <v>3406</v>
      </c>
      <c r="D6" s="120">
        <v>0</v>
      </c>
      <c r="E6" s="120">
        <v>0</v>
      </c>
      <c r="F6" s="120">
        <v>0</v>
      </c>
      <c r="G6" s="123">
        <v>0</v>
      </c>
      <c r="H6" s="123">
        <v>13</v>
      </c>
      <c r="I6" s="123">
        <v>0</v>
      </c>
      <c r="J6" s="125">
        <v>0</v>
      </c>
      <c r="K6" s="125">
        <v>0</v>
      </c>
      <c r="L6" s="125">
        <v>0</v>
      </c>
      <c r="M6" s="127">
        <v>0</v>
      </c>
      <c r="N6" s="127">
        <v>0</v>
      </c>
      <c r="O6" s="127">
        <v>0</v>
      </c>
      <c r="P6" s="129">
        <v>0</v>
      </c>
      <c r="Q6" s="129">
        <v>0</v>
      </c>
      <c r="R6" s="129">
        <v>0</v>
      </c>
      <c r="S6" s="125">
        <v>18372</v>
      </c>
      <c r="T6" s="125">
        <v>795</v>
      </c>
      <c r="U6" s="125">
        <v>0</v>
      </c>
      <c r="V6" s="136">
        <v>0</v>
      </c>
      <c r="W6" s="136">
        <v>10116</v>
      </c>
      <c r="X6" s="136">
        <v>212</v>
      </c>
      <c r="Y6" s="137">
        <v>0</v>
      </c>
      <c r="Z6" s="137">
        <v>0</v>
      </c>
      <c r="AA6" s="137">
        <v>4</v>
      </c>
      <c r="AB6" s="141">
        <v>0</v>
      </c>
      <c r="AC6" s="141">
        <v>0</v>
      </c>
      <c r="AD6" s="141">
        <v>0</v>
      </c>
    </row>
    <row r="7" spans="1:30" ht="14.25">
      <c r="A7">
        <v>10</v>
      </c>
      <c r="B7" s="121" t="s">
        <v>146</v>
      </c>
      <c r="C7" s="120">
        <v>21665</v>
      </c>
      <c r="D7" s="120">
        <v>0</v>
      </c>
      <c r="E7" s="120">
        <v>0</v>
      </c>
      <c r="F7" s="120">
        <v>0</v>
      </c>
      <c r="G7" s="123">
        <v>346</v>
      </c>
      <c r="H7" s="123">
        <v>5159</v>
      </c>
      <c r="I7" s="123">
        <v>0</v>
      </c>
      <c r="J7" s="125">
        <v>0</v>
      </c>
      <c r="K7" s="125">
        <v>0</v>
      </c>
      <c r="L7" s="125">
        <v>0</v>
      </c>
      <c r="M7" s="127">
        <v>0</v>
      </c>
      <c r="N7" s="127">
        <v>0</v>
      </c>
      <c r="O7" s="127">
        <v>0</v>
      </c>
      <c r="P7" s="129">
        <v>0</v>
      </c>
      <c r="Q7" s="129">
        <v>0</v>
      </c>
      <c r="R7" s="129">
        <v>0</v>
      </c>
      <c r="S7" s="125">
        <v>92219</v>
      </c>
      <c r="T7" s="125">
        <v>2982</v>
      </c>
      <c r="U7" s="125">
        <v>222</v>
      </c>
      <c r="V7" s="136">
        <v>782</v>
      </c>
      <c r="W7" s="136">
        <v>51289</v>
      </c>
      <c r="X7" s="136">
        <v>1031</v>
      </c>
      <c r="Y7" s="137">
        <v>13</v>
      </c>
      <c r="Z7" s="137">
        <v>310</v>
      </c>
      <c r="AA7" s="137">
        <v>0</v>
      </c>
      <c r="AB7" s="141">
        <v>0</v>
      </c>
      <c r="AC7" s="141">
        <v>0</v>
      </c>
      <c r="AD7" s="141">
        <v>0</v>
      </c>
    </row>
    <row r="8" spans="1:30" ht="14.25">
      <c r="A8">
        <v>16</v>
      </c>
      <c r="B8" s="121" t="s">
        <v>147</v>
      </c>
      <c r="C8" s="120">
        <v>11752</v>
      </c>
      <c r="D8" s="120">
        <v>0</v>
      </c>
      <c r="E8" s="120">
        <v>4</v>
      </c>
      <c r="F8" s="120">
        <v>571</v>
      </c>
      <c r="G8" s="123">
        <v>34</v>
      </c>
      <c r="H8" s="123">
        <v>326</v>
      </c>
      <c r="I8" s="123">
        <v>0</v>
      </c>
      <c r="J8" s="125">
        <v>0</v>
      </c>
      <c r="K8" s="125">
        <v>0</v>
      </c>
      <c r="L8" s="125">
        <v>0</v>
      </c>
      <c r="M8" s="127">
        <v>0</v>
      </c>
      <c r="N8" s="127">
        <v>0</v>
      </c>
      <c r="O8" s="127">
        <v>0</v>
      </c>
      <c r="P8" s="129">
        <v>0</v>
      </c>
      <c r="Q8" s="129">
        <v>0</v>
      </c>
      <c r="R8" s="129">
        <v>0</v>
      </c>
      <c r="S8" s="125">
        <v>54180</v>
      </c>
      <c r="T8" s="125">
        <v>2037</v>
      </c>
      <c r="U8" s="125">
        <v>572</v>
      </c>
      <c r="V8" s="136">
        <v>974</v>
      </c>
      <c r="W8" s="136">
        <v>29470</v>
      </c>
      <c r="X8" s="136">
        <v>760</v>
      </c>
      <c r="Y8" s="137">
        <v>0</v>
      </c>
      <c r="Z8" s="137">
        <v>0</v>
      </c>
      <c r="AA8" s="137">
        <v>0</v>
      </c>
      <c r="AB8" s="141">
        <v>0</v>
      </c>
      <c r="AC8" s="141">
        <v>19</v>
      </c>
      <c r="AD8" s="141">
        <v>1</v>
      </c>
    </row>
    <row r="9" spans="1:30" ht="14.25">
      <c r="A9">
        <v>18</v>
      </c>
      <c r="B9" s="121" t="s">
        <v>148</v>
      </c>
      <c r="C9" s="120">
        <v>7183</v>
      </c>
      <c r="D9" s="120">
        <v>0</v>
      </c>
      <c r="E9" s="120">
        <v>0</v>
      </c>
      <c r="F9" s="120">
        <v>0</v>
      </c>
      <c r="G9" s="123">
        <v>6</v>
      </c>
      <c r="H9" s="123">
        <v>1343</v>
      </c>
      <c r="I9" s="123">
        <v>111</v>
      </c>
      <c r="J9" s="125">
        <v>0</v>
      </c>
      <c r="K9" s="125">
        <v>0</v>
      </c>
      <c r="L9" s="125">
        <v>0</v>
      </c>
      <c r="M9" s="127">
        <v>0</v>
      </c>
      <c r="N9" s="127">
        <v>0</v>
      </c>
      <c r="O9" s="127">
        <v>0</v>
      </c>
      <c r="P9" s="129">
        <v>0</v>
      </c>
      <c r="Q9" s="129">
        <v>0</v>
      </c>
      <c r="R9" s="129">
        <v>0</v>
      </c>
      <c r="S9" s="125">
        <v>32291</v>
      </c>
      <c r="T9" s="125">
        <v>1104</v>
      </c>
      <c r="U9" s="125">
        <v>0</v>
      </c>
      <c r="V9" s="136">
        <v>286</v>
      </c>
      <c r="W9" s="136">
        <v>16073</v>
      </c>
      <c r="X9" s="136">
        <v>466</v>
      </c>
      <c r="Y9" s="137">
        <v>0</v>
      </c>
      <c r="Z9" s="137">
        <v>106</v>
      </c>
      <c r="AA9" s="137">
        <v>100</v>
      </c>
      <c r="AB9" s="141">
        <v>0</v>
      </c>
      <c r="AC9" s="141">
        <v>0</v>
      </c>
      <c r="AD9" s="141">
        <v>0</v>
      </c>
    </row>
    <row r="10" spans="1:30" ht="14.25">
      <c r="A10">
        <v>19</v>
      </c>
      <c r="B10" s="121" t="s">
        <v>149</v>
      </c>
      <c r="C10" s="120">
        <v>5078</v>
      </c>
      <c r="D10" s="120">
        <v>0</v>
      </c>
      <c r="E10" s="120">
        <v>0</v>
      </c>
      <c r="F10" s="120">
        <v>595</v>
      </c>
      <c r="G10" s="123">
        <v>8</v>
      </c>
      <c r="H10" s="123">
        <v>888</v>
      </c>
      <c r="I10" s="123">
        <v>0</v>
      </c>
      <c r="J10" s="125">
        <v>0</v>
      </c>
      <c r="K10" s="125">
        <v>0</v>
      </c>
      <c r="L10" s="125">
        <v>0</v>
      </c>
      <c r="M10" s="127">
        <v>0</v>
      </c>
      <c r="N10" s="127">
        <v>0</v>
      </c>
      <c r="O10" s="127">
        <v>0</v>
      </c>
      <c r="P10" s="129">
        <v>5</v>
      </c>
      <c r="Q10" s="129">
        <v>85</v>
      </c>
      <c r="R10" s="129">
        <v>0</v>
      </c>
      <c r="S10" s="125">
        <v>23725</v>
      </c>
      <c r="T10" s="125">
        <v>784</v>
      </c>
      <c r="U10" s="125">
        <v>619</v>
      </c>
      <c r="V10" s="136">
        <v>217</v>
      </c>
      <c r="W10" s="136">
        <v>12202</v>
      </c>
      <c r="X10" s="136">
        <v>289</v>
      </c>
      <c r="Y10" s="137">
        <v>0</v>
      </c>
      <c r="Z10" s="137">
        <v>0</v>
      </c>
      <c r="AA10" s="137">
        <v>0</v>
      </c>
      <c r="AB10" s="141">
        <v>1</v>
      </c>
      <c r="AC10" s="141">
        <v>261</v>
      </c>
      <c r="AD10" s="141">
        <v>16</v>
      </c>
    </row>
    <row r="11" spans="1:30" ht="14.25">
      <c r="A11">
        <v>20</v>
      </c>
      <c r="B11" s="121" t="s">
        <v>127</v>
      </c>
      <c r="C11" s="120">
        <v>35170</v>
      </c>
      <c r="D11" s="120">
        <v>0</v>
      </c>
      <c r="E11" s="120">
        <v>0</v>
      </c>
      <c r="F11" s="120">
        <v>0</v>
      </c>
      <c r="G11" s="123">
        <v>166</v>
      </c>
      <c r="H11" s="123">
        <v>18148</v>
      </c>
      <c r="I11" s="123">
        <v>0</v>
      </c>
      <c r="J11" s="125">
        <v>0</v>
      </c>
      <c r="K11" s="125">
        <v>0</v>
      </c>
      <c r="L11" s="125">
        <v>0</v>
      </c>
      <c r="M11" s="127">
        <v>0</v>
      </c>
      <c r="N11" s="127">
        <v>0</v>
      </c>
      <c r="O11" s="127">
        <v>0</v>
      </c>
      <c r="P11" s="129">
        <v>0</v>
      </c>
      <c r="Q11" s="129">
        <v>0</v>
      </c>
      <c r="R11" s="129">
        <v>0</v>
      </c>
      <c r="S11" s="125">
        <v>122902</v>
      </c>
      <c r="T11" s="125">
        <v>4202</v>
      </c>
      <c r="U11" s="125">
        <v>0</v>
      </c>
      <c r="V11" s="136">
        <v>1119</v>
      </c>
      <c r="W11" s="136">
        <v>73201</v>
      </c>
      <c r="X11" s="136">
        <v>1187</v>
      </c>
      <c r="Y11" s="137">
        <v>0</v>
      </c>
      <c r="Z11" s="137">
        <v>71</v>
      </c>
      <c r="AA11" s="137">
        <v>0</v>
      </c>
      <c r="AB11" s="141">
        <v>0</v>
      </c>
      <c r="AC11" s="141">
        <v>0</v>
      </c>
      <c r="AD11" s="141">
        <v>0</v>
      </c>
    </row>
    <row r="12" spans="1:30" ht="14.25">
      <c r="A12">
        <v>46</v>
      </c>
      <c r="B12" s="121" t="s">
        <v>150</v>
      </c>
      <c r="C12" s="120">
        <v>3374</v>
      </c>
      <c r="D12" s="120">
        <v>0</v>
      </c>
      <c r="E12" s="120">
        <v>0</v>
      </c>
      <c r="F12" s="120">
        <v>11</v>
      </c>
      <c r="G12" s="123">
        <v>7</v>
      </c>
      <c r="H12" s="123">
        <v>592</v>
      </c>
      <c r="I12" s="123">
        <v>0</v>
      </c>
      <c r="J12" s="125">
        <v>0</v>
      </c>
      <c r="K12" s="125">
        <v>0</v>
      </c>
      <c r="L12" s="125">
        <v>0</v>
      </c>
      <c r="M12" s="127">
        <v>0</v>
      </c>
      <c r="N12" s="127">
        <v>0</v>
      </c>
      <c r="O12" s="127">
        <v>0</v>
      </c>
      <c r="P12" s="129">
        <v>0</v>
      </c>
      <c r="Q12" s="129">
        <v>0</v>
      </c>
      <c r="R12" s="129">
        <v>0</v>
      </c>
      <c r="S12" s="125">
        <v>12505</v>
      </c>
      <c r="T12" s="125">
        <v>511</v>
      </c>
      <c r="U12" s="125">
        <v>11</v>
      </c>
      <c r="V12" s="136">
        <v>8</v>
      </c>
      <c r="W12" s="136">
        <v>6921</v>
      </c>
      <c r="X12" s="136">
        <v>139</v>
      </c>
      <c r="Y12" s="137">
        <v>0</v>
      </c>
      <c r="Z12" s="137">
        <v>8</v>
      </c>
      <c r="AA12" s="137">
        <v>0</v>
      </c>
      <c r="AB12" s="141">
        <v>0</v>
      </c>
      <c r="AC12" s="141">
        <v>0</v>
      </c>
      <c r="AD12" s="141">
        <v>0</v>
      </c>
    </row>
    <row r="13" spans="1:30" ht="14.25">
      <c r="A13">
        <v>47</v>
      </c>
      <c r="B13" s="121" t="s">
        <v>151</v>
      </c>
      <c r="C13" s="120">
        <v>2812</v>
      </c>
      <c r="D13" s="120">
        <v>0</v>
      </c>
      <c r="E13" s="120">
        <v>0</v>
      </c>
      <c r="F13" s="120">
        <v>664</v>
      </c>
      <c r="G13" s="123">
        <v>17</v>
      </c>
      <c r="H13" s="123">
        <v>636</v>
      </c>
      <c r="I13" s="123">
        <v>0</v>
      </c>
      <c r="J13" s="125">
        <v>0</v>
      </c>
      <c r="K13" s="125">
        <v>0</v>
      </c>
      <c r="L13" s="125">
        <v>0</v>
      </c>
      <c r="M13" s="127">
        <v>0</v>
      </c>
      <c r="N13" s="127">
        <v>0</v>
      </c>
      <c r="O13" s="127">
        <v>0</v>
      </c>
      <c r="P13" s="129">
        <v>0</v>
      </c>
      <c r="Q13" s="129">
        <v>0</v>
      </c>
      <c r="R13" s="129">
        <v>0</v>
      </c>
      <c r="S13" s="125">
        <v>17553</v>
      </c>
      <c r="T13" s="125">
        <v>484</v>
      </c>
      <c r="U13" s="125">
        <v>664</v>
      </c>
      <c r="V13" s="136">
        <v>55</v>
      </c>
      <c r="W13" s="136">
        <v>9063</v>
      </c>
      <c r="X13" s="136">
        <v>308</v>
      </c>
      <c r="Y13" s="137">
        <v>0</v>
      </c>
      <c r="Z13" s="137">
        <v>36</v>
      </c>
      <c r="AA13" s="137">
        <v>0</v>
      </c>
      <c r="AB13" s="141">
        <v>4</v>
      </c>
      <c r="AC13" s="141">
        <v>78</v>
      </c>
      <c r="AD13" s="141">
        <v>0</v>
      </c>
    </row>
    <row r="14" spans="1:30" ht="14.25">
      <c r="A14">
        <v>49</v>
      </c>
      <c r="B14" s="121" t="s">
        <v>152</v>
      </c>
      <c r="C14" s="120">
        <v>682628</v>
      </c>
      <c r="D14" s="120">
        <v>0</v>
      </c>
      <c r="E14" s="120">
        <v>105609</v>
      </c>
      <c r="F14" s="120">
        <v>15741</v>
      </c>
      <c r="G14" s="123">
        <v>1094</v>
      </c>
      <c r="H14" s="123">
        <v>101470</v>
      </c>
      <c r="I14" s="123">
        <v>12005</v>
      </c>
      <c r="J14" s="125">
        <v>0</v>
      </c>
      <c r="K14" s="125">
        <v>0</v>
      </c>
      <c r="L14" s="125">
        <v>0</v>
      </c>
      <c r="M14" s="127">
        <v>0</v>
      </c>
      <c r="N14" s="127">
        <v>233</v>
      </c>
      <c r="O14" s="127">
        <v>0</v>
      </c>
      <c r="P14" s="129">
        <v>0</v>
      </c>
      <c r="Q14" s="129">
        <v>0</v>
      </c>
      <c r="R14" s="129">
        <v>0</v>
      </c>
      <c r="S14" s="125">
        <v>2101249</v>
      </c>
      <c r="T14" s="125">
        <v>126708</v>
      </c>
      <c r="U14" s="125">
        <v>15736</v>
      </c>
      <c r="V14" s="136">
        <v>22670</v>
      </c>
      <c r="W14" s="136">
        <v>804116</v>
      </c>
      <c r="X14" s="136">
        <v>28592</v>
      </c>
      <c r="Y14" s="137">
        <v>4</v>
      </c>
      <c r="Z14" s="137">
        <v>2128</v>
      </c>
      <c r="AA14" s="137">
        <v>1436</v>
      </c>
      <c r="AB14" s="141">
        <v>192</v>
      </c>
      <c r="AC14" s="141">
        <v>4275</v>
      </c>
      <c r="AD14" s="141">
        <v>432</v>
      </c>
    </row>
    <row r="15" spans="1:30" ht="14.25">
      <c r="A15">
        <v>50</v>
      </c>
      <c r="B15" s="121" t="s">
        <v>153</v>
      </c>
      <c r="C15" s="120">
        <v>19747</v>
      </c>
      <c r="D15" s="120">
        <v>0</v>
      </c>
      <c r="E15" s="120">
        <v>0</v>
      </c>
      <c r="F15" s="120">
        <v>1167</v>
      </c>
      <c r="G15" s="123">
        <v>66</v>
      </c>
      <c r="H15" s="123">
        <v>4047</v>
      </c>
      <c r="I15" s="123">
        <v>0</v>
      </c>
      <c r="J15" s="125">
        <v>0</v>
      </c>
      <c r="K15" s="125">
        <v>0</v>
      </c>
      <c r="L15" s="125">
        <v>0</v>
      </c>
      <c r="M15" s="127">
        <v>0</v>
      </c>
      <c r="N15" s="127">
        <v>0</v>
      </c>
      <c r="O15" s="127">
        <v>0</v>
      </c>
      <c r="P15" s="129">
        <v>0</v>
      </c>
      <c r="Q15" s="129">
        <v>0</v>
      </c>
      <c r="R15" s="129">
        <v>0</v>
      </c>
      <c r="S15" s="125">
        <v>85715</v>
      </c>
      <c r="T15" s="125">
        <v>3300</v>
      </c>
      <c r="U15" s="125">
        <v>1166</v>
      </c>
      <c r="V15" s="136">
        <v>175</v>
      </c>
      <c r="W15" s="136">
        <v>45430</v>
      </c>
      <c r="X15" s="136">
        <v>1398</v>
      </c>
      <c r="Y15" s="137">
        <v>0</v>
      </c>
      <c r="Z15" s="137">
        <v>127</v>
      </c>
      <c r="AA15" s="137">
        <v>0</v>
      </c>
      <c r="AB15" s="141">
        <v>0</v>
      </c>
      <c r="AC15" s="141">
        <v>575</v>
      </c>
      <c r="AD15" s="141">
        <v>0</v>
      </c>
    </row>
    <row r="16" spans="1:30" ht="14.25">
      <c r="A16">
        <v>51</v>
      </c>
      <c r="B16" s="121" t="s">
        <v>154</v>
      </c>
      <c r="C16" s="120">
        <v>5257</v>
      </c>
      <c r="D16" s="120">
        <v>0</v>
      </c>
      <c r="E16" s="120">
        <v>0</v>
      </c>
      <c r="F16" s="120">
        <v>1510</v>
      </c>
      <c r="G16" s="123">
        <v>18</v>
      </c>
      <c r="H16" s="123">
        <v>1358</v>
      </c>
      <c r="I16" s="123">
        <v>0</v>
      </c>
      <c r="J16" s="125">
        <v>0</v>
      </c>
      <c r="K16" s="125">
        <v>0</v>
      </c>
      <c r="L16" s="125">
        <v>0</v>
      </c>
      <c r="M16" s="127">
        <v>0</v>
      </c>
      <c r="N16" s="127">
        <v>0</v>
      </c>
      <c r="O16" s="127">
        <v>0</v>
      </c>
      <c r="P16" s="129">
        <v>0</v>
      </c>
      <c r="Q16" s="129">
        <v>0</v>
      </c>
      <c r="R16" s="129">
        <v>0</v>
      </c>
      <c r="S16" s="125">
        <v>43167</v>
      </c>
      <c r="T16" s="125">
        <v>3314</v>
      </c>
      <c r="U16" s="125">
        <v>1510</v>
      </c>
      <c r="V16" s="136">
        <v>424</v>
      </c>
      <c r="W16" s="136">
        <v>21151</v>
      </c>
      <c r="X16" s="136">
        <v>558</v>
      </c>
      <c r="Y16" s="137">
        <v>0</v>
      </c>
      <c r="Z16" s="137">
        <v>9</v>
      </c>
      <c r="AA16" s="137">
        <v>0</v>
      </c>
      <c r="AB16" s="141">
        <v>0</v>
      </c>
      <c r="AC16" s="141">
        <v>0</v>
      </c>
      <c r="AD16" s="141">
        <v>0</v>
      </c>
    </row>
    <row r="17" spans="1:30" ht="14.25">
      <c r="A17">
        <v>52</v>
      </c>
      <c r="B17" s="121" t="s">
        <v>155</v>
      </c>
      <c r="C17" s="120">
        <v>2124</v>
      </c>
      <c r="D17" s="120">
        <v>0</v>
      </c>
      <c r="E17" s="120">
        <v>0</v>
      </c>
      <c r="F17" s="120">
        <v>40</v>
      </c>
      <c r="G17" s="123">
        <v>0</v>
      </c>
      <c r="H17" s="123">
        <v>0</v>
      </c>
      <c r="I17" s="123">
        <v>102</v>
      </c>
      <c r="J17" s="125">
        <v>0</v>
      </c>
      <c r="K17" s="125">
        <v>0</v>
      </c>
      <c r="L17" s="125">
        <v>0</v>
      </c>
      <c r="M17" s="127">
        <v>0</v>
      </c>
      <c r="N17" s="127">
        <v>0</v>
      </c>
      <c r="O17" s="127">
        <v>0</v>
      </c>
      <c r="P17" s="129">
        <v>0</v>
      </c>
      <c r="Q17" s="129">
        <v>0</v>
      </c>
      <c r="R17" s="129">
        <v>0</v>
      </c>
      <c r="S17" s="125">
        <v>18401</v>
      </c>
      <c r="T17" s="125">
        <v>409</v>
      </c>
      <c r="U17" s="125">
        <v>39</v>
      </c>
      <c r="V17" s="136">
        <v>62</v>
      </c>
      <c r="W17" s="136">
        <v>10781</v>
      </c>
      <c r="X17" s="136">
        <v>256</v>
      </c>
      <c r="Y17" s="137">
        <v>0</v>
      </c>
      <c r="Z17" s="137">
        <v>0</v>
      </c>
      <c r="AA17" s="137">
        <v>20</v>
      </c>
      <c r="AB17" s="141">
        <v>0</v>
      </c>
      <c r="AC17" s="141">
        <v>0</v>
      </c>
      <c r="AD17" s="141">
        <v>0</v>
      </c>
    </row>
    <row r="18" spans="1:30" ht="14.25">
      <c r="A18">
        <v>61</v>
      </c>
      <c r="B18" s="121" t="s">
        <v>156</v>
      </c>
      <c r="C18" s="120">
        <v>26748</v>
      </c>
      <c r="D18" s="120">
        <v>0</v>
      </c>
      <c r="E18" s="120">
        <v>0</v>
      </c>
      <c r="F18" s="120">
        <v>0</v>
      </c>
      <c r="G18" s="123">
        <v>1023</v>
      </c>
      <c r="H18" s="123">
        <v>1669</v>
      </c>
      <c r="I18" s="123">
        <v>1</v>
      </c>
      <c r="J18" s="125">
        <v>0</v>
      </c>
      <c r="K18" s="125">
        <v>0</v>
      </c>
      <c r="L18" s="125">
        <v>0</v>
      </c>
      <c r="M18" s="127">
        <v>0</v>
      </c>
      <c r="N18" s="127">
        <v>0</v>
      </c>
      <c r="O18" s="127">
        <v>0</v>
      </c>
      <c r="P18" s="129">
        <v>0</v>
      </c>
      <c r="Q18" s="129">
        <v>0</v>
      </c>
      <c r="R18" s="129">
        <v>0</v>
      </c>
      <c r="S18" s="125">
        <v>119276</v>
      </c>
      <c r="T18" s="125">
        <v>5985</v>
      </c>
      <c r="U18" s="125">
        <v>0</v>
      </c>
      <c r="V18" s="136">
        <v>3276</v>
      </c>
      <c r="W18" s="136">
        <v>63082</v>
      </c>
      <c r="X18" s="136">
        <v>1362</v>
      </c>
      <c r="Y18" s="137">
        <v>0</v>
      </c>
      <c r="Z18" s="137">
        <v>9</v>
      </c>
      <c r="AA18" s="137">
        <v>0</v>
      </c>
      <c r="AB18" s="141">
        <v>0</v>
      </c>
      <c r="AC18" s="141">
        <v>0</v>
      </c>
      <c r="AD18" s="141">
        <v>0</v>
      </c>
    </row>
    <row r="19" spans="1:30" ht="14.25">
      <c r="A19">
        <v>69</v>
      </c>
      <c r="B19" s="121" t="s">
        <v>157</v>
      </c>
      <c r="C19" s="120">
        <v>8707</v>
      </c>
      <c r="D19" s="120">
        <v>0</v>
      </c>
      <c r="E19" s="120">
        <v>0</v>
      </c>
      <c r="F19" s="120">
        <v>341</v>
      </c>
      <c r="G19" s="123">
        <v>0</v>
      </c>
      <c r="H19" s="123">
        <v>80</v>
      </c>
      <c r="I19" s="123">
        <v>0</v>
      </c>
      <c r="J19" s="125">
        <v>0</v>
      </c>
      <c r="K19" s="125">
        <v>0</v>
      </c>
      <c r="L19" s="125">
        <v>0</v>
      </c>
      <c r="M19" s="127">
        <v>0</v>
      </c>
      <c r="N19" s="127">
        <v>0</v>
      </c>
      <c r="O19" s="127">
        <v>0</v>
      </c>
      <c r="P19" s="129">
        <v>0</v>
      </c>
      <c r="Q19" s="129">
        <v>0</v>
      </c>
      <c r="R19" s="129">
        <v>0</v>
      </c>
      <c r="S19" s="125">
        <v>53364</v>
      </c>
      <c r="T19" s="125">
        <v>1623</v>
      </c>
      <c r="U19" s="125">
        <v>340</v>
      </c>
      <c r="V19" s="136">
        <v>580</v>
      </c>
      <c r="W19" s="136">
        <v>28183</v>
      </c>
      <c r="X19" s="136">
        <v>698</v>
      </c>
      <c r="Y19" s="137">
        <v>0</v>
      </c>
      <c r="Z19" s="137">
        <v>0</v>
      </c>
      <c r="AA19" s="137">
        <v>24</v>
      </c>
      <c r="AB19" s="141">
        <v>0</v>
      </c>
      <c r="AC19" s="141">
        <v>23</v>
      </c>
      <c r="AD19" s="141">
        <v>0</v>
      </c>
    </row>
    <row r="20" spans="1:30" ht="14.25">
      <c r="A20">
        <v>71</v>
      </c>
      <c r="B20" s="121" t="s">
        <v>158</v>
      </c>
      <c r="C20" s="120">
        <v>44611</v>
      </c>
      <c r="D20" s="120">
        <v>0</v>
      </c>
      <c r="E20" s="120">
        <v>111</v>
      </c>
      <c r="F20" s="120">
        <v>0</v>
      </c>
      <c r="G20" s="123">
        <v>0</v>
      </c>
      <c r="H20" s="123">
        <v>25958</v>
      </c>
      <c r="I20" s="123">
        <v>0</v>
      </c>
      <c r="J20" s="125">
        <v>0</v>
      </c>
      <c r="K20" s="125">
        <v>0</v>
      </c>
      <c r="L20" s="125">
        <v>0</v>
      </c>
      <c r="M20" s="127">
        <v>0</v>
      </c>
      <c r="N20" s="127">
        <v>0</v>
      </c>
      <c r="O20" s="127">
        <v>0</v>
      </c>
      <c r="P20" s="129">
        <v>0</v>
      </c>
      <c r="Q20" s="129">
        <v>0</v>
      </c>
      <c r="R20" s="129">
        <v>0</v>
      </c>
      <c r="S20" s="125">
        <v>87144</v>
      </c>
      <c r="T20" s="125">
        <v>2398</v>
      </c>
      <c r="U20" s="125">
        <v>0</v>
      </c>
      <c r="V20" s="136">
        <v>0</v>
      </c>
      <c r="W20" s="136">
        <v>51555</v>
      </c>
      <c r="X20" s="136">
        <v>696</v>
      </c>
      <c r="Y20" s="137">
        <v>0</v>
      </c>
      <c r="Z20" s="137">
        <v>221</v>
      </c>
      <c r="AA20" s="137">
        <v>0</v>
      </c>
      <c r="AB20" s="141">
        <v>0</v>
      </c>
      <c r="AC20" s="141">
        <v>0</v>
      </c>
      <c r="AD20" s="141">
        <v>0</v>
      </c>
    </row>
    <row r="21" spans="1:30" ht="14.25">
      <c r="A21">
        <v>72</v>
      </c>
      <c r="B21" s="121" t="s">
        <v>159</v>
      </c>
      <c r="C21" s="120">
        <v>2008</v>
      </c>
      <c r="D21" s="120">
        <v>0</v>
      </c>
      <c r="E21" s="120">
        <v>0</v>
      </c>
      <c r="F21" s="120">
        <v>0</v>
      </c>
      <c r="G21" s="123">
        <v>3</v>
      </c>
      <c r="H21" s="123">
        <v>491</v>
      </c>
      <c r="I21" s="123">
        <v>0</v>
      </c>
      <c r="J21" s="125">
        <v>0</v>
      </c>
      <c r="K21" s="125">
        <v>0</v>
      </c>
      <c r="L21" s="125">
        <v>0</v>
      </c>
      <c r="M21" s="127">
        <v>0</v>
      </c>
      <c r="N21" s="127">
        <v>0</v>
      </c>
      <c r="O21" s="127">
        <v>0</v>
      </c>
      <c r="P21" s="129">
        <v>0</v>
      </c>
      <c r="Q21" s="129">
        <v>0</v>
      </c>
      <c r="R21" s="129">
        <v>0</v>
      </c>
      <c r="S21" s="125">
        <v>8355</v>
      </c>
      <c r="T21" s="125">
        <v>415</v>
      </c>
      <c r="U21" s="125">
        <v>0</v>
      </c>
      <c r="V21" s="136">
        <v>11</v>
      </c>
      <c r="W21" s="136">
        <v>4483</v>
      </c>
      <c r="X21" s="136">
        <v>63</v>
      </c>
      <c r="Y21" s="137">
        <v>0</v>
      </c>
      <c r="Z21" s="137">
        <v>13</v>
      </c>
      <c r="AA21" s="137">
        <v>0</v>
      </c>
      <c r="AB21" s="141">
        <v>0</v>
      </c>
      <c r="AC21" s="141">
        <v>0</v>
      </c>
      <c r="AD21" s="141">
        <v>0</v>
      </c>
    </row>
    <row r="22" spans="1:30" ht="14.25">
      <c r="A22">
        <v>74</v>
      </c>
      <c r="B22" s="121" t="s">
        <v>160</v>
      </c>
      <c r="C22" s="120">
        <v>1064</v>
      </c>
      <c r="D22" s="120">
        <v>0</v>
      </c>
      <c r="E22" s="120">
        <v>0</v>
      </c>
      <c r="F22" s="120">
        <v>150</v>
      </c>
      <c r="G22" s="123">
        <v>0</v>
      </c>
      <c r="H22" s="123">
        <v>8</v>
      </c>
      <c r="I22" s="123">
        <v>0</v>
      </c>
      <c r="J22" s="125">
        <v>0</v>
      </c>
      <c r="K22" s="125">
        <v>0</v>
      </c>
      <c r="L22" s="125">
        <v>0</v>
      </c>
      <c r="M22" s="127">
        <v>0</v>
      </c>
      <c r="N22" s="127">
        <v>0</v>
      </c>
      <c r="O22" s="127">
        <v>0</v>
      </c>
      <c r="P22" s="129">
        <v>0</v>
      </c>
      <c r="Q22" s="129">
        <v>0</v>
      </c>
      <c r="R22" s="129">
        <v>0</v>
      </c>
      <c r="S22" s="125">
        <v>8553</v>
      </c>
      <c r="T22" s="125">
        <v>121</v>
      </c>
      <c r="U22" s="125">
        <v>150</v>
      </c>
      <c r="V22" s="136">
        <v>3</v>
      </c>
      <c r="W22" s="136">
        <v>4996</v>
      </c>
      <c r="X22" s="136">
        <v>106</v>
      </c>
      <c r="Y22" s="137">
        <v>0</v>
      </c>
      <c r="Z22" s="137">
        <v>0</v>
      </c>
      <c r="AA22" s="137">
        <v>16</v>
      </c>
      <c r="AB22" s="141">
        <v>0</v>
      </c>
      <c r="AC22" s="141">
        <v>0</v>
      </c>
      <c r="AD22" s="141">
        <v>0</v>
      </c>
    </row>
    <row r="23" spans="1:30" ht="14.25">
      <c r="A23">
        <v>75</v>
      </c>
      <c r="B23" s="121" t="s">
        <v>161</v>
      </c>
      <c r="C23" s="120">
        <v>46752</v>
      </c>
      <c r="D23" s="120">
        <v>0</v>
      </c>
      <c r="E23" s="120">
        <v>529</v>
      </c>
      <c r="F23" s="120">
        <v>3466</v>
      </c>
      <c r="G23" s="123">
        <v>342</v>
      </c>
      <c r="H23" s="123">
        <v>8538</v>
      </c>
      <c r="I23" s="123">
        <v>0</v>
      </c>
      <c r="J23" s="125">
        <v>0</v>
      </c>
      <c r="K23" s="125">
        <v>0</v>
      </c>
      <c r="L23" s="125">
        <v>0</v>
      </c>
      <c r="M23" s="127">
        <v>0</v>
      </c>
      <c r="N23" s="127">
        <v>0</v>
      </c>
      <c r="O23" s="127">
        <v>0</v>
      </c>
      <c r="P23" s="129">
        <v>0</v>
      </c>
      <c r="Q23" s="129">
        <v>314</v>
      </c>
      <c r="R23" s="129">
        <v>0</v>
      </c>
      <c r="S23" s="125">
        <v>155207</v>
      </c>
      <c r="T23" s="125">
        <v>9506</v>
      </c>
      <c r="U23" s="125">
        <v>3466</v>
      </c>
      <c r="V23" s="136">
        <v>2241</v>
      </c>
      <c r="W23" s="136">
        <v>82879</v>
      </c>
      <c r="X23" s="136">
        <v>2665</v>
      </c>
      <c r="Y23" s="137">
        <v>0</v>
      </c>
      <c r="Z23" s="137">
        <v>209</v>
      </c>
      <c r="AA23" s="137">
        <v>0</v>
      </c>
      <c r="AB23" s="141">
        <v>9</v>
      </c>
      <c r="AC23" s="141">
        <v>1456</v>
      </c>
      <c r="AD23" s="141">
        <v>0</v>
      </c>
    </row>
    <row r="24" spans="1:30" ht="14.25">
      <c r="A24">
        <v>77</v>
      </c>
      <c r="B24" s="121" t="s">
        <v>162</v>
      </c>
      <c r="C24" s="120">
        <v>13120</v>
      </c>
      <c r="D24" s="120">
        <v>0</v>
      </c>
      <c r="E24" s="120">
        <v>0</v>
      </c>
      <c r="F24" s="120">
        <v>889</v>
      </c>
      <c r="G24" s="123">
        <v>44</v>
      </c>
      <c r="H24" s="123">
        <v>2673</v>
      </c>
      <c r="I24" s="123">
        <v>0</v>
      </c>
      <c r="J24" s="125">
        <v>0</v>
      </c>
      <c r="K24" s="125">
        <v>0</v>
      </c>
      <c r="L24" s="125">
        <v>0</v>
      </c>
      <c r="M24" s="127">
        <v>0</v>
      </c>
      <c r="N24" s="127">
        <v>0</v>
      </c>
      <c r="O24" s="127">
        <v>0</v>
      </c>
      <c r="P24" s="129">
        <v>0</v>
      </c>
      <c r="Q24" s="129">
        <v>0</v>
      </c>
      <c r="R24" s="129">
        <v>0</v>
      </c>
      <c r="S24" s="125">
        <v>46066</v>
      </c>
      <c r="T24" s="125">
        <v>1634</v>
      </c>
      <c r="U24" s="125">
        <v>880</v>
      </c>
      <c r="V24" s="136">
        <v>209</v>
      </c>
      <c r="W24" s="136">
        <v>24643</v>
      </c>
      <c r="X24" s="136">
        <v>403</v>
      </c>
      <c r="Y24" s="137">
        <v>0</v>
      </c>
      <c r="Z24" s="137">
        <v>64</v>
      </c>
      <c r="AA24" s="137">
        <v>0</v>
      </c>
      <c r="AB24" s="141">
        <v>3</v>
      </c>
      <c r="AC24" s="141">
        <v>301</v>
      </c>
      <c r="AD24" s="141">
        <v>11</v>
      </c>
    </row>
    <row r="25" spans="1:30" ht="14.25">
      <c r="A25">
        <v>78</v>
      </c>
      <c r="B25" s="121" t="s">
        <v>163</v>
      </c>
      <c r="C25" s="120">
        <v>21398</v>
      </c>
      <c r="D25" s="120">
        <v>0</v>
      </c>
      <c r="E25" s="120">
        <v>428</v>
      </c>
      <c r="F25" s="120">
        <v>0</v>
      </c>
      <c r="G25" s="123">
        <v>276</v>
      </c>
      <c r="H25" s="123">
        <v>5369</v>
      </c>
      <c r="I25" s="123">
        <v>0</v>
      </c>
      <c r="J25" s="125">
        <v>0</v>
      </c>
      <c r="K25" s="125">
        <v>0</v>
      </c>
      <c r="L25" s="125">
        <v>0</v>
      </c>
      <c r="M25" s="127">
        <v>0</v>
      </c>
      <c r="N25" s="127">
        <v>0</v>
      </c>
      <c r="O25" s="127">
        <v>0</v>
      </c>
      <c r="P25" s="129">
        <v>0</v>
      </c>
      <c r="Q25" s="129">
        <v>0</v>
      </c>
      <c r="R25" s="129">
        <v>0</v>
      </c>
      <c r="S25" s="125">
        <v>73317</v>
      </c>
      <c r="T25" s="125">
        <v>3745</v>
      </c>
      <c r="U25" s="125">
        <v>0</v>
      </c>
      <c r="V25" s="136">
        <v>1011</v>
      </c>
      <c r="W25" s="136">
        <v>40956</v>
      </c>
      <c r="X25" s="136">
        <v>683</v>
      </c>
      <c r="Y25" s="137">
        <v>0</v>
      </c>
      <c r="Z25" s="137">
        <v>0</v>
      </c>
      <c r="AA25" s="137">
        <v>0</v>
      </c>
      <c r="AB25" s="141">
        <v>0</v>
      </c>
      <c r="AC25" s="141">
        <v>0</v>
      </c>
      <c r="AD25" s="141">
        <v>0</v>
      </c>
    </row>
    <row r="26" spans="1:30" ht="14.25">
      <c r="A26">
        <v>79</v>
      </c>
      <c r="B26" s="121" t="s">
        <v>164</v>
      </c>
      <c r="C26" s="120">
        <v>11406</v>
      </c>
      <c r="D26" s="120">
        <v>0</v>
      </c>
      <c r="E26" s="120">
        <v>14</v>
      </c>
      <c r="F26" s="120">
        <v>604</v>
      </c>
      <c r="G26" s="123">
        <v>131</v>
      </c>
      <c r="H26" s="123">
        <v>1987</v>
      </c>
      <c r="I26" s="123">
        <v>0</v>
      </c>
      <c r="J26" s="125">
        <v>0</v>
      </c>
      <c r="K26" s="125">
        <v>0</v>
      </c>
      <c r="L26" s="125">
        <v>0</v>
      </c>
      <c r="M26" s="127">
        <v>0</v>
      </c>
      <c r="N26" s="127">
        <v>0</v>
      </c>
      <c r="O26" s="127">
        <v>0</v>
      </c>
      <c r="P26" s="129">
        <v>0</v>
      </c>
      <c r="Q26" s="129">
        <v>61</v>
      </c>
      <c r="R26" s="129">
        <v>0</v>
      </c>
      <c r="S26" s="125">
        <v>53136</v>
      </c>
      <c r="T26" s="125">
        <v>2180</v>
      </c>
      <c r="U26" s="125">
        <v>604</v>
      </c>
      <c r="V26" s="136">
        <v>614</v>
      </c>
      <c r="W26" s="136">
        <v>30311</v>
      </c>
      <c r="X26" s="136">
        <v>777</v>
      </c>
      <c r="Y26" s="137">
        <v>0</v>
      </c>
      <c r="Z26" s="137">
        <v>0</v>
      </c>
      <c r="AA26" s="137">
        <v>0</v>
      </c>
      <c r="AB26" s="141">
        <v>10</v>
      </c>
      <c r="AC26" s="141">
        <v>186</v>
      </c>
      <c r="AD26" s="141">
        <v>1</v>
      </c>
    </row>
    <row r="27" spans="1:30" ht="14.25">
      <c r="A27">
        <v>81</v>
      </c>
      <c r="B27" s="121" t="s">
        <v>165</v>
      </c>
      <c r="C27" s="120">
        <v>4668</v>
      </c>
      <c r="D27" s="120">
        <v>0</v>
      </c>
      <c r="E27" s="120">
        <v>47</v>
      </c>
      <c r="F27" s="120">
        <v>311</v>
      </c>
      <c r="G27" s="123">
        <v>0</v>
      </c>
      <c r="H27" s="123">
        <v>17</v>
      </c>
      <c r="I27" s="123">
        <v>0</v>
      </c>
      <c r="J27" s="125">
        <v>0</v>
      </c>
      <c r="K27" s="125">
        <v>0</v>
      </c>
      <c r="L27" s="125">
        <v>0</v>
      </c>
      <c r="M27" s="127">
        <v>0</v>
      </c>
      <c r="N27" s="127">
        <v>0</v>
      </c>
      <c r="O27" s="127">
        <v>0</v>
      </c>
      <c r="P27" s="129">
        <v>0</v>
      </c>
      <c r="Q27" s="129">
        <v>0</v>
      </c>
      <c r="R27" s="129">
        <v>0</v>
      </c>
      <c r="S27" s="125">
        <v>22222</v>
      </c>
      <c r="T27" s="125">
        <v>556</v>
      </c>
      <c r="U27" s="125">
        <v>311</v>
      </c>
      <c r="V27" s="136">
        <v>331</v>
      </c>
      <c r="W27" s="136">
        <v>12750</v>
      </c>
      <c r="X27" s="136">
        <v>272</v>
      </c>
      <c r="Y27" s="137">
        <v>0</v>
      </c>
      <c r="Z27" s="137">
        <v>0</v>
      </c>
      <c r="AA27" s="137">
        <v>0</v>
      </c>
      <c r="AB27" s="141">
        <v>0</v>
      </c>
      <c r="AC27" s="141">
        <v>0</v>
      </c>
      <c r="AD27" s="141">
        <v>1</v>
      </c>
    </row>
    <row r="28" spans="1:30" ht="14.25">
      <c r="A28">
        <v>82</v>
      </c>
      <c r="B28" s="121" t="s">
        <v>166</v>
      </c>
      <c r="C28" s="120">
        <v>10551</v>
      </c>
      <c r="D28" s="120">
        <v>0</v>
      </c>
      <c r="E28" s="120">
        <v>15</v>
      </c>
      <c r="F28" s="120">
        <v>0</v>
      </c>
      <c r="G28" s="123">
        <v>113</v>
      </c>
      <c r="H28" s="123">
        <v>2428</v>
      </c>
      <c r="I28" s="123">
        <v>0</v>
      </c>
      <c r="J28" s="125">
        <v>0</v>
      </c>
      <c r="K28" s="125">
        <v>0</v>
      </c>
      <c r="L28" s="125">
        <v>0</v>
      </c>
      <c r="M28" s="127">
        <v>0</v>
      </c>
      <c r="N28" s="127">
        <v>0</v>
      </c>
      <c r="O28" s="127">
        <v>0</v>
      </c>
      <c r="P28" s="129">
        <v>0</v>
      </c>
      <c r="Q28" s="129">
        <v>0</v>
      </c>
      <c r="R28" s="129">
        <v>0</v>
      </c>
      <c r="S28" s="125">
        <v>53612</v>
      </c>
      <c r="T28" s="125">
        <v>1549</v>
      </c>
      <c r="U28" s="125">
        <v>0</v>
      </c>
      <c r="V28" s="136">
        <v>636</v>
      </c>
      <c r="W28" s="136">
        <v>27360</v>
      </c>
      <c r="X28" s="136">
        <v>600</v>
      </c>
      <c r="Y28" s="137">
        <v>3</v>
      </c>
      <c r="Z28" s="137">
        <v>81</v>
      </c>
      <c r="AA28" s="137">
        <v>0</v>
      </c>
      <c r="AB28" s="141">
        <v>0</v>
      </c>
      <c r="AC28" s="141">
        <v>0</v>
      </c>
      <c r="AD28" s="141">
        <v>0</v>
      </c>
    </row>
    <row r="29" spans="1:30" ht="14.25">
      <c r="A29">
        <v>86</v>
      </c>
      <c r="B29" s="121" t="s">
        <v>167</v>
      </c>
      <c r="C29" s="120">
        <v>10739</v>
      </c>
      <c r="D29" s="120">
        <v>0</v>
      </c>
      <c r="E29" s="120">
        <v>33</v>
      </c>
      <c r="F29" s="120">
        <v>1071</v>
      </c>
      <c r="G29" s="123">
        <v>46</v>
      </c>
      <c r="H29" s="123">
        <v>2517</v>
      </c>
      <c r="I29" s="123">
        <v>0</v>
      </c>
      <c r="J29" s="125">
        <v>0</v>
      </c>
      <c r="K29" s="125">
        <v>0</v>
      </c>
      <c r="L29" s="125">
        <v>0</v>
      </c>
      <c r="M29" s="127">
        <v>0</v>
      </c>
      <c r="N29" s="127">
        <v>0</v>
      </c>
      <c r="O29" s="127">
        <v>0</v>
      </c>
      <c r="P29" s="129">
        <v>0</v>
      </c>
      <c r="Q29" s="129">
        <v>0</v>
      </c>
      <c r="R29" s="129">
        <v>0</v>
      </c>
      <c r="S29" s="125">
        <v>51953</v>
      </c>
      <c r="T29" s="125">
        <v>2386</v>
      </c>
      <c r="U29" s="125">
        <v>1071</v>
      </c>
      <c r="V29" s="136">
        <v>88</v>
      </c>
      <c r="W29" s="136">
        <v>28161</v>
      </c>
      <c r="X29" s="136">
        <v>547</v>
      </c>
      <c r="Y29" s="137">
        <v>0</v>
      </c>
      <c r="Z29" s="137">
        <v>14</v>
      </c>
      <c r="AA29" s="137">
        <v>16</v>
      </c>
      <c r="AB29" s="141">
        <v>3</v>
      </c>
      <c r="AC29" s="141">
        <v>381</v>
      </c>
      <c r="AD29" s="141">
        <v>15</v>
      </c>
    </row>
    <row r="30" spans="1:30" ht="14.25">
      <c r="A30">
        <v>90</v>
      </c>
      <c r="B30" s="121" t="s">
        <v>169</v>
      </c>
      <c r="C30" s="120">
        <v>7939</v>
      </c>
      <c r="D30" s="120">
        <v>0</v>
      </c>
      <c r="E30" s="120">
        <v>0</v>
      </c>
      <c r="F30" s="120">
        <v>565</v>
      </c>
      <c r="G30" s="123">
        <v>48</v>
      </c>
      <c r="H30" s="123">
        <v>2132</v>
      </c>
      <c r="I30" s="123">
        <v>0</v>
      </c>
      <c r="J30" s="125">
        <v>0</v>
      </c>
      <c r="K30" s="125">
        <v>0</v>
      </c>
      <c r="L30" s="125">
        <v>0</v>
      </c>
      <c r="M30" s="127">
        <v>0</v>
      </c>
      <c r="N30" s="127">
        <v>0</v>
      </c>
      <c r="O30" s="127">
        <v>0</v>
      </c>
      <c r="P30" s="129">
        <v>0</v>
      </c>
      <c r="Q30" s="129">
        <v>0</v>
      </c>
      <c r="R30" s="129">
        <v>0</v>
      </c>
      <c r="S30" s="125">
        <v>32301</v>
      </c>
      <c r="T30" s="125">
        <v>1677</v>
      </c>
      <c r="U30" s="125">
        <v>565</v>
      </c>
      <c r="V30" s="136">
        <v>236</v>
      </c>
      <c r="W30" s="136">
        <v>20120</v>
      </c>
      <c r="X30" s="136">
        <v>358</v>
      </c>
      <c r="Y30" s="137">
        <v>0</v>
      </c>
      <c r="Z30" s="137">
        <v>55</v>
      </c>
      <c r="AA30" s="137">
        <v>0</v>
      </c>
      <c r="AB30" s="141">
        <v>8</v>
      </c>
      <c r="AC30" s="141">
        <v>246</v>
      </c>
      <c r="AD30" s="141">
        <v>0</v>
      </c>
    </row>
    <row r="31" spans="1:30" ht="14.25">
      <c r="A31">
        <v>91</v>
      </c>
      <c r="B31" s="121" t="s">
        <v>170</v>
      </c>
      <c r="C31" s="120">
        <v>1937815</v>
      </c>
      <c r="D31" s="120">
        <v>0</v>
      </c>
      <c r="E31" s="120">
        <v>114805</v>
      </c>
      <c r="F31" s="120">
        <v>0</v>
      </c>
      <c r="G31" s="123">
        <v>738</v>
      </c>
      <c r="H31" s="123">
        <v>306975</v>
      </c>
      <c r="I31" s="123">
        <v>14943</v>
      </c>
      <c r="J31" s="125">
        <v>0</v>
      </c>
      <c r="K31" s="125">
        <v>0</v>
      </c>
      <c r="L31" s="125">
        <v>0</v>
      </c>
      <c r="M31" s="127">
        <v>0</v>
      </c>
      <c r="N31" s="127">
        <v>0</v>
      </c>
      <c r="O31" s="127">
        <v>0</v>
      </c>
      <c r="P31" s="129">
        <v>0</v>
      </c>
      <c r="Q31" s="129">
        <v>0</v>
      </c>
      <c r="R31" s="129">
        <v>0</v>
      </c>
      <c r="S31" s="125">
        <v>5163159</v>
      </c>
      <c r="T31" s="125">
        <v>385620</v>
      </c>
      <c r="U31" s="125">
        <v>0</v>
      </c>
      <c r="V31" s="136">
        <v>86650</v>
      </c>
      <c r="W31" s="136">
        <v>2310024</v>
      </c>
      <c r="X31" s="136">
        <v>51826</v>
      </c>
      <c r="Y31" s="137">
        <v>61</v>
      </c>
      <c r="Z31" s="137">
        <v>6310</v>
      </c>
      <c r="AA31" s="137">
        <v>1629</v>
      </c>
      <c r="AB31" s="141">
        <v>0</v>
      </c>
      <c r="AC31" s="141">
        <v>0</v>
      </c>
      <c r="AD31" s="141">
        <v>0</v>
      </c>
    </row>
    <row r="32" spans="1:30" ht="14.25">
      <c r="A32">
        <v>92</v>
      </c>
      <c r="B32" s="121" t="s">
        <v>412</v>
      </c>
      <c r="C32" s="120">
        <v>408106</v>
      </c>
      <c r="D32" s="120">
        <v>0</v>
      </c>
      <c r="E32" s="120">
        <v>109842</v>
      </c>
      <c r="F32" s="120">
        <v>36951</v>
      </c>
      <c r="G32" s="123">
        <v>747</v>
      </c>
      <c r="H32" s="123">
        <v>94044</v>
      </c>
      <c r="I32" s="123">
        <v>17616</v>
      </c>
      <c r="J32" s="125">
        <v>0</v>
      </c>
      <c r="K32" s="125">
        <v>0</v>
      </c>
      <c r="L32" s="125">
        <v>0</v>
      </c>
      <c r="M32" s="127">
        <v>0</v>
      </c>
      <c r="N32" s="127">
        <v>762</v>
      </c>
      <c r="O32" s="127">
        <v>0</v>
      </c>
      <c r="P32" s="129">
        <v>0</v>
      </c>
      <c r="Q32" s="129">
        <v>0</v>
      </c>
      <c r="R32" s="129">
        <v>0</v>
      </c>
      <c r="S32" s="125">
        <v>1533544</v>
      </c>
      <c r="T32" s="125">
        <v>98084</v>
      </c>
      <c r="U32" s="125">
        <v>36953</v>
      </c>
      <c r="V32" s="136">
        <v>21495</v>
      </c>
      <c r="W32" s="136">
        <v>697547</v>
      </c>
      <c r="X32" s="136">
        <v>24864</v>
      </c>
      <c r="Y32" s="137">
        <v>0</v>
      </c>
      <c r="Z32" s="137">
        <v>853</v>
      </c>
      <c r="AA32" s="137">
        <v>1748</v>
      </c>
      <c r="AB32" s="141">
        <v>849</v>
      </c>
      <c r="AC32" s="141">
        <v>13518</v>
      </c>
      <c r="AD32" s="141">
        <v>0</v>
      </c>
    </row>
    <row r="33" spans="1:30" ht="14.25">
      <c r="A33">
        <v>97</v>
      </c>
      <c r="B33" s="121" t="s">
        <v>171</v>
      </c>
      <c r="C33" s="120">
        <v>3739</v>
      </c>
      <c r="D33" s="120">
        <v>0</v>
      </c>
      <c r="E33" s="120">
        <v>0</v>
      </c>
      <c r="F33" s="120">
        <v>0</v>
      </c>
      <c r="G33" s="123">
        <v>0</v>
      </c>
      <c r="H33" s="123">
        <v>264</v>
      </c>
      <c r="I33" s="123">
        <v>0</v>
      </c>
      <c r="J33" s="125">
        <v>0</v>
      </c>
      <c r="K33" s="125">
        <v>0</v>
      </c>
      <c r="L33" s="125">
        <v>0</v>
      </c>
      <c r="M33" s="127">
        <v>0</v>
      </c>
      <c r="N33" s="127">
        <v>0</v>
      </c>
      <c r="O33" s="127">
        <v>0</v>
      </c>
      <c r="P33" s="129">
        <v>0</v>
      </c>
      <c r="Q33" s="129">
        <v>0</v>
      </c>
      <c r="R33" s="129">
        <v>0</v>
      </c>
      <c r="S33" s="125">
        <v>17256</v>
      </c>
      <c r="T33" s="125">
        <v>816</v>
      </c>
      <c r="U33" s="125">
        <v>0</v>
      </c>
      <c r="V33" s="136">
        <v>175</v>
      </c>
      <c r="W33" s="136">
        <v>9214</v>
      </c>
      <c r="X33" s="136">
        <v>199</v>
      </c>
      <c r="Y33" s="137">
        <v>0</v>
      </c>
      <c r="Z33" s="137">
        <v>0</v>
      </c>
      <c r="AA33" s="137">
        <v>0</v>
      </c>
      <c r="AB33" s="141">
        <v>0</v>
      </c>
      <c r="AC33" s="141">
        <v>0</v>
      </c>
      <c r="AD33" s="141">
        <v>0</v>
      </c>
    </row>
    <row r="34" spans="1:30" ht="14.25">
      <c r="A34">
        <v>98</v>
      </c>
      <c r="B34" s="121" t="s">
        <v>172</v>
      </c>
      <c r="C34" s="120">
        <v>113663</v>
      </c>
      <c r="D34" s="120">
        <v>0</v>
      </c>
      <c r="E34" s="120">
        <v>160</v>
      </c>
      <c r="F34" s="120">
        <v>1823</v>
      </c>
      <c r="G34" s="123">
        <v>1287</v>
      </c>
      <c r="H34" s="123">
        <v>78115</v>
      </c>
      <c r="I34" s="123">
        <v>0</v>
      </c>
      <c r="J34" s="125">
        <v>0</v>
      </c>
      <c r="K34" s="125">
        <v>0</v>
      </c>
      <c r="L34" s="125">
        <v>0</v>
      </c>
      <c r="M34" s="127">
        <v>0</v>
      </c>
      <c r="N34" s="127">
        <v>0</v>
      </c>
      <c r="O34" s="127">
        <v>0</v>
      </c>
      <c r="P34" s="129">
        <v>0</v>
      </c>
      <c r="Q34" s="129">
        <v>4</v>
      </c>
      <c r="R34" s="129">
        <v>0</v>
      </c>
      <c r="S34" s="125">
        <v>218411</v>
      </c>
      <c r="T34" s="125">
        <v>9859</v>
      </c>
      <c r="U34" s="125">
        <v>1823</v>
      </c>
      <c r="V34" s="136">
        <v>3388</v>
      </c>
      <c r="W34" s="136">
        <v>142305</v>
      </c>
      <c r="X34" s="136">
        <v>1933</v>
      </c>
      <c r="Y34" s="137">
        <v>3</v>
      </c>
      <c r="Z34" s="137">
        <v>99</v>
      </c>
      <c r="AA34" s="137">
        <v>0</v>
      </c>
      <c r="AB34" s="141">
        <v>0</v>
      </c>
      <c r="AC34" s="141">
        <v>4</v>
      </c>
      <c r="AD34" s="141">
        <v>0</v>
      </c>
    </row>
    <row r="35" spans="1:30" ht="14.25">
      <c r="A35">
        <v>99</v>
      </c>
      <c r="B35" s="121" t="s">
        <v>173</v>
      </c>
      <c r="C35" s="120">
        <v>8100</v>
      </c>
      <c r="D35" s="120">
        <v>0</v>
      </c>
      <c r="E35" s="120">
        <v>0</v>
      </c>
      <c r="F35" s="120">
        <v>189</v>
      </c>
      <c r="G35" s="123">
        <v>0</v>
      </c>
      <c r="H35" s="123">
        <v>64</v>
      </c>
      <c r="I35" s="123">
        <v>74</v>
      </c>
      <c r="J35" s="125">
        <v>0</v>
      </c>
      <c r="K35" s="125">
        <v>0</v>
      </c>
      <c r="L35" s="125">
        <v>0</v>
      </c>
      <c r="M35" s="127">
        <v>0</v>
      </c>
      <c r="N35" s="127">
        <v>0</v>
      </c>
      <c r="O35" s="127">
        <v>0</v>
      </c>
      <c r="P35" s="129">
        <v>0</v>
      </c>
      <c r="Q35" s="129">
        <v>0</v>
      </c>
      <c r="R35" s="129">
        <v>0</v>
      </c>
      <c r="S35" s="125">
        <v>18043</v>
      </c>
      <c r="T35" s="125">
        <v>354</v>
      </c>
      <c r="U35" s="125">
        <v>189</v>
      </c>
      <c r="V35" s="136">
        <v>63</v>
      </c>
      <c r="W35" s="136">
        <v>6650</v>
      </c>
      <c r="X35" s="136">
        <v>246</v>
      </c>
      <c r="Y35" s="137">
        <v>0</v>
      </c>
      <c r="Z35" s="137">
        <v>0</v>
      </c>
      <c r="AA35" s="137">
        <v>4</v>
      </c>
      <c r="AB35" s="141">
        <v>0</v>
      </c>
      <c r="AC35" s="141">
        <v>2</v>
      </c>
      <c r="AD35" s="141">
        <v>1</v>
      </c>
    </row>
    <row r="36" spans="1:30" ht="14.25">
      <c r="A36">
        <v>102</v>
      </c>
      <c r="B36" s="121" t="s">
        <v>174</v>
      </c>
      <c r="C36" s="120">
        <v>23929</v>
      </c>
      <c r="D36" s="120">
        <v>0</v>
      </c>
      <c r="E36" s="120">
        <v>3</v>
      </c>
      <c r="F36" s="120">
        <v>2404</v>
      </c>
      <c r="G36" s="123">
        <v>366</v>
      </c>
      <c r="H36" s="123">
        <v>5181</v>
      </c>
      <c r="I36" s="123">
        <v>0</v>
      </c>
      <c r="J36" s="125">
        <v>0</v>
      </c>
      <c r="K36" s="125">
        <v>0</v>
      </c>
      <c r="L36" s="125">
        <v>0</v>
      </c>
      <c r="M36" s="127">
        <v>0</v>
      </c>
      <c r="N36" s="127">
        <v>0</v>
      </c>
      <c r="O36" s="127">
        <v>0</v>
      </c>
      <c r="P36" s="129">
        <v>0</v>
      </c>
      <c r="Q36" s="129">
        <v>0</v>
      </c>
      <c r="R36" s="129">
        <v>0</v>
      </c>
      <c r="S36" s="125">
        <v>77139</v>
      </c>
      <c r="T36" s="125">
        <v>3476</v>
      </c>
      <c r="U36" s="125">
        <v>2403</v>
      </c>
      <c r="V36" s="136">
        <v>989</v>
      </c>
      <c r="W36" s="136">
        <v>38903</v>
      </c>
      <c r="X36" s="136">
        <v>1095</v>
      </c>
      <c r="Y36" s="137">
        <v>3</v>
      </c>
      <c r="Z36" s="137">
        <v>90</v>
      </c>
      <c r="AA36" s="137">
        <v>0</v>
      </c>
      <c r="AB36" s="141">
        <v>31</v>
      </c>
      <c r="AC36" s="141">
        <v>1053</v>
      </c>
      <c r="AD36" s="141">
        <v>53</v>
      </c>
    </row>
    <row r="37" spans="1:30" ht="14.25">
      <c r="A37">
        <v>103</v>
      </c>
      <c r="B37" s="121" t="s">
        <v>175</v>
      </c>
      <c r="C37" s="120">
        <v>2426</v>
      </c>
      <c r="D37" s="120">
        <v>0</v>
      </c>
      <c r="E37" s="120">
        <v>0</v>
      </c>
      <c r="F37" s="120">
        <v>330</v>
      </c>
      <c r="G37" s="123">
        <v>22</v>
      </c>
      <c r="H37" s="123">
        <v>70</v>
      </c>
      <c r="I37" s="123">
        <v>0</v>
      </c>
      <c r="J37" s="125">
        <v>0</v>
      </c>
      <c r="K37" s="125">
        <v>0</v>
      </c>
      <c r="L37" s="125">
        <v>0</v>
      </c>
      <c r="M37" s="127">
        <v>0</v>
      </c>
      <c r="N37" s="127">
        <v>0</v>
      </c>
      <c r="O37" s="127">
        <v>0</v>
      </c>
      <c r="P37" s="129">
        <v>0</v>
      </c>
      <c r="Q37" s="129">
        <v>0</v>
      </c>
      <c r="R37" s="129">
        <v>0</v>
      </c>
      <c r="S37" s="125">
        <v>15453</v>
      </c>
      <c r="T37" s="125">
        <v>424</v>
      </c>
      <c r="U37" s="125">
        <v>332</v>
      </c>
      <c r="V37" s="136">
        <v>145</v>
      </c>
      <c r="W37" s="136">
        <v>8249</v>
      </c>
      <c r="X37" s="136">
        <v>195</v>
      </c>
      <c r="Y37" s="137">
        <v>0</v>
      </c>
      <c r="Z37" s="137">
        <v>2</v>
      </c>
      <c r="AA37" s="137">
        <v>0</v>
      </c>
      <c r="AB37" s="141">
        <v>0</v>
      </c>
      <c r="AC37" s="141">
        <v>0</v>
      </c>
      <c r="AD37" s="141">
        <v>0</v>
      </c>
    </row>
    <row r="38" spans="1:30" ht="14.25">
      <c r="A38">
        <v>105</v>
      </c>
      <c r="B38" s="121" t="s">
        <v>176</v>
      </c>
      <c r="C38" s="120">
        <v>3457</v>
      </c>
      <c r="D38" s="120">
        <v>0</v>
      </c>
      <c r="E38" s="120">
        <v>0</v>
      </c>
      <c r="F38" s="120">
        <v>77</v>
      </c>
      <c r="G38" s="123">
        <v>0</v>
      </c>
      <c r="H38" s="123">
        <v>15</v>
      </c>
      <c r="I38" s="123">
        <v>0</v>
      </c>
      <c r="J38" s="125">
        <v>0</v>
      </c>
      <c r="K38" s="125">
        <v>0</v>
      </c>
      <c r="L38" s="125">
        <v>0</v>
      </c>
      <c r="M38" s="127">
        <v>0</v>
      </c>
      <c r="N38" s="127">
        <v>0</v>
      </c>
      <c r="O38" s="127">
        <v>0</v>
      </c>
      <c r="P38" s="129">
        <v>0</v>
      </c>
      <c r="Q38" s="129">
        <v>0</v>
      </c>
      <c r="R38" s="129">
        <v>0</v>
      </c>
      <c r="S38" s="125">
        <v>21316</v>
      </c>
      <c r="T38" s="125">
        <v>535</v>
      </c>
      <c r="U38" s="125">
        <v>77</v>
      </c>
      <c r="V38" s="136">
        <v>36</v>
      </c>
      <c r="W38" s="136">
        <v>12074</v>
      </c>
      <c r="X38" s="136">
        <v>212</v>
      </c>
      <c r="Y38" s="137">
        <v>0</v>
      </c>
      <c r="Z38" s="137">
        <v>0</v>
      </c>
      <c r="AA38" s="137">
        <v>0</v>
      </c>
      <c r="AB38" s="141">
        <v>0</v>
      </c>
      <c r="AC38" s="141">
        <v>0</v>
      </c>
      <c r="AD38" s="141">
        <v>0</v>
      </c>
    </row>
    <row r="39" spans="1:30" ht="14.25">
      <c r="A39">
        <v>106</v>
      </c>
      <c r="B39" s="121" t="s">
        <v>177</v>
      </c>
      <c r="C39" s="120">
        <v>92160</v>
      </c>
      <c r="D39" s="120">
        <v>0</v>
      </c>
      <c r="E39" s="120">
        <v>7527</v>
      </c>
      <c r="F39" s="120">
        <v>16567</v>
      </c>
      <c r="G39" s="123">
        <v>620</v>
      </c>
      <c r="H39" s="123">
        <v>22892</v>
      </c>
      <c r="I39" s="123">
        <v>10</v>
      </c>
      <c r="J39" s="125">
        <v>0</v>
      </c>
      <c r="K39" s="125">
        <v>0</v>
      </c>
      <c r="L39" s="125">
        <v>0</v>
      </c>
      <c r="M39" s="127">
        <v>0</v>
      </c>
      <c r="N39" s="127">
        <v>0</v>
      </c>
      <c r="O39" s="127">
        <v>0</v>
      </c>
      <c r="P39" s="129">
        <v>343</v>
      </c>
      <c r="Q39" s="129">
        <v>7242</v>
      </c>
      <c r="R39" s="129">
        <v>169</v>
      </c>
      <c r="S39" s="125">
        <v>325758</v>
      </c>
      <c r="T39" s="125">
        <v>19721</v>
      </c>
      <c r="U39" s="125">
        <v>16567</v>
      </c>
      <c r="V39" s="136">
        <v>5281</v>
      </c>
      <c r="W39" s="136">
        <v>168534</v>
      </c>
      <c r="X39" s="136">
        <v>3571</v>
      </c>
      <c r="Y39" s="137">
        <v>0</v>
      </c>
      <c r="Z39" s="137">
        <v>197</v>
      </c>
      <c r="AA39" s="137">
        <v>3</v>
      </c>
      <c r="AB39" s="141">
        <v>471</v>
      </c>
      <c r="AC39" s="141">
        <v>8591</v>
      </c>
      <c r="AD39" s="141">
        <v>12</v>
      </c>
    </row>
    <row r="40" spans="1:30" ht="14.25">
      <c r="A40">
        <v>108</v>
      </c>
      <c r="B40" s="121" t="s">
        <v>178</v>
      </c>
      <c r="C40" s="120">
        <v>19201</v>
      </c>
      <c r="D40" s="120">
        <v>0</v>
      </c>
      <c r="E40" s="120">
        <v>138</v>
      </c>
      <c r="F40" s="120">
        <v>0</v>
      </c>
      <c r="G40" s="123">
        <v>193</v>
      </c>
      <c r="H40" s="123">
        <v>6389</v>
      </c>
      <c r="I40" s="123">
        <v>0</v>
      </c>
      <c r="J40" s="125">
        <v>0</v>
      </c>
      <c r="K40" s="125">
        <v>0</v>
      </c>
      <c r="L40" s="125">
        <v>0</v>
      </c>
      <c r="M40" s="127">
        <v>0</v>
      </c>
      <c r="N40" s="127">
        <v>0</v>
      </c>
      <c r="O40" s="127">
        <v>0</v>
      </c>
      <c r="P40" s="129">
        <v>0</v>
      </c>
      <c r="Q40" s="129">
        <v>0</v>
      </c>
      <c r="R40" s="129">
        <v>0</v>
      </c>
      <c r="S40" s="125">
        <v>74720</v>
      </c>
      <c r="T40" s="125">
        <v>3629</v>
      </c>
      <c r="U40" s="125">
        <v>0</v>
      </c>
      <c r="V40" s="136">
        <v>1054</v>
      </c>
      <c r="W40" s="136">
        <v>39211</v>
      </c>
      <c r="X40" s="136">
        <v>717</v>
      </c>
      <c r="Y40" s="137">
        <v>8</v>
      </c>
      <c r="Z40" s="137">
        <v>175</v>
      </c>
      <c r="AA40" s="137">
        <v>0</v>
      </c>
      <c r="AB40" s="141">
        <v>0</v>
      </c>
      <c r="AC40" s="141">
        <v>0</v>
      </c>
      <c r="AD40" s="141">
        <v>0</v>
      </c>
    </row>
    <row r="41" spans="1:30" ht="14.25">
      <c r="A41">
        <v>109</v>
      </c>
      <c r="B41" s="121" t="s">
        <v>179</v>
      </c>
      <c r="C41" s="120">
        <v>136090</v>
      </c>
      <c r="D41" s="120">
        <v>0</v>
      </c>
      <c r="E41" s="120">
        <v>5364</v>
      </c>
      <c r="F41" s="120">
        <v>11028</v>
      </c>
      <c r="G41" s="123">
        <v>52</v>
      </c>
      <c r="H41" s="123">
        <v>35203</v>
      </c>
      <c r="I41" s="123">
        <v>16267</v>
      </c>
      <c r="J41" s="125">
        <v>0</v>
      </c>
      <c r="K41" s="125">
        <v>0</v>
      </c>
      <c r="L41" s="125">
        <v>0</v>
      </c>
      <c r="M41" s="127">
        <v>0</v>
      </c>
      <c r="N41" s="127">
        <v>0</v>
      </c>
      <c r="O41" s="127">
        <v>0</v>
      </c>
      <c r="P41" s="129">
        <v>2</v>
      </c>
      <c r="Q41" s="129">
        <v>3529</v>
      </c>
      <c r="R41" s="129">
        <v>0</v>
      </c>
      <c r="S41" s="125">
        <v>491645</v>
      </c>
      <c r="T41" s="125">
        <v>17467</v>
      </c>
      <c r="U41" s="125">
        <v>11027</v>
      </c>
      <c r="V41" s="136">
        <v>1325</v>
      </c>
      <c r="W41" s="136">
        <v>260180</v>
      </c>
      <c r="X41" s="136">
        <v>22425</v>
      </c>
      <c r="Y41" s="137">
        <v>0</v>
      </c>
      <c r="Z41" s="137">
        <v>217</v>
      </c>
      <c r="AA41" s="137">
        <v>535</v>
      </c>
      <c r="AB41" s="141">
        <v>31</v>
      </c>
      <c r="AC41" s="141">
        <v>6842</v>
      </c>
      <c r="AD41" s="141">
        <v>0</v>
      </c>
    </row>
    <row r="42" spans="1:30" ht="14.25">
      <c r="A42">
        <v>111</v>
      </c>
      <c r="B42" s="121" t="s">
        <v>168</v>
      </c>
      <c r="C42" s="120">
        <v>37965</v>
      </c>
      <c r="D42" s="120">
        <v>0</v>
      </c>
      <c r="E42" s="120">
        <v>439</v>
      </c>
      <c r="F42" s="120">
        <v>716</v>
      </c>
      <c r="G42" s="123">
        <v>88</v>
      </c>
      <c r="H42" s="123">
        <v>8096</v>
      </c>
      <c r="I42" s="123">
        <v>0</v>
      </c>
      <c r="J42" s="125">
        <v>0</v>
      </c>
      <c r="K42" s="125">
        <v>0</v>
      </c>
      <c r="L42" s="125">
        <v>0</v>
      </c>
      <c r="M42" s="127">
        <v>0</v>
      </c>
      <c r="N42" s="127">
        <v>0</v>
      </c>
      <c r="O42" s="127">
        <v>0</v>
      </c>
      <c r="P42" s="129">
        <v>0</v>
      </c>
      <c r="Q42" s="129">
        <v>0</v>
      </c>
      <c r="R42" s="129">
        <v>0</v>
      </c>
      <c r="S42" s="125">
        <v>146195</v>
      </c>
      <c r="T42" s="125">
        <v>5487</v>
      </c>
      <c r="U42" s="125">
        <v>716</v>
      </c>
      <c r="V42" s="136">
        <v>2015</v>
      </c>
      <c r="W42" s="136">
        <v>78921</v>
      </c>
      <c r="X42" s="136">
        <v>2219</v>
      </c>
      <c r="Y42" s="137">
        <v>0</v>
      </c>
      <c r="Z42" s="137">
        <v>836</v>
      </c>
      <c r="AA42" s="137">
        <v>163</v>
      </c>
      <c r="AB42" s="141">
        <v>0</v>
      </c>
      <c r="AC42" s="141">
        <v>251</v>
      </c>
      <c r="AD42" s="141">
        <v>0</v>
      </c>
    </row>
    <row r="43" spans="1:30" ht="14.25">
      <c r="A43">
        <v>139</v>
      </c>
      <c r="B43" s="121" t="s">
        <v>180</v>
      </c>
      <c r="C43" s="120">
        <v>13059</v>
      </c>
      <c r="D43" s="120">
        <v>0</v>
      </c>
      <c r="E43" s="120">
        <v>8</v>
      </c>
      <c r="F43" s="120">
        <v>1045</v>
      </c>
      <c r="G43" s="123">
        <v>0</v>
      </c>
      <c r="H43" s="123">
        <v>0</v>
      </c>
      <c r="I43" s="123">
        <v>0</v>
      </c>
      <c r="J43" s="125">
        <v>0</v>
      </c>
      <c r="K43" s="125">
        <v>0</v>
      </c>
      <c r="L43" s="125">
        <v>0</v>
      </c>
      <c r="M43" s="127">
        <v>0</v>
      </c>
      <c r="N43" s="127">
        <v>0</v>
      </c>
      <c r="O43" s="127">
        <v>0</v>
      </c>
      <c r="P43" s="129">
        <v>0</v>
      </c>
      <c r="Q43" s="129">
        <v>0</v>
      </c>
      <c r="R43" s="129">
        <v>0</v>
      </c>
      <c r="S43" s="125">
        <v>67512</v>
      </c>
      <c r="T43" s="125">
        <v>2603</v>
      </c>
      <c r="U43" s="125">
        <v>1038</v>
      </c>
      <c r="V43" s="136">
        <v>560</v>
      </c>
      <c r="W43" s="136">
        <v>30906</v>
      </c>
      <c r="X43" s="136">
        <v>605</v>
      </c>
      <c r="Y43" s="137">
        <v>0</v>
      </c>
      <c r="Z43" s="137">
        <v>65</v>
      </c>
      <c r="AA43" s="137">
        <v>0</v>
      </c>
      <c r="AB43" s="141">
        <v>3</v>
      </c>
      <c r="AC43" s="141">
        <v>13</v>
      </c>
      <c r="AD43" s="141">
        <v>22</v>
      </c>
    </row>
    <row r="44" spans="1:30" ht="14.25">
      <c r="A44">
        <v>140</v>
      </c>
      <c r="B44" s="121" t="s">
        <v>181</v>
      </c>
      <c r="C44" s="120">
        <v>39308</v>
      </c>
      <c r="D44" s="120">
        <v>0</v>
      </c>
      <c r="E44" s="120">
        <v>0</v>
      </c>
      <c r="F44" s="120">
        <v>4041</v>
      </c>
      <c r="G44" s="123">
        <v>1</v>
      </c>
      <c r="H44" s="123">
        <v>463</v>
      </c>
      <c r="I44" s="123">
        <v>1</v>
      </c>
      <c r="J44" s="125">
        <v>0</v>
      </c>
      <c r="K44" s="125">
        <v>0</v>
      </c>
      <c r="L44" s="125">
        <v>0</v>
      </c>
      <c r="M44" s="127">
        <v>0</v>
      </c>
      <c r="N44" s="127">
        <v>0</v>
      </c>
      <c r="O44" s="127">
        <v>0</v>
      </c>
      <c r="P44" s="129">
        <v>0</v>
      </c>
      <c r="Q44" s="129">
        <v>0</v>
      </c>
      <c r="R44" s="129">
        <v>6</v>
      </c>
      <c r="S44" s="125">
        <v>155743</v>
      </c>
      <c r="T44" s="125">
        <v>7199</v>
      </c>
      <c r="U44" s="125">
        <v>4041</v>
      </c>
      <c r="V44" s="136">
        <v>1224</v>
      </c>
      <c r="W44" s="136">
        <v>75948</v>
      </c>
      <c r="X44" s="136">
        <v>1805</v>
      </c>
      <c r="Y44" s="137">
        <v>0</v>
      </c>
      <c r="Z44" s="137">
        <v>0</v>
      </c>
      <c r="AA44" s="137">
        <v>0</v>
      </c>
      <c r="AB44" s="141">
        <v>11</v>
      </c>
      <c r="AC44" s="141">
        <v>161</v>
      </c>
      <c r="AD44" s="141">
        <v>8</v>
      </c>
    </row>
    <row r="45" spans="1:30" ht="14.25">
      <c r="A45">
        <v>142</v>
      </c>
      <c r="B45" s="121" t="s">
        <v>182</v>
      </c>
      <c r="C45" s="120">
        <v>7348</v>
      </c>
      <c r="D45" s="120">
        <v>0</v>
      </c>
      <c r="E45" s="120">
        <v>0</v>
      </c>
      <c r="F45" s="120">
        <v>0</v>
      </c>
      <c r="G45" s="123">
        <v>0</v>
      </c>
      <c r="H45" s="123">
        <v>0</v>
      </c>
      <c r="I45" s="123">
        <v>0</v>
      </c>
      <c r="J45" s="125">
        <v>0</v>
      </c>
      <c r="K45" s="125">
        <v>0</v>
      </c>
      <c r="L45" s="125">
        <v>0</v>
      </c>
      <c r="M45" s="127">
        <v>0</v>
      </c>
      <c r="N45" s="127">
        <v>0</v>
      </c>
      <c r="O45" s="127">
        <v>0</v>
      </c>
      <c r="P45" s="129">
        <v>0</v>
      </c>
      <c r="Q45" s="129">
        <v>0</v>
      </c>
      <c r="R45" s="129">
        <v>0</v>
      </c>
      <c r="S45" s="125">
        <v>43709</v>
      </c>
      <c r="T45" s="125">
        <v>1810</v>
      </c>
      <c r="U45" s="125">
        <v>0</v>
      </c>
      <c r="V45" s="136">
        <v>733</v>
      </c>
      <c r="W45" s="136">
        <v>24152</v>
      </c>
      <c r="X45" s="136">
        <v>601</v>
      </c>
      <c r="Y45" s="137">
        <v>0</v>
      </c>
      <c r="Z45" s="137">
        <v>2</v>
      </c>
      <c r="AA45" s="137">
        <v>0</v>
      </c>
      <c r="AB45" s="141">
        <v>0</v>
      </c>
      <c r="AC45" s="141">
        <v>0</v>
      </c>
      <c r="AD45" s="141">
        <v>0</v>
      </c>
    </row>
    <row r="46" spans="1:30" ht="14.25">
      <c r="A46">
        <v>143</v>
      </c>
      <c r="B46" s="121" t="s">
        <v>183</v>
      </c>
      <c r="C46" s="120">
        <v>11555</v>
      </c>
      <c r="D46" s="120">
        <v>0</v>
      </c>
      <c r="E46" s="120">
        <v>0</v>
      </c>
      <c r="F46" s="120">
        <v>148</v>
      </c>
      <c r="G46" s="123">
        <v>127</v>
      </c>
      <c r="H46" s="123">
        <v>3435</v>
      </c>
      <c r="I46" s="123">
        <v>0</v>
      </c>
      <c r="J46" s="125">
        <v>0</v>
      </c>
      <c r="K46" s="125">
        <v>0</v>
      </c>
      <c r="L46" s="125">
        <v>0</v>
      </c>
      <c r="M46" s="127">
        <v>0</v>
      </c>
      <c r="N46" s="127">
        <v>0</v>
      </c>
      <c r="O46" s="127">
        <v>0</v>
      </c>
      <c r="P46" s="129">
        <v>0</v>
      </c>
      <c r="Q46" s="129">
        <v>0</v>
      </c>
      <c r="R46" s="129">
        <v>0</v>
      </c>
      <c r="S46" s="125">
        <v>51952</v>
      </c>
      <c r="T46" s="125">
        <v>2386</v>
      </c>
      <c r="U46" s="125">
        <v>523</v>
      </c>
      <c r="V46" s="136">
        <v>414</v>
      </c>
      <c r="W46" s="136">
        <v>28900</v>
      </c>
      <c r="X46" s="136">
        <v>537</v>
      </c>
      <c r="Y46" s="137">
        <v>0</v>
      </c>
      <c r="Z46" s="137">
        <v>146</v>
      </c>
      <c r="AA46" s="137">
        <v>0</v>
      </c>
      <c r="AB46" s="141">
        <v>5</v>
      </c>
      <c r="AC46" s="141">
        <v>241</v>
      </c>
      <c r="AD46" s="141">
        <v>0</v>
      </c>
    </row>
    <row r="47" spans="1:30" ht="14.25">
      <c r="A47">
        <v>145</v>
      </c>
      <c r="B47" s="121" t="s">
        <v>184</v>
      </c>
      <c r="C47" s="120">
        <v>9998</v>
      </c>
      <c r="D47" s="120">
        <v>0</v>
      </c>
      <c r="E47" s="120">
        <v>81</v>
      </c>
      <c r="F47" s="120">
        <v>5847</v>
      </c>
      <c r="G47" s="123">
        <v>169</v>
      </c>
      <c r="H47" s="123">
        <v>874</v>
      </c>
      <c r="I47" s="123">
        <v>0</v>
      </c>
      <c r="J47" s="125">
        <v>0</v>
      </c>
      <c r="K47" s="125">
        <v>0</v>
      </c>
      <c r="L47" s="125">
        <v>0</v>
      </c>
      <c r="M47" s="127">
        <v>0</v>
      </c>
      <c r="N47" s="127">
        <v>0</v>
      </c>
      <c r="O47" s="127">
        <v>0</v>
      </c>
      <c r="P47" s="129">
        <v>0</v>
      </c>
      <c r="Q47" s="129">
        <v>0</v>
      </c>
      <c r="R47" s="129">
        <v>0</v>
      </c>
      <c r="S47" s="125">
        <v>72705</v>
      </c>
      <c r="T47" s="125">
        <v>3059</v>
      </c>
      <c r="U47" s="125">
        <v>5845</v>
      </c>
      <c r="V47" s="136">
        <v>243</v>
      </c>
      <c r="W47" s="136">
        <v>38006</v>
      </c>
      <c r="X47" s="136">
        <v>1002</v>
      </c>
      <c r="Y47" s="137">
        <v>6</v>
      </c>
      <c r="Z47" s="137">
        <v>25</v>
      </c>
      <c r="AA47" s="137">
        <v>53</v>
      </c>
      <c r="AB47" s="141">
        <v>8</v>
      </c>
      <c r="AC47" s="141">
        <v>258</v>
      </c>
      <c r="AD47" s="141">
        <v>0</v>
      </c>
    </row>
    <row r="48" spans="1:30" ht="14.25">
      <c r="A48">
        <v>146</v>
      </c>
      <c r="B48" s="121" t="s">
        <v>185</v>
      </c>
      <c r="C48" s="120">
        <v>11839</v>
      </c>
      <c r="D48" s="120">
        <v>0</v>
      </c>
      <c r="E48" s="120">
        <v>267</v>
      </c>
      <c r="F48" s="120">
        <v>0</v>
      </c>
      <c r="G48" s="123">
        <v>16</v>
      </c>
      <c r="H48" s="123">
        <v>4283</v>
      </c>
      <c r="I48" s="123">
        <v>0</v>
      </c>
      <c r="J48" s="125">
        <v>0</v>
      </c>
      <c r="K48" s="125">
        <v>0</v>
      </c>
      <c r="L48" s="125">
        <v>0</v>
      </c>
      <c r="M48" s="127">
        <v>0</v>
      </c>
      <c r="N48" s="127">
        <v>0</v>
      </c>
      <c r="O48" s="127">
        <v>0</v>
      </c>
      <c r="P48" s="129">
        <v>0</v>
      </c>
      <c r="Q48" s="129">
        <v>0</v>
      </c>
      <c r="R48" s="129">
        <v>0</v>
      </c>
      <c r="S48" s="125">
        <v>51070</v>
      </c>
      <c r="T48" s="125">
        <v>1772</v>
      </c>
      <c r="U48" s="125">
        <v>0</v>
      </c>
      <c r="V48" s="136">
        <v>445</v>
      </c>
      <c r="W48" s="136">
        <v>31132</v>
      </c>
      <c r="X48" s="136">
        <v>402</v>
      </c>
      <c r="Y48" s="137">
        <v>0</v>
      </c>
      <c r="Z48" s="137">
        <v>121</v>
      </c>
      <c r="AA48" s="137">
        <v>0</v>
      </c>
      <c r="AB48" s="141">
        <v>0</v>
      </c>
      <c r="AC48" s="141">
        <v>0</v>
      </c>
      <c r="AD48" s="141">
        <v>0</v>
      </c>
    </row>
    <row r="49" spans="1:30" ht="14.25">
      <c r="A49">
        <v>148</v>
      </c>
      <c r="B49" s="121" t="s">
        <v>187</v>
      </c>
      <c r="C49" s="120">
        <v>14712</v>
      </c>
      <c r="D49" s="120">
        <v>0</v>
      </c>
      <c r="E49" s="120">
        <v>0</v>
      </c>
      <c r="F49" s="120">
        <v>197</v>
      </c>
      <c r="G49" s="123">
        <v>80</v>
      </c>
      <c r="H49" s="123">
        <v>4771</v>
      </c>
      <c r="I49" s="123">
        <v>0</v>
      </c>
      <c r="J49" s="125">
        <v>0</v>
      </c>
      <c r="K49" s="125">
        <v>0</v>
      </c>
      <c r="L49" s="125">
        <v>0</v>
      </c>
      <c r="M49" s="127">
        <v>0</v>
      </c>
      <c r="N49" s="127">
        <v>0</v>
      </c>
      <c r="O49" s="127">
        <v>0</v>
      </c>
      <c r="P49" s="129">
        <v>0</v>
      </c>
      <c r="Q49" s="129">
        <v>197</v>
      </c>
      <c r="R49" s="129">
        <v>0</v>
      </c>
      <c r="S49" s="125">
        <v>60171</v>
      </c>
      <c r="T49" s="125">
        <v>1851</v>
      </c>
      <c r="U49" s="125">
        <v>197</v>
      </c>
      <c r="V49" s="136">
        <v>954</v>
      </c>
      <c r="W49" s="136">
        <v>31809</v>
      </c>
      <c r="X49" s="136">
        <v>704</v>
      </c>
      <c r="Y49" s="137">
        <v>0</v>
      </c>
      <c r="Z49" s="137">
        <v>193</v>
      </c>
      <c r="AA49" s="137">
        <v>10</v>
      </c>
      <c r="AB49" s="141">
        <v>0</v>
      </c>
      <c r="AC49" s="141">
        <v>197</v>
      </c>
      <c r="AD49" s="141">
        <v>0</v>
      </c>
    </row>
    <row r="50" spans="1:30" ht="14.25">
      <c r="A50">
        <v>149</v>
      </c>
      <c r="B50" s="121" t="s">
        <v>188</v>
      </c>
      <c r="C50" s="120">
        <v>6382</v>
      </c>
      <c r="D50" s="120">
        <v>0</v>
      </c>
      <c r="E50" s="120">
        <v>0</v>
      </c>
      <c r="F50" s="120">
        <v>0</v>
      </c>
      <c r="G50" s="123">
        <v>23</v>
      </c>
      <c r="H50" s="123">
        <v>1478</v>
      </c>
      <c r="I50" s="123">
        <v>0</v>
      </c>
      <c r="J50" s="125">
        <v>0</v>
      </c>
      <c r="K50" s="125">
        <v>0</v>
      </c>
      <c r="L50" s="125">
        <v>0</v>
      </c>
      <c r="M50" s="127">
        <v>0</v>
      </c>
      <c r="N50" s="127">
        <v>0</v>
      </c>
      <c r="O50" s="127">
        <v>0</v>
      </c>
      <c r="P50" s="129">
        <v>0</v>
      </c>
      <c r="Q50" s="129">
        <v>0</v>
      </c>
      <c r="R50" s="129">
        <v>0</v>
      </c>
      <c r="S50" s="125">
        <v>35401</v>
      </c>
      <c r="T50" s="125">
        <v>1430</v>
      </c>
      <c r="U50" s="125">
        <v>0</v>
      </c>
      <c r="V50" s="136">
        <v>345</v>
      </c>
      <c r="W50" s="136">
        <v>17873</v>
      </c>
      <c r="X50" s="136">
        <v>352</v>
      </c>
      <c r="Y50" s="137">
        <v>1</v>
      </c>
      <c r="Z50" s="137">
        <v>36</v>
      </c>
      <c r="AA50" s="137">
        <v>0</v>
      </c>
      <c r="AB50" s="141">
        <v>0</v>
      </c>
      <c r="AC50" s="141">
        <v>0</v>
      </c>
      <c r="AD50" s="141">
        <v>0</v>
      </c>
    </row>
    <row r="51" spans="1:30" ht="14.25">
      <c r="A51">
        <v>151</v>
      </c>
      <c r="B51" s="121" t="s">
        <v>189</v>
      </c>
      <c r="C51" s="120">
        <v>2371</v>
      </c>
      <c r="D51" s="120">
        <v>0</v>
      </c>
      <c r="E51" s="120">
        <v>0</v>
      </c>
      <c r="F51" s="120">
        <v>473</v>
      </c>
      <c r="G51" s="123">
        <v>0</v>
      </c>
      <c r="H51" s="123">
        <v>37</v>
      </c>
      <c r="I51" s="123">
        <v>0</v>
      </c>
      <c r="J51" s="125">
        <v>0</v>
      </c>
      <c r="K51" s="125">
        <v>0</v>
      </c>
      <c r="L51" s="125">
        <v>0</v>
      </c>
      <c r="M51" s="127">
        <v>0</v>
      </c>
      <c r="N51" s="127">
        <v>0</v>
      </c>
      <c r="O51" s="127">
        <v>0</v>
      </c>
      <c r="P51" s="129">
        <v>0</v>
      </c>
      <c r="Q51" s="129">
        <v>0</v>
      </c>
      <c r="R51" s="129">
        <v>0</v>
      </c>
      <c r="S51" s="125">
        <v>16251</v>
      </c>
      <c r="T51" s="125">
        <v>529</v>
      </c>
      <c r="U51" s="125">
        <v>818</v>
      </c>
      <c r="V51" s="136">
        <v>35</v>
      </c>
      <c r="W51" s="136">
        <v>10019</v>
      </c>
      <c r="X51" s="136">
        <v>187</v>
      </c>
      <c r="Y51" s="137">
        <v>0</v>
      </c>
      <c r="Z51" s="137">
        <v>0</v>
      </c>
      <c r="AA51" s="137">
        <v>0</v>
      </c>
      <c r="AB51" s="141">
        <v>0</v>
      </c>
      <c r="AC51" s="141">
        <v>0</v>
      </c>
      <c r="AD51" s="141">
        <v>6</v>
      </c>
    </row>
    <row r="52" spans="1:30" ht="14.25">
      <c r="A52">
        <v>152</v>
      </c>
      <c r="B52" s="121" t="s">
        <v>190</v>
      </c>
      <c r="C52" s="120">
        <v>7561</v>
      </c>
      <c r="D52" s="120">
        <v>0</v>
      </c>
      <c r="E52" s="120">
        <v>0</v>
      </c>
      <c r="F52" s="120">
        <v>165</v>
      </c>
      <c r="G52" s="123">
        <v>0</v>
      </c>
      <c r="H52" s="123">
        <v>1560</v>
      </c>
      <c r="I52" s="123">
        <v>0</v>
      </c>
      <c r="J52" s="125">
        <v>0</v>
      </c>
      <c r="K52" s="125">
        <v>0</v>
      </c>
      <c r="L52" s="125">
        <v>0</v>
      </c>
      <c r="M52" s="127">
        <v>0</v>
      </c>
      <c r="N52" s="127">
        <v>0</v>
      </c>
      <c r="O52" s="127">
        <v>0</v>
      </c>
      <c r="P52" s="129">
        <v>0</v>
      </c>
      <c r="Q52" s="129">
        <v>0</v>
      </c>
      <c r="R52" s="129">
        <v>0</v>
      </c>
      <c r="S52" s="125">
        <v>33095</v>
      </c>
      <c r="T52" s="125">
        <v>1129</v>
      </c>
      <c r="U52" s="125">
        <v>165</v>
      </c>
      <c r="V52" s="136">
        <v>118</v>
      </c>
      <c r="W52" s="136">
        <v>17651</v>
      </c>
      <c r="X52" s="136">
        <v>357</v>
      </c>
      <c r="Y52" s="137">
        <v>0</v>
      </c>
      <c r="Z52" s="137">
        <v>0</v>
      </c>
      <c r="AA52" s="137">
        <v>4</v>
      </c>
      <c r="AB52" s="141">
        <v>0</v>
      </c>
      <c r="AC52" s="141">
        <v>62</v>
      </c>
      <c r="AD52" s="141">
        <v>0</v>
      </c>
    </row>
    <row r="53" spans="1:30" ht="14.25">
      <c r="A53">
        <v>153</v>
      </c>
      <c r="B53" s="121" t="s">
        <v>186</v>
      </c>
      <c r="C53" s="120">
        <v>44305</v>
      </c>
      <c r="D53" s="120">
        <v>0</v>
      </c>
      <c r="E53" s="120">
        <v>0</v>
      </c>
      <c r="F53" s="120">
        <v>0</v>
      </c>
      <c r="G53" s="123">
        <v>1077</v>
      </c>
      <c r="H53" s="123">
        <v>14111</v>
      </c>
      <c r="I53" s="123">
        <v>0</v>
      </c>
      <c r="J53" s="125">
        <v>0</v>
      </c>
      <c r="K53" s="125">
        <v>0</v>
      </c>
      <c r="L53" s="125">
        <v>0</v>
      </c>
      <c r="M53" s="127">
        <v>0</v>
      </c>
      <c r="N53" s="127">
        <v>0</v>
      </c>
      <c r="O53" s="127">
        <v>0</v>
      </c>
      <c r="P53" s="129">
        <v>0</v>
      </c>
      <c r="Q53" s="129">
        <v>0</v>
      </c>
      <c r="R53" s="129">
        <v>0</v>
      </c>
      <c r="S53" s="125">
        <v>188557</v>
      </c>
      <c r="T53" s="125">
        <v>8439</v>
      </c>
      <c r="U53" s="125">
        <v>0</v>
      </c>
      <c r="V53" s="136">
        <v>4281</v>
      </c>
      <c r="W53" s="136">
        <v>103481</v>
      </c>
      <c r="X53" s="136">
        <v>2390</v>
      </c>
      <c r="Y53" s="137">
        <v>8</v>
      </c>
      <c r="Z53" s="137">
        <v>306</v>
      </c>
      <c r="AA53" s="137">
        <v>0</v>
      </c>
      <c r="AB53" s="141">
        <v>0</v>
      </c>
      <c r="AC53" s="141">
        <v>0</v>
      </c>
      <c r="AD53" s="141">
        <v>0</v>
      </c>
    </row>
    <row r="54" spans="1:30" ht="14.25">
      <c r="A54">
        <v>164</v>
      </c>
      <c r="B54" s="121" t="s">
        <v>524</v>
      </c>
      <c r="C54" s="120">
        <v>17781</v>
      </c>
      <c r="D54" s="120">
        <v>0</v>
      </c>
      <c r="E54" s="120">
        <v>0</v>
      </c>
      <c r="F54" s="120">
        <v>826</v>
      </c>
      <c r="G54" s="123">
        <v>179</v>
      </c>
      <c r="H54" s="123">
        <v>492</v>
      </c>
      <c r="I54" s="123">
        <v>0</v>
      </c>
      <c r="J54" s="125">
        <v>0</v>
      </c>
      <c r="K54" s="125">
        <v>0</v>
      </c>
      <c r="L54" s="125">
        <v>0</v>
      </c>
      <c r="M54" s="127">
        <v>0</v>
      </c>
      <c r="N54" s="127">
        <v>0</v>
      </c>
      <c r="O54" s="127">
        <v>0</v>
      </c>
      <c r="P54" s="129">
        <v>0</v>
      </c>
      <c r="Q54" s="129">
        <v>0</v>
      </c>
      <c r="R54" s="129">
        <v>0</v>
      </c>
      <c r="S54" s="125">
        <v>66010</v>
      </c>
      <c r="T54" s="125">
        <v>2289</v>
      </c>
      <c r="U54" s="125">
        <v>827</v>
      </c>
      <c r="V54" s="136">
        <v>350</v>
      </c>
      <c r="W54" s="136">
        <v>29931</v>
      </c>
      <c r="X54" s="136">
        <v>694</v>
      </c>
      <c r="Y54" s="137">
        <v>0</v>
      </c>
      <c r="Z54" s="137">
        <v>0</v>
      </c>
      <c r="AA54" s="137">
        <v>0</v>
      </c>
      <c r="AB54" s="141">
        <v>0</v>
      </c>
      <c r="AC54" s="141">
        <v>45</v>
      </c>
      <c r="AD54" s="141">
        <v>0</v>
      </c>
    </row>
    <row r="55" spans="1:30" ht="14.25">
      <c r="A55">
        <v>165</v>
      </c>
      <c r="B55" s="121" t="s">
        <v>191</v>
      </c>
      <c r="C55" s="120">
        <v>32617</v>
      </c>
      <c r="D55" s="120">
        <v>0</v>
      </c>
      <c r="E55" s="120">
        <v>167</v>
      </c>
      <c r="F55" s="120">
        <v>2101</v>
      </c>
      <c r="G55" s="123">
        <v>127</v>
      </c>
      <c r="H55" s="123">
        <v>11979</v>
      </c>
      <c r="I55" s="123">
        <v>0</v>
      </c>
      <c r="J55" s="125">
        <v>0</v>
      </c>
      <c r="K55" s="125">
        <v>0</v>
      </c>
      <c r="L55" s="125">
        <v>0</v>
      </c>
      <c r="M55" s="127">
        <v>0</v>
      </c>
      <c r="N55" s="127">
        <v>33</v>
      </c>
      <c r="O55" s="127">
        <v>0</v>
      </c>
      <c r="P55" s="129">
        <v>0</v>
      </c>
      <c r="Q55" s="129">
        <v>0</v>
      </c>
      <c r="R55" s="129">
        <v>0</v>
      </c>
      <c r="S55" s="125">
        <v>114192</v>
      </c>
      <c r="T55" s="125">
        <v>5126</v>
      </c>
      <c r="U55" s="125">
        <v>2101</v>
      </c>
      <c r="V55" s="136">
        <v>502</v>
      </c>
      <c r="W55" s="136">
        <v>62205</v>
      </c>
      <c r="X55" s="136">
        <v>1130</v>
      </c>
      <c r="Y55" s="137">
        <v>3</v>
      </c>
      <c r="Z55" s="137">
        <v>124</v>
      </c>
      <c r="AA55" s="137">
        <v>0</v>
      </c>
      <c r="AB55" s="141">
        <v>24</v>
      </c>
      <c r="AC55" s="141">
        <v>921</v>
      </c>
      <c r="AD55" s="141">
        <v>7</v>
      </c>
    </row>
    <row r="56" spans="1:30" ht="14.25">
      <c r="A56">
        <v>167</v>
      </c>
      <c r="B56" s="121" t="s">
        <v>192</v>
      </c>
      <c r="C56" s="120">
        <v>257220</v>
      </c>
      <c r="D56" s="120">
        <v>0</v>
      </c>
      <c r="E56" s="120">
        <v>5880</v>
      </c>
      <c r="F56" s="120">
        <v>0</v>
      </c>
      <c r="G56" s="123">
        <v>906</v>
      </c>
      <c r="H56" s="123">
        <v>115468</v>
      </c>
      <c r="I56" s="123">
        <v>7701</v>
      </c>
      <c r="J56" s="125">
        <v>0</v>
      </c>
      <c r="K56" s="125">
        <v>0</v>
      </c>
      <c r="L56" s="125">
        <v>0</v>
      </c>
      <c r="M56" s="127">
        <v>0</v>
      </c>
      <c r="N56" s="127">
        <v>1</v>
      </c>
      <c r="O56" s="127">
        <v>0</v>
      </c>
      <c r="P56" s="129">
        <v>0</v>
      </c>
      <c r="Q56" s="129">
        <v>0</v>
      </c>
      <c r="R56" s="129">
        <v>0</v>
      </c>
      <c r="S56" s="125">
        <v>628196</v>
      </c>
      <c r="T56" s="125">
        <v>27095</v>
      </c>
      <c r="U56" s="125">
        <v>0</v>
      </c>
      <c r="V56" s="136">
        <v>10698</v>
      </c>
      <c r="W56" s="136">
        <v>358964</v>
      </c>
      <c r="X56" s="136">
        <v>12544</v>
      </c>
      <c r="Y56" s="137">
        <v>2</v>
      </c>
      <c r="Z56" s="137">
        <v>811</v>
      </c>
      <c r="AA56" s="137">
        <v>502</v>
      </c>
      <c r="AB56" s="141">
        <v>0</v>
      </c>
      <c r="AC56" s="141">
        <v>0</v>
      </c>
      <c r="AD56" s="141">
        <v>0</v>
      </c>
    </row>
    <row r="57" spans="1:30" ht="14.25">
      <c r="A57">
        <v>169</v>
      </c>
      <c r="B57" s="121" t="s">
        <v>193</v>
      </c>
      <c r="C57" s="120">
        <v>7097</v>
      </c>
      <c r="D57" s="120">
        <v>0</v>
      </c>
      <c r="E57" s="120">
        <v>0</v>
      </c>
      <c r="F57" s="120">
        <v>668</v>
      </c>
      <c r="G57" s="123">
        <v>20</v>
      </c>
      <c r="H57" s="123">
        <v>50</v>
      </c>
      <c r="I57" s="123">
        <v>0</v>
      </c>
      <c r="J57" s="125">
        <v>0</v>
      </c>
      <c r="K57" s="125">
        <v>0</v>
      </c>
      <c r="L57" s="125">
        <v>0</v>
      </c>
      <c r="M57" s="127">
        <v>0</v>
      </c>
      <c r="N57" s="127">
        <v>0</v>
      </c>
      <c r="O57" s="127">
        <v>0</v>
      </c>
      <c r="P57" s="129">
        <v>0</v>
      </c>
      <c r="Q57" s="129">
        <v>0</v>
      </c>
      <c r="R57" s="129">
        <v>0</v>
      </c>
      <c r="S57" s="125">
        <v>33400</v>
      </c>
      <c r="T57" s="125">
        <v>1366</v>
      </c>
      <c r="U57" s="125">
        <v>667</v>
      </c>
      <c r="V57" s="136">
        <v>28</v>
      </c>
      <c r="W57" s="136">
        <v>15306</v>
      </c>
      <c r="X57" s="136">
        <v>374</v>
      </c>
      <c r="Y57" s="137">
        <v>0</v>
      </c>
      <c r="Z57" s="137">
        <v>0</v>
      </c>
      <c r="AA57" s="137">
        <v>0</v>
      </c>
      <c r="AB57" s="141">
        <v>0</v>
      </c>
      <c r="AC57" s="141">
        <v>0</v>
      </c>
      <c r="AD57" s="141">
        <v>0</v>
      </c>
    </row>
    <row r="58" spans="1:30" ht="14.25">
      <c r="A58">
        <v>171</v>
      </c>
      <c r="B58" s="121" t="s">
        <v>194</v>
      </c>
      <c r="C58" s="120">
        <v>6375</v>
      </c>
      <c r="D58" s="120">
        <v>0</v>
      </c>
      <c r="E58" s="120">
        <v>61</v>
      </c>
      <c r="F58" s="120">
        <v>0</v>
      </c>
      <c r="G58" s="123">
        <v>0</v>
      </c>
      <c r="H58" s="123">
        <v>117</v>
      </c>
      <c r="I58" s="123">
        <v>0</v>
      </c>
      <c r="J58" s="125">
        <v>0</v>
      </c>
      <c r="K58" s="125">
        <v>0</v>
      </c>
      <c r="L58" s="125">
        <v>0</v>
      </c>
      <c r="M58" s="127">
        <v>0</v>
      </c>
      <c r="N58" s="127">
        <v>0</v>
      </c>
      <c r="O58" s="127">
        <v>0</v>
      </c>
      <c r="P58" s="129">
        <v>0</v>
      </c>
      <c r="Q58" s="129">
        <v>0</v>
      </c>
      <c r="R58" s="129">
        <v>0</v>
      </c>
      <c r="S58" s="125">
        <v>34640</v>
      </c>
      <c r="T58" s="125">
        <v>1034</v>
      </c>
      <c r="U58" s="125">
        <v>0</v>
      </c>
      <c r="V58" s="136">
        <v>121</v>
      </c>
      <c r="W58" s="136">
        <v>18336</v>
      </c>
      <c r="X58" s="136">
        <v>469</v>
      </c>
      <c r="Y58" s="137">
        <v>0</v>
      </c>
      <c r="Z58" s="137">
        <v>0</v>
      </c>
      <c r="AA58" s="137">
        <v>4</v>
      </c>
      <c r="AB58" s="141">
        <v>0</v>
      </c>
      <c r="AC58" s="141">
        <v>0</v>
      </c>
      <c r="AD58" s="141">
        <v>0</v>
      </c>
    </row>
    <row r="59" spans="1:30" ht="14.25">
      <c r="A59">
        <v>172</v>
      </c>
      <c r="B59" s="121" t="s">
        <v>195</v>
      </c>
      <c r="C59" s="120">
        <v>9905</v>
      </c>
      <c r="D59" s="120">
        <v>0</v>
      </c>
      <c r="E59" s="120">
        <v>37</v>
      </c>
      <c r="F59" s="120">
        <v>0</v>
      </c>
      <c r="G59" s="123">
        <v>73</v>
      </c>
      <c r="H59" s="123">
        <v>2023</v>
      </c>
      <c r="I59" s="123">
        <v>0</v>
      </c>
      <c r="J59" s="125">
        <v>0</v>
      </c>
      <c r="K59" s="125">
        <v>0</v>
      </c>
      <c r="L59" s="125">
        <v>0</v>
      </c>
      <c r="M59" s="127">
        <v>0</v>
      </c>
      <c r="N59" s="127">
        <v>0</v>
      </c>
      <c r="O59" s="127">
        <v>0</v>
      </c>
      <c r="P59" s="129">
        <v>0</v>
      </c>
      <c r="Q59" s="129">
        <v>0</v>
      </c>
      <c r="R59" s="129">
        <v>0</v>
      </c>
      <c r="S59" s="125">
        <v>36291</v>
      </c>
      <c r="T59" s="125">
        <v>1268</v>
      </c>
      <c r="U59" s="125">
        <v>0</v>
      </c>
      <c r="V59" s="136">
        <v>585</v>
      </c>
      <c r="W59" s="136">
        <v>20383</v>
      </c>
      <c r="X59" s="136">
        <v>407</v>
      </c>
      <c r="Y59" s="137">
        <v>0</v>
      </c>
      <c r="Z59" s="137">
        <v>0</v>
      </c>
      <c r="AA59" s="137">
        <v>0</v>
      </c>
      <c r="AB59" s="141">
        <v>0</v>
      </c>
      <c r="AC59" s="141">
        <v>0</v>
      </c>
      <c r="AD59" s="141">
        <v>0</v>
      </c>
    </row>
    <row r="60" spans="1:30" ht="14.25">
      <c r="A60">
        <v>174</v>
      </c>
      <c r="B60" s="121" t="s">
        <v>196</v>
      </c>
      <c r="C60" s="120">
        <v>10673</v>
      </c>
      <c r="D60" s="120">
        <v>0</v>
      </c>
      <c r="E60" s="120">
        <v>0</v>
      </c>
      <c r="F60" s="120">
        <v>640</v>
      </c>
      <c r="G60" s="123">
        <v>15</v>
      </c>
      <c r="H60" s="123">
        <v>2042</v>
      </c>
      <c r="I60" s="123">
        <v>0</v>
      </c>
      <c r="J60" s="125">
        <v>0</v>
      </c>
      <c r="K60" s="125">
        <v>0</v>
      </c>
      <c r="L60" s="125">
        <v>0</v>
      </c>
      <c r="M60" s="127">
        <v>0</v>
      </c>
      <c r="N60" s="127">
        <v>0</v>
      </c>
      <c r="O60" s="127">
        <v>0</v>
      </c>
      <c r="P60" s="129">
        <v>0</v>
      </c>
      <c r="Q60" s="129">
        <v>104</v>
      </c>
      <c r="R60" s="129">
        <v>0</v>
      </c>
      <c r="S60" s="125">
        <v>40776</v>
      </c>
      <c r="T60" s="125">
        <v>1454</v>
      </c>
      <c r="U60" s="125">
        <v>640</v>
      </c>
      <c r="V60" s="136">
        <v>480</v>
      </c>
      <c r="W60" s="136">
        <v>23945</v>
      </c>
      <c r="X60" s="136">
        <v>386</v>
      </c>
      <c r="Y60" s="137">
        <v>0</v>
      </c>
      <c r="Z60" s="137">
        <v>11</v>
      </c>
      <c r="AA60" s="137">
        <v>0</v>
      </c>
      <c r="AB60" s="141">
        <v>0</v>
      </c>
      <c r="AC60" s="141">
        <v>217</v>
      </c>
      <c r="AD60" s="141">
        <v>0</v>
      </c>
    </row>
    <row r="61" spans="1:30" ht="14.25">
      <c r="A61">
        <v>176</v>
      </c>
      <c r="B61" s="121" t="s">
        <v>197</v>
      </c>
      <c r="C61" s="120">
        <v>14053</v>
      </c>
      <c r="D61" s="120">
        <v>0</v>
      </c>
      <c r="E61" s="120">
        <v>0</v>
      </c>
      <c r="F61" s="120">
        <v>0</v>
      </c>
      <c r="G61" s="123">
        <v>113</v>
      </c>
      <c r="H61" s="123">
        <v>4175</v>
      </c>
      <c r="I61" s="123">
        <v>0</v>
      </c>
      <c r="J61" s="125">
        <v>0</v>
      </c>
      <c r="K61" s="125">
        <v>0</v>
      </c>
      <c r="L61" s="125">
        <v>0</v>
      </c>
      <c r="M61" s="127">
        <v>0</v>
      </c>
      <c r="N61" s="127">
        <v>0</v>
      </c>
      <c r="O61" s="127">
        <v>0</v>
      </c>
      <c r="P61" s="129">
        <v>0</v>
      </c>
      <c r="Q61" s="129">
        <v>0</v>
      </c>
      <c r="R61" s="129">
        <v>0</v>
      </c>
      <c r="S61" s="125">
        <v>47310</v>
      </c>
      <c r="T61" s="125">
        <v>2021</v>
      </c>
      <c r="U61" s="125">
        <v>0</v>
      </c>
      <c r="V61" s="136">
        <v>630</v>
      </c>
      <c r="W61" s="136">
        <v>28871</v>
      </c>
      <c r="X61" s="136">
        <v>400</v>
      </c>
      <c r="Y61" s="137">
        <v>0</v>
      </c>
      <c r="Z61" s="137">
        <v>84</v>
      </c>
      <c r="AA61" s="137">
        <v>0</v>
      </c>
      <c r="AB61" s="141">
        <v>0</v>
      </c>
      <c r="AC61" s="141">
        <v>0</v>
      </c>
      <c r="AD61" s="141">
        <v>0</v>
      </c>
    </row>
    <row r="62" spans="1:30" ht="14.25">
      <c r="A62">
        <v>177</v>
      </c>
      <c r="B62" s="121" t="s">
        <v>198</v>
      </c>
      <c r="C62" s="120">
        <v>1881</v>
      </c>
      <c r="D62" s="120">
        <v>0</v>
      </c>
      <c r="E62" s="120">
        <v>0</v>
      </c>
      <c r="F62" s="120">
        <v>309</v>
      </c>
      <c r="G62" s="123">
        <v>0</v>
      </c>
      <c r="H62" s="123">
        <v>14</v>
      </c>
      <c r="I62" s="123">
        <v>0</v>
      </c>
      <c r="J62" s="125">
        <v>0</v>
      </c>
      <c r="K62" s="125">
        <v>0</v>
      </c>
      <c r="L62" s="125">
        <v>0</v>
      </c>
      <c r="M62" s="127">
        <v>0</v>
      </c>
      <c r="N62" s="127">
        <v>0</v>
      </c>
      <c r="O62" s="127">
        <v>0</v>
      </c>
      <c r="P62" s="129">
        <v>0</v>
      </c>
      <c r="Q62" s="129">
        <v>0</v>
      </c>
      <c r="R62" s="129">
        <v>0</v>
      </c>
      <c r="S62" s="125">
        <v>12637</v>
      </c>
      <c r="T62" s="125">
        <v>475</v>
      </c>
      <c r="U62" s="125">
        <v>309</v>
      </c>
      <c r="V62" s="136">
        <v>9</v>
      </c>
      <c r="W62" s="136">
        <v>6960</v>
      </c>
      <c r="X62" s="136">
        <v>140</v>
      </c>
      <c r="Y62" s="137">
        <v>0</v>
      </c>
      <c r="Z62" s="137">
        <v>0</v>
      </c>
      <c r="AA62" s="137">
        <v>0</v>
      </c>
      <c r="AB62" s="141">
        <v>0</v>
      </c>
      <c r="AC62" s="141">
        <v>44</v>
      </c>
      <c r="AD62" s="141">
        <v>0</v>
      </c>
    </row>
    <row r="63" spans="1:30" ht="14.25">
      <c r="A63">
        <v>178</v>
      </c>
      <c r="B63" s="121" t="s">
        <v>199</v>
      </c>
      <c r="C63" s="120">
        <v>8602</v>
      </c>
      <c r="D63" s="120">
        <v>0</v>
      </c>
      <c r="E63" s="120">
        <v>0</v>
      </c>
      <c r="F63" s="120">
        <v>0</v>
      </c>
      <c r="G63" s="123">
        <v>41</v>
      </c>
      <c r="H63" s="123">
        <v>4076</v>
      </c>
      <c r="I63" s="123">
        <v>12</v>
      </c>
      <c r="J63" s="125">
        <v>0</v>
      </c>
      <c r="K63" s="125">
        <v>0</v>
      </c>
      <c r="L63" s="125">
        <v>0</v>
      </c>
      <c r="M63" s="127">
        <v>0</v>
      </c>
      <c r="N63" s="127">
        <v>0</v>
      </c>
      <c r="O63" s="127">
        <v>0</v>
      </c>
      <c r="P63" s="129">
        <v>0</v>
      </c>
      <c r="Q63" s="129">
        <v>0</v>
      </c>
      <c r="R63" s="129">
        <v>0</v>
      </c>
      <c r="S63" s="125">
        <v>46686</v>
      </c>
      <c r="T63" s="125">
        <v>1594</v>
      </c>
      <c r="U63" s="125">
        <v>0</v>
      </c>
      <c r="V63" s="136">
        <v>188</v>
      </c>
      <c r="W63" s="136">
        <v>29157</v>
      </c>
      <c r="X63" s="136">
        <v>537</v>
      </c>
      <c r="Y63" s="137">
        <v>0</v>
      </c>
      <c r="Z63" s="137">
        <v>329</v>
      </c>
      <c r="AA63" s="137">
        <v>0</v>
      </c>
      <c r="AB63" s="141">
        <v>0</v>
      </c>
      <c r="AC63" s="141">
        <v>0</v>
      </c>
      <c r="AD63" s="141">
        <v>0</v>
      </c>
    </row>
    <row r="64" spans="1:30" ht="14.25">
      <c r="A64">
        <v>179</v>
      </c>
      <c r="B64" s="121" t="s">
        <v>200</v>
      </c>
      <c r="C64" s="120">
        <v>315008</v>
      </c>
      <c r="D64" s="120">
        <v>0</v>
      </c>
      <c r="E64" s="120">
        <v>0</v>
      </c>
      <c r="F64" s="120">
        <v>0</v>
      </c>
      <c r="G64" s="123">
        <v>2111</v>
      </c>
      <c r="H64" s="123">
        <v>74485</v>
      </c>
      <c r="I64" s="123">
        <v>20103</v>
      </c>
      <c r="J64" s="125">
        <v>0</v>
      </c>
      <c r="K64" s="125">
        <v>0</v>
      </c>
      <c r="L64" s="125">
        <v>0</v>
      </c>
      <c r="M64" s="127">
        <v>0</v>
      </c>
      <c r="N64" s="127">
        <v>0</v>
      </c>
      <c r="O64" s="127">
        <v>0</v>
      </c>
      <c r="P64" s="129">
        <v>0</v>
      </c>
      <c r="Q64" s="129">
        <v>0</v>
      </c>
      <c r="R64" s="129">
        <v>0</v>
      </c>
      <c r="S64" s="125">
        <v>934412</v>
      </c>
      <c r="T64" s="125">
        <v>54039</v>
      </c>
      <c r="U64" s="125">
        <v>0</v>
      </c>
      <c r="V64" s="136">
        <v>24253</v>
      </c>
      <c r="W64" s="136">
        <v>470462</v>
      </c>
      <c r="X64" s="136">
        <v>29402</v>
      </c>
      <c r="Y64" s="137">
        <v>1</v>
      </c>
      <c r="Z64" s="137">
        <v>1838</v>
      </c>
      <c r="AA64" s="137">
        <v>1368</v>
      </c>
      <c r="AB64" s="141">
        <v>0</v>
      </c>
      <c r="AC64" s="141">
        <v>0</v>
      </c>
      <c r="AD64" s="141">
        <v>0</v>
      </c>
    </row>
    <row r="65" spans="1:30" ht="14.25">
      <c r="A65">
        <v>181</v>
      </c>
      <c r="B65" s="121" t="s">
        <v>201</v>
      </c>
      <c r="C65" s="120">
        <v>1124</v>
      </c>
      <c r="D65" s="120">
        <v>0</v>
      </c>
      <c r="E65" s="120">
        <v>0</v>
      </c>
      <c r="F65" s="120">
        <v>0</v>
      </c>
      <c r="G65" s="123">
        <v>0</v>
      </c>
      <c r="H65" s="123">
        <v>22</v>
      </c>
      <c r="I65" s="123">
        <v>48</v>
      </c>
      <c r="J65" s="125">
        <v>0</v>
      </c>
      <c r="K65" s="125">
        <v>0</v>
      </c>
      <c r="L65" s="125">
        <v>0</v>
      </c>
      <c r="M65" s="127">
        <v>0</v>
      </c>
      <c r="N65" s="127">
        <v>0</v>
      </c>
      <c r="O65" s="127">
        <v>0</v>
      </c>
      <c r="P65" s="129">
        <v>0</v>
      </c>
      <c r="Q65" s="129">
        <v>0</v>
      </c>
      <c r="R65" s="129">
        <v>0</v>
      </c>
      <c r="S65" s="125">
        <v>12344</v>
      </c>
      <c r="T65" s="125">
        <v>354</v>
      </c>
      <c r="U65" s="125">
        <v>0</v>
      </c>
      <c r="V65" s="136">
        <v>55</v>
      </c>
      <c r="W65" s="136">
        <v>7428</v>
      </c>
      <c r="X65" s="136">
        <v>226</v>
      </c>
      <c r="Y65" s="137">
        <v>0</v>
      </c>
      <c r="Z65" s="137">
        <v>0</v>
      </c>
      <c r="AA65" s="137">
        <v>2</v>
      </c>
      <c r="AB65" s="141">
        <v>0</v>
      </c>
      <c r="AC65" s="141">
        <v>0</v>
      </c>
      <c r="AD65" s="141">
        <v>0</v>
      </c>
    </row>
    <row r="66" spans="1:30" ht="14.25">
      <c r="A66">
        <v>182</v>
      </c>
      <c r="B66" s="121" t="s">
        <v>128</v>
      </c>
      <c r="C66" s="120">
        <v>62287</v>
      </c>
      <c r="D66" s="120">
        <v>0</v>
      </c>
      <c r="E66" s="120">
        <v>381</v>
      </c>
      <c r="F66" s="120">
        <v>876</v>
      </c>
      <c r="G66" s="123">
        <v>220</v>
      </c>
      <c r="H66" s="123">
        <v>28597</v>
      </c>
      <c r="I66" s="123">
        <v>0</v>
      </c>
      <c r="J66" s="125">
        <v>0</v>
      </c>
      <c r="K66" s="125">
        <v>0</v>
      </c>
      <c r="L66" s="125">
        <v>0</v>
      </c>
      <c r="M66" s="127">
        <v>0</v>
      </c>
      <c r="N66" s="127">
        <v>0</v>
      </c>
      <c r="O66" s="127">
        <v>0</v>
      </c>
      <c r="P66" s="129">
        <v>0</v>
      </c>
      <c r="Q66" s="129">
        <v>0</v>
      </c>
      <c r="R66" s="129">
        <v>0</v>
      </c>
      <c r="S66" s="125">
        <v>185169</v>
      </c>
      <c r="T66" s="125">
        <v>8197</v>
      </c>
      <c r="U66" s="125">
        <v>876</v>
      </c>
      <c r="V66" s="136">
        <v>3482</v>
      </c>
      <c r="W66" s="136">
        <v>113103</v>
      </c>
      <c r="X66" s="136">
        <v>1798</v>
      </c>
      <c r="Y66" s="137">
        <v>0</v>
      </c>
      <c r="Z66" s="137">
        <v>243</v>
      </c>
      <c r="AA66" s="137">
        <v>0</v>
      </c>
      <c r="AB66" s="141">
        <v>9</v>
      </c>
      <c r="AC66" s="141">
        <v>9</v>
      </c>
      <c r="AD66" s="141">
        <v>19</v>
      </c>
    </row>
    <row r="67" spans="1:30" ht="14.25">
      <c r="A67">
        <v>186</v>
      </c>
      <c r="B67" s="121" t="s">
        <v>202</v>
      </c>
      <c r="C67" s="120">
        <v>68434</v>
      </c>
      <c r="D67" s="120">
        <v>0</v>
      </c>
      <c r="E67" s="120">
        <v>1184</v>
      </c>
      <c r="F67" s="120">
        <v>8100</v>
      </c>
      <c r="G67" s="123">
        <v>546</v>
      </c>
      <c r="H67" s="123">
        <v>16094</v>
      </c>
      <c r="I67" s="123">
        <v>0</v>
      </c>
      <c r="J67" s="125">
        <v>0</v>
      </c>
      <c r="K67" s="125">
        <v>0</v>
      </c>
      <c r="L67" s="125">
        <v>0</v>
      </c>
      <c r="M67" s="127">
        <v>0</v>
      </c>
      <c r="N67" s="127">
        <v>0</v>
      </c>
      <c r="O67" s="127">
        <v>0</v>
      </c>
      <c r="P67" s="129">
        <v>0</v>
      </c>
      <c r="Q67" s="129">
        <v>0</v>
      </c>
      <c r="R67" s="129">
        <v>0</v>
      </c>
      <c r="S67" s="125">
        <v>259398</v>
      </c>
      <c r="T67" s="125">
        <v>15149</v>
      </c>
      <c r="U67" s="125">
        <v>8100</v>
      </c>
      <c r="V67" s="136">
        <v>4726</v>
      </c>
      <c r="W67" s="136">
        <v>135870</v>
      </c>
      <c r="X67" s="136">
        <v>2777</v>
      </c>
      <c r="Y67" s="137">
        <v>1</v>
      </c>
      <c r="Z67" s="137">
        <v>121</v>
      </c>
      <c r="AA67" s="137">
        <v>7</v>
      </c>
      <c r="AB67" s="141">
        <v>182</v>
      </c>
      <c r="AC67" s="141">
        <v>3832</v>
      </c>
      <c r="AD67" s="141">
        <v>47</v>
      </c>
    </row>
    <row r="68" spans="1:30" ht="14.25">
      <c r="A68">
        <v>202</v>
      </c>
      <c r="B68" s="121" t="s">
        <v>203</v>
      </c>
      <c r="C68" s="120">
        <v>54181</v>
      </c>
      <c r="D68" s="120">
        <v>0</v>
      </c>
      <c r="E68" s="120">
        <v>292</v>
      </c>
      <c r="F68" s="120">
        <v>2059</v>
      </c>
      <c r="G68" s="123">
        <v>403</v>
      </c>
      <c r="H68" s="123">
        <v>11626</v>
      </c>
      <c r="I68" s="123">
        <v>0</v>
      </c>
      <c r="J68" s="125">
        <v>0</v>
      </c>
      <c r="K68" s="125">
        <v>0</v>
      </c>
      <c r="L68" s="125">
        <v>0</v>
      </c>
      <c r="M68" s="127">
        <v>0</v>
      </c>
      <c r="N68" s="127">
        <v>0</v>
      </c>
      <c r="O68" s="127">
        <v>0</v>
      </c>
      <c r="P68" s="129">
        <v>127</v>
      </c>
      <c r="Q68" s="129">
        <v>2059</v>
      </c>
      <c r="R68" s="129">
        <v>0</v>
      </c>
      <c r="S68" s="125">
        <v>206692</v>
      </c>
      <c r="T68" s="125">
        <v>7877</v>
      </c>
      <c r="U68" s="125">
        <v>2059</v>
      </c>
      <c r="V68" s="136">
        <v>1791</v>
      </c>
      <c r="W68" s="136">
        <v>102298</v>
      </c>
      <c r="X68" s="136">
        <v>2242</v>
      </c>
      <c r="Y68" s="137">
        <v>0</v>
      </c>
      <c r="Z68" s="137">
        <v>274</v>
      </c>
      <c r="AA68" s="137">
        <v>0</v>
      </c>
      <c r="AB68" s="141">
        <v>0</v>
      </c>
      <c r="AC68" s="141">
        <v>2025</v>
      </c>
      <c r="AD68" s="141">
        <v>0</v>
      </c>
    </row>
    <row r="69" spans="1:30" ht="14.25">
      <c r="A69">
        <v>204</v>
      </c>
      <c r="B69" s="121" t="s">
        <v>204</v>
      </c>
      <c r="C69" s="120">
        <v>6208</v>
      </c>
      <c r="D69" s="120">
        <v>0</v>
      </c>
      <c r="E69" s="120">
        <v>0</v>
      </c>
      <c r="F69" s="120">
        <v>0</v>
      </c>
      <c r="G69" s="123">
        <v>43</v>
      </c>
      <c r="H69" s="123">
        <v>1270</v>
      </c>
      <c r="I69" s="123">
        <v>0</v>
      </c>
      <c r="J69" s="125">
        <v>0</v>
      </c>
      <c r="K69" s="125">
        <v>0</v>
      </c>
      <c r="L69" s="125">
        <v>0</v>
      </c>
      <c r="M69" s="127">
        <v>0</v>
      </c>
      <c r="N69" s="127">
        <v>0</v>
      </c>
      <c r="O69" s="127">
        <v>0</v>
      </c>
      <c r="P69" s="129">
        <v>0</v>
      </c>
      <c r="Q69" s="129">
        <v>0</v>
      </c>
      <c r="R69" s="129">
        <v>0</v>
      </c>
      <c r="S69" s="125">
        <v>27455</v>
      </c>
      <c r="T69" s="125">
        <v>709</v>
      </c>
      <c r="U69" s="125">
        <v>0</v>
      </c>
      <c r="V69" s="136">
        <v>285</v>
      </c>
      <c r="W69" s="136">
        <v>16661</v>
      </c>
      <c r="X69" s="136">
        <v>273</v>
      </c>
      <c r="Y69" s="137">
        <v>0</v>
      </c>
      <c r="Z69" s="137">
        <v>6</v>
      </c>
      <c r="AA69" s="137">
        <v>0</v>
      </c>
      <c r="AB69" s="141">
        <v>0</v>
      </c>
      <c r="AC69" s="141">
        <v>0</v>
      </c>
      <c r="AD69" s="141">
        <v>0</v>
      </c>
    </row>
    <row r="70" spans="1:30" ht="14.25">
      <c r="A70">
        <v>205</v>
      </c>
      <c r="B70" s="121" t="s">
        <v>205</v>
      </c>
      <c r="C70" s="120">
        <v>73662</v>
      </c>
      <c r="D70" s="120">
        <v>0</v>
      </c>
      <c r="E70" s="120">
        <v>876</v>
      </c>
      <c r="F70" s="120">
        <v>5787</v>
      </c>
      <c r="G70" s="123">
        <v>0</v>
      </c>
      <c r="H70" s="123">
        <v>4849</v>
      </c>
      <c r="I70" s="123">
        <v>3866</v>
      </c>
      <c r="J70" s="125">
        <v>0</v>
      </c>
      <c r="K70" s="125">
        <v>0</v>
      </c>
      <c r="L70" s="125">
        <v>0</v>
      </c>
      <c r="M70" s="127">
        <v>0</v>
      </c>
      <c r="N70" s="127">
        <v>0</v>
      </c>
      <c r="O70" s="127">
        <v>0</v>
      </c>
      <c r="P70" s="129">
        <v>0</v>
      </c>
      <c r="Q70" s="129">
        <v>0</v>
      </c>
      <c r="R70" s="129">
        <v>0</v>
      </c>
      <c r="S70" s="125">
        <v>308074</v>
      </c>
      <c r="T70" s="125">
        <v>13353</v>
      </c>
      <c r="U70" s="125">
        <v>5787</v>
      </c>
      <c r="V70" s="136">
        <v>512</v>
      </c>
      <c r="W70" s="136">
        <v>132985</v>
      </c>
      <c r="X70" s="136">
        <v>6987</v>
      </c>
      <c r="Y70" s="137">
        <v>0</v>
      </c>
      <c r="Z70" s="137">
        <v>0</v>
      </c>
      <c r="AA70" s="137">
        <v>321</v>
      </c>
      <c r="AB70" s="141">
        <v>0</v>
      </c>
      <c r="AC70" s="141">
        <v>29</v>
      </c>
      <c r="AD70" s="141">
        <v>43</v>
      </c>
    </row>
    <row r="71" spans="1:30" ht="14.25">
      <c r="A71">
        <v>208</v>
      </c>
      <c r="B71" s="121" t="s">
        <v>206</v>
      </c>
      <c r="C71" s="120">
        <v>21745</v>
      </c>
      <c r="D71" s="120">
        <v>0</v>
      </c>
      <c r="E71" s="120">
        <v>288</v>
      </c>
      <c r="F71" s="120">
        <v>11963</v>
      </c>
      <c r="G71" s="123">
        <v>602</v>
      </c>
      <c r="H71" s="123">
        <v>10410</v>
      </c>
      <c r="I71" s="123">
        <v>46</v>
      </c>
      <c r="J71" s="125">
        <v>0</v>
      </c>
      <c r="K71" s="125">
        <v>0</v>
      </c>
      <c r="L71" s="125">
        <v>0</v>
      </c>
      <c r="M71" s="127">
        <v>0</v>
      </c>
      <c r="N71" s="127">
        <v>0</v>
      </c>
      <c r="O71" s="127">
        <v>0</v>
      </c>
      <c r="P71" s="129">
        <v>402</v>
      </c>
      <c r="Q71" s="129">
        <v>471</v>
      </c>
      <c r="R71" s="129">
        <v>0</v>
      </c>
      <c r="S71" s="125">
        <v>83359</v>
      </c>
      <c r="T71" s="125">
        <v>5005</v>
      </c>
      <c r="U71" s="125">
        <v>11253</v>
      </c>
      <c r="V71" s="136">
        <v>1613</v>
      </c>
      <c r="W71" s="136">
        <v>41222</v>
      </c>
      <c r="X71" s="136">
        <v>1152</v>
      </c>
      <c r="Y71" s="137">
        <v>0</v>
      </c>
      <c r="Z71" s="137">
        <v>102</v>
      </c>
      <c r="AA71" s="137">
        <v>3</v>
      </c>
      <c r="AB71" s="141">
        <v>271</v>
      </c>
      <c r="AC71" s="141">
        <v>2965</v>
      </c>
      <c r="AD71" s="141">
        <v>14</v>
      </c>
    </row>
    <row r="72" spans="1:30" ht="14.25">
      <c r="A72">
        <v>211</v>
      </c>
      <c r="B72" s="121" t="s">
        <v>207</v>
      </c>
      <c r="C72" s="120">
        <v>73567</v>
      </c>
      <c r="D72" s="120">
        <v>0</v>
      </c>
      <c r="E72" s="120">
        <v>35</v>
      </c>
      <c r="F72" s="120">
        <v>0</v>
      </c>
      <c r="G72" s="123">
        <v>153</v>
      </c>
      <c r="H72" s="123">
        <v>28534</v>
      </c>
      <c r="I72" s="123">
        <v>0</v>
      </c>
      <c r="J72" s="125">
        <v>0</v>
      </c>
      <c r="K72" s="125">
        <v>0</v>
      </c>
      <c r="L72" s="125">
        <v>0</v>
      </c>
      <c r="M72" s="127">
        <v>0</v>
      </c>
      <c r="N72" s="127">
        <v>0</v>
      </c>
      <c r="O72" s="127">
        <v>0</v>
      </c>
      <c r="P72" s="129">
        <v>0</v>
      </c>
      <c r="Q72" s="129">
        <v>0</v>
      </c>
      <c r="R72" s="129">
        <v>0</v>
      </c>
      <c r="S72" s="125">
        <v>214111</v>
      </c>
      <c r="T72" s="125">
        <v>12707</v>
      </c>
      <c r="U72" s="125">
        <v>0</v>
      </c>
      <c r="V72" s="136">
        <v>193</v>
      </c>
      <c r="W72" s="136">
        <v>110086</v>
      </c>
      <c r="X72" s="136">
        <v>2057</v>
      </c>
      <c r="Y72" s="137">
        <v>0</v>
      </c>
      <c r="Z72" s="137">
        <v>183</v>
      </c>
      <c r="AA72" s="137">
        <v>0</v>
      </c>
      <c r="AB72" s="141">
        <v>0</v>
      </c>
      <c r="AC72" s="141">
        <v>0</v>
      </c>
      <c r="AD72" s="141">
        <v>0</v>
      </c>
    </row>
    <row r="73" spans="1:30" ht="14.25">
      <c r="A73">
        <v>213</v>
      </c>
      <c r="B73" s="121" t="s">
        <v>208</v>
      </c>
      <c r="C73" s="120">
        <v>9259</v>
      </c>
      <c r="D73" s="120">
        <v>0</v>
      </c>
      <c r="E73" s="120">
        <v>0</v>
      </c>
      <c r="F73" s="120">
        <v>638</v>
      </c>
      <c r="G73" s="123">
        <v>36</v>
      </c>
      <c r="H73" s="123">
        <v>2979</v>
      </c>
      <c r="I73" s="123">
        <v>62</v>
      </c>
      <c r="J73" s="125">
        <v>0</v>
      </c>
      <c r="K73" s="125">
        <v>0</v>
      </c>
      <c r="L73" s="125">
        <v>0</v>
      </c>
      <c r="M73" s="127">
        <v>0</v>
      </c>
      <c r="N73" s="127">
        <v>0</v>
      </c>
      <c r="O73" s="127">
        <v>0</v>
      </c>
      <c r="P73" s="129">
        <v>0</v>
      </c>
      <c r="Q73" s="129">
        <v>0</v>
      </c>
      <c r="R73" s="129">
        <v>0</v>
      </c>
      <c r="S73" s="125">
        <v>44577</v>
      </c>
      <c r="T73" s="125">
        <v>1978</v>
      </c>
      <c r="U73" s="125">
        <v>638</v>
      </c>
      <c r="V73" s="136">
        <v>237</v>
      </c>
      <c r="W73" s="136">
        <v>26561</v>
      </c>
      <c r="X73" s="136">
        <v>554</v>
      </c>
      <c r="Y73" s="137">
        <v>0</v>
      </c>
      <c r="Z73" s="137">
        <v>67</v>
      </c>
      <c r="AA73" s="137">
        <v>9</v>
      </c>
      <c r="AB73" s="141">
        <v>0</v>
      </c>
      <c r="AC73" s="141">
        <v>481</v>
      </c>
      <c r="AD73" s="141">
        <v>0</v>
      </c>
    </row>
    <row r="74" spans="1:30" ht="14.25">
      <c r="A74">
        <v>214</v>
      </c>
      <c r="B74" s="121" t="s">
        <v>209</v>
      </c>
      <c r="C74" s="120">
        <v>14547</v>
      </c>
      <c r="D74" s="120">
        <v>0</v>
      </c>
      <c r="E74" s="120">
        <v>111</v>
      </c>
      <c r="F74" s="120">
        <v>0</v>
      </c>
      <c r="G74" s="123">
        <v>141</v>
      </c>
      <c r="H74" s="123">
        <v>839</v>
      </c>
      <c r="I74" s="123">
        <v>0</v>
      </c>
      <c r="J74" s="125">
        <v>0</v>
      </c>
      <c r="K74" s="125">
        <v>0</v>
      </c>
      <c r="L74" s="125">
        <v>0</v>
      </c>
      <c r="M74" s="127">
        <v>0</v>
      </c>
      <c r="N74" s="127">
        <v>0</v>
      </c>
      <c r="O74" s="127">
        <v>0</v>
      </c>
      <c r="P74" s="129">
        <v>0</v>
      </c>
      <c r="Q74" s="129">
        <v>0</v>
      </c>
      <c r="R74" s="129">
        <v>0</v>
      </c>
      <c r="S74" s="125">
        <v>80213</v>
      </c>
      <c r="T74" s="125">
        <v>2508</v>
      </c>
      <c r="U74" s="125">
        <v>0</v>
      </c>
      <c r="V74" s="136">
        <v>963</v>
      </c>
      <c r="W74" s="136">
        <v>40962</v>
      </c>
      <c r="X74" s="136">
        <v>1153</v>
      </c>
      <c r="Y74" s="137">
        <v>0</v>
      </c>
      <c r="Z74" s="137">
        <v>0</v>
      </c>
      <c r="AA74" s="137">
        <v>0</v>
      </c>
      <c r="AB74" s="141">
        <v>0</v>
      </c>
      <c r="AC74" s="141">
        <v>0</v>
      </c>
      <c r="AD74" s="141">
        <v>0</v>
      </c>
    </row>
    <row r="75" spans="1:30" ht="14.25">
      <c r="A75">
        <v>216</v>
      </c>
      <c r="B75" s="121" t="s">
        <v>210</v>
      </c>
      <c r="C75" s="120">
        <v>6128</v>
      </c>
      <c r="D75" s="120">
        <v>0</v>
      </c>
      <c r="E75" s="120">
        <v>0</v>
      </c>
      <c r="F75" s="120">
        <v>167</v>
      </c>
      <c r="G75" s="123">
        <v>0</v>
      </c>
      <c r="H75" s="123">
        <v>6</v>
      </c>
      <c r="I75" s="123">
        <v>0</v>
      </c>
      <c r="J75" s="125">
        <v>0</v>
      </c>
      <c r="K75" s="125">
        <v>0</v>
      </c>
      <c r="L75" s="125">
        <v>0</v>
      </c>
      <c r="M75" s="127">
        <v>0</v>
      </c>
      <c r="N75" s="127">
        <v>0</v>
      </c>
      <c r="O75" s="127">
        <v>0</v>
      </c>
      <c r="P75" s="129">
        <v>0</v>
      </c>
      <c r="Q75" s="129">
        <v>0</v>
      </c>
      <c r="R75" s="129">
        <v>0</v>
      </c>
      <c r="S75" s="125">
        <v>15235</v>
      </c>
      <c r="T75" s="125">
        <v>943</v>
      </c>
      <c r="U75" s="125">
        <v>167</v>
      </c>
      <c r="V75" s="136">
        <v>117</v>
      </c>
      <c r="W75" s="136">
        <v>6986</v>
      </c>
      <c r="X75" s="136">
        <v>128</v>
      </c>
      <c r="Y75" s="137">
        <v>0</v>
      </c>
      <c r="Z75" s="137">
        <v>0</v>
      </c>
      <c r="AA75" s="137">
        <v>0</v>
      </c>
      <c r="AB75" s="141">
        <v>0</v>
      </c>
      <c r="AC75" s="141">
        <v>0</v>
      </c>
      <c r="AD75" s="141">
        <v>0</v>
      </c>
    </row>
    <row r="76" spans="1:30" ht="14.25">
      <c r="A76">
        <v>217</v>
      </c>
      <c r="B76" s="121" t="s">
        <v>211</v>
      </c>
      <c r="C76" s="120">
        <v>6745</v>
      </c>
      <c r="D76" s="120">
        <v>0</v>
      </c>
      <c r="E76" s="120">
        <v>0</v>
      </c>
      <c r="F76" s="120">
        <v>0</v>
      </c>
      <c r="G76" s="123">
        <v>0</v>
      </c>
      <c r="H76" s="123">
        <v>84</v>
      </c>
      <c r="I76" s="123">
        <v>0</v>
      </c>
      <c r="J76" s="125">
        <v>0</v>
      </c>
      <c r="K76" s="125">
        <v>0</v>
      </c>
      <c r="L76" s="125">
        <v>0</v>
      </c>
      <c r="M76" s="127">
        <v>0</v>
      </c>
      <c r="N76" s="127">
        <v>0</v>
      </c>
      <c r="O76" s="127">
        <v>0</v>
      </c>
      <c r="P76" s="129">
        <v>0</v>
      </c>
      <c r="Q76" s="129">
        <v>0</v>
      </c>
      <c r="R76" s="129">
        <v>0</v>
      </c>
      <c r="S76" s="125">
        <v>36387</v>
      </c>
      <c r="T76" s="125">
        <v>1071</v>
      </c>
      <c r="U76" s="125">
        <v>0</v>
      </c>
      <c r="V76" s="136">
        <v>119</v>
      </c>
      <c r="W76" s="136">
        <v>18437</v>
      </c>
      <c r="X76" s="136">
        <v>462</v>
      </c>
      <c r="Y76" s="137">
        <v>0</v>
      </c>
      <c r="Z76" s="137">
        <v>0</v>
      </c>
      <c r="AA76" s="137">
        <v>20</v>
      </c>
      <c r="AB76" s="141">
        <v>0</v>
      </c>
      <c r="AC76" s="141">
        <v>0</v>
      </c>
      <c r="AD76" s="141">
        <v>0</v>
      </c>
    </row>
    <row r="77" spans="1:30" ht="14.25">
      <c r="A77">
        <v>218</v>
      </c>
      <c r="B77" s="121" t="s">
        <v>212</v>
      </c>
      <c r="C77" s="120">
        <v>1242</v>
      </c>
      <c r="D77" s="120">
        <v>0</v>
      </c>
      <c r="E77" s="120">
        <v>0</v>
      </c>
      <c r="F77" s="120">
        <v>147</v>
      </c>
      <c r="G77" s="123">
        <v>0</v>
      </c>
      <c r="H77" s="123">
        <v>40</v>
      </c>
      <c r="I77" s="123">
        <v>0</v>
      </c>
      <c r="J77" s="125">
        <v>0</v>
      </c>
      <c r="K77" s="125">
        <v>0</v>
      </c>
      <c r="L77" s="125">
        <v>0</v>
      </c>
      <c r="M77" s="127">
        <v>0</v>
      </c>
      <c r="N77" s="127">
        <v>0</v>
      </c>
      <c r="O77" s="127">
        <v>0</v>
      </c>
      <c r="P77" s="129">
        <v>0</v>
      </c>
      <c r="Q77" s="129">
        <v>0</v>
      </c>
      <c r="R77" s="129">
        <v>0</v>
      </c>
      <c r="S77" s="125">
        <v>9288</v>
      </c>
      <c r="T77" s="125">
        <v>249</v>
      </c>
      <c r="U77" s="125">
        <v>147</v>
      </c>
      <c r="V77" s="136">
        <v>12</v>
      </c>
      <c r="W77" s="136">
        <v>5635</v>
      </c>
      <c r="X77" s="136">
        <v>124</v>
      </c>
      <c r="Y77" s="137">
        <v>0</v>
      </c>
      <c r="Z77" s="137">
        <v>0</v>
      </c>
      <c r="AA77" s="137">
        <v>0</v>
      </c>
      <c r="AB77" s="141">
        <v>0</v>
      </c>
      <c r="AC77" s="141">
        <v>0</v>
      </c>
      <c r="AD77" s="141">
        <v>0</v>
      </c>
    </row>
    <row r="78" spans="1:30" ht="14.25">
      <c r="A78">
        <v>224</v>
      </c>
      <c r="B78" s="121" t="s">
        <v>213</v>
      </c>
      <c r="C78" s="120">
        <v>13798</v>
      </c>
      <c r="D78" s="120">
        <v>0</v>
      </c>
      <c r="E78" s="120">
        <v>0</v>
      </c>
      <c r="F78" s="120">
        <v>0</v>
      </c>
      <c r="G78" s="123">
        <v>8</v>
      </c>
      <c r="H78" s="123">
        <v>468</v>
      </c>
      <c r="I78" s="123">
        <v>0</v>
      </c>
      <c r="J78" s="125">
        <v>0</v>
      </c>
      <c r="K78" s="125">
        <v>0</v>
      </c>
      <c r="L78" s="125">
        <v>0</v>
      </c>
      <c r="M78" s="127">
        <v>0</v>
      </c>
      <c r="N78" s="127">
        <v>0</v>
      </c>
      <c r="O78" s="127">
        <v>0</v>
      </c>
      <c r="P78" s="129">
        <v>0</v>
      </c>
      <c r="Q78" s="129">
        <v>0</v>
      </c>
      <c r="R78" s="129">
        <v>0</v>
      </c>
      <c r="S78" s="125">
        <v>58880</v>
      </c>
      <c r="T78" s="125">
        <v>2013</v>
      </c>
      <c r="U78" s="125">
        <v>0</v>
      </c>
      <c r="V78" s="136">
        <v>660</v>
      </c>
      <c r="W78" s="136">
        <v>30999</v>
      </c>
      <c r="X78" s="136">
        <v>604</v>
      </c>
      <c r="Y78" s="137">
        <v>0</v>
      </c>
      <c r="Z78" s="137">
        <v>0</v>
      </c>
      <c r="AA78" s="137">
        <v>0</v>
      </c>
      <c r="AB78" s="141">
        <v>0</v>
      </c>
      <c r="AC78" s="141">
        <v>0</v>
      </c>
      <c r="AD78" s="141">
        <v>0</v>
      </c>
    </row>
    <row r="79" spans="1:30" ht="14.25">
      <c r="A79">
        <v>226</v>
      </c>
      <c r="B79" s="121" t="s">
        <v>214</v>
      </c>
      <c r="C79" s="120">
        <v>11358</v>
      </c>
      <c r="D79" s="120">
        <v>0</v>
      </c>
      <c r="E79" s="120">
        <v>0</v>
      </c>
      <c r="F79" s="120">
        <v>0</v>
      </c>
      <c r="G79" s="123">
        <v>30</v>
      </c>
      <c r="H79" s="123">
        <v>99</v>
      </c>
      <c r="I79" s="123">
        <v>0</v>
      </c>
      <c r="J79" s="125">
        <v>0</v>
      </c>
      <c r="K79" s="125">
        <v>0</v>
      </c>
      <c r="L79" s="125">
        <v>0</v>
      </c>
      <c r="M79" s="127">
        <v>0</v>
      </c>
      <c r="N79" s="127">
        <v>0</v>
      </c>
      <c r="O79" s="127">
        <v>0</v>
      </c>
      <c r="P79" s="129">
        <v>0</v>
      </c>
      <c r="Q79" s="129">
        <v>0</v>
      </c>
      <c r="R79" s="129">
        <v>0</v>
      </c>
      <c r="S79" s="125">
        <v>36119</v>
      </c>
      <c r="T79" s="125">
        <v>1892</v>
      </c>
      <c r="U79" s="125">
        <v>0</v>
      </c>
      <c r="V79" s="136">
        <v>117</v>
      </c>
      <c r="W79" s="136">
        <v>16657</v>
      </c>
      <c r="X79" s="136">
        <v>353</v>
      </c>
      <c r="Y79" s="137">
        <v>0</v>
      </c>
      <c r="Z79" s="137">
        <v>6</v>
      </c>
      <c r="AA79" s="137">
        <v>0</v>
      </c>
      <c r="AB79" s="141">
        <v>0</v>
      </c>
      <c r="AC79" s="141">
        <v>0</v>
      </c>
      <c r="AD79" s="141">
        <v>0</v>
      </c>
    </row>
    <row r="80" spans="1:30" ht="14.25">
      <c r="A80">
        <v>230</v>
      </c>
      <c r="B80" s="121" t="s">
        <v>215</v>
      </c>
      <c r="C80" s="120">
        <v>1556</v>
      </c>
      <c r="D80" s="120">
        <v>0</v>
      </c>
      <c r="E80" s="120">
        <v>0</v>
      </c>
      <c r="F80" s="120">
        <v>881</v>
      </c>
      <c r="G80" s="123">
        <v>0</v>
      </c>
      <c r="H80" s="123">
        <v>46</v>
      </c>
      <c r="I80" s="123">
        <v>0</v>
      </c>
      <c r="J80" s="125">
        <v>0</v>
      </c>
      <c r="K80" s="125">
        <v>0</v>
      </c>
      <c r="L80" s="125">
        <v>0</v>
      </c>
      <c r="M80" s="127">
        <v>0</v>
      </c>
      <c r="N80" s="127">
        <v>0</v>
      </c>
      <c r="O80" s="127">
        <v>0</v>
      </c>
      <c r="P80" s="129">
        <v>0</v>
      </c>
      <c r="Q80" s="129">
        <v>13</v>
      </c>
      <c r="R80" s="129">
        <v>0</v>
      </c>
      <c r="S80" s="125">
        <v>16067</v>
      </c>
      <c r="T80" s="125">
        <v>830</v>
      </c>
      <c r="U80" s="125">
        <v>883</v>
      </c>
      <c r="V80" s="136">
        <v>149</v>
      </c>
      <c r="W80" s="136">
        <v>9355</v>
      </c>
      <c r="X80" s="136">
        <v>387</v>
      </c>
      <c r="Y80" s="137">
        <v>0</v>
      </c>
      <c r="Z80" s="137">
        <v>0</v>
      </c>
      <c r="AA80" s="137">
        <v>0</v>
      </c>
      <c r="AB80" s="141">
        <v>0</v>
      </c>
      <c r="AC80" s="141">
        <v>22</v>
      </c>
      <c r="AD80" s="141">
        <v>1</v>
      </c>
    </row>
    <row r="81" spans="1:30" ht="14.25">
      <c r="A81">
        <v>231</v>
      </c>
      <c r="B81" s="121" t="s">
        <v>216</v>
      </c>
      <c r="C81" s="120">
        <v>4154</v>
      </c>
      <c r="D81" s="120">
        <v>0</v>
      </c>
      <c r="E81" s="120">
        <v>0</v>
      </c>
      <c r="F81" s="120">
        <v>0</v>
      </c>
      <c r="G81" s="123">
        <v>0</v>
      </c>
      <c r="H81" s="123">
        <v>449</v>
      </c>
      <c r="I81" s="123">
        <v>25</v>
      </c>
      <c r="J81" s="125">
        <v>0</v>
      </c>
      <c r="K81" s="125">
        <v>0</v>
      </c>
      <c r="L81" s="125">
        <v>0</v>
      </c>
      <c r="M81" s="127">
        <v>0</v>
      </c>
      <c r="N81" s="127">
        <v>0</v>
      </c>
      <c r="O81" s="127">
        <v>0</v>
      </c>
      <c r="P81" s="129">
        <v>0</v>
      </c>
      <c r="Q81" s="129">
        <v>0</v>
      </c>
      <c r="R81" s="129">
        <v>0</v>
      </c>
      <c r="S81" s="125">
        <v>11884</v>
      </c>
      <c r="T81" s="125">
        <v>900</v>
      </c>
      <c r="U81" s="125">
        <v>0</v>
      </c>
      <c r="V81" s="136">
        <v>0</v>
      </c>
      <c r="W81" s="136">
        <v>5718</v>
      </c>
      <c r="X81" s="136">
        <v>95</v>
      </c>
      <c r="Y81" s="137">
        <v>0</v>
      </c>
      <c r="Z81" s="137">
        <v>6</v>
      </c>
      <c r="AA81" s="137">
        <v>0</v>
      </c>
      <c r="AB81" s="141">
        <v>0</v>
      </c>
      <c r="AC81" s="141">
        <v>0</v>
      </c>
      <c r="AD81" s="141">
        <v>0</v>
      </c>
    </row>
    <row r="82" spans="1:30" ht="14.25">
      <c r="A82">
        <v>232</v>
      </c>
      <c r="B82" s="121" t="s">
        <v>217</v>
      </c>
      <c r="C82" s="120">
        <v>50860</v>
      </c>
      <c r="D82" s="120">
        <v>0</v>
      </c>
      <c r="E82" s="120">
        <v>150</v>
      </c>
      <c r="F82" s="120">
        <v>2356</v>
      </c>
      <c r="G82" s="123">
        <v>126</v>
      </c>
      <c r="H82" s="123">
        <v>38067</v>
      </c>
      <c r="I82" s="123">
        <v>0</v>
      </c>
      <c r="J82" s="125">
        <v>0</v>
      </c>
      <c r="K82" s="125">
        <v>0</v>
      </c>
      <c r="L82" s="125">
        <v>0</v>
      </c>
      <c r="M82" s="127">
        <v>0</v>
      </c>
      <c r="N82" s="127">
        <v>0</v>
      </c>
      <c r="O82" s="127">
        <v>0</v>
      </c>
      <c r="P82" s="129">
        <v>0</v>
      </c>
      <c r="Q82" s="129">
        <v>0</v>
      </c>
      <c r="R82" s="129">
        <v>0</v>
      </c>
      <c r="S82" s="125">
        <v>133243</v>
      </c>
      <c r="T82" s="125">
        <v>4317</v>
      </c>
      <c r="U82" s="125">
        <v>2354</v>
      </c>
      <c r="V82" s="136">
        <v>707</v>
      </c>
      <c r="W82" s="136">
        <v>91530</v>
      </c>
      <c r="X82" s="136">
        <v>1188</v>
      </c>
      <c r="Y82" s="137">
        <v>0</v>
      </c>
      <c r="Z82" s="137">
        <v>0</v>
      </c>
      <c r="AA82" s="137">
        <v>1</v>
      </c>
      <c r="AB82" s="141">
        <v>0</v>
      </c>
      <c r="AC82" s="141">
        <v>4</v>
      </c>
      <c r="AD82" s="141">
        <v>0</v>
      </c>
    </row>
    <row r="83" spans="1:30" ht="14.25">
      <c r="A83">
        <v>233</v>
      </c>
      <c r="B83" s="121" t="s">
        <v>218</v>
      </c>
      <c r="C83" s="120">
        <v>22213</v>
      </c>
      <c r="D83" s="120">
        <v>0</v>
      </c>
      <c r="E83" s="120">
        <v>0</v>
      </c>
      <c r="F83" s="120">
        <v>376</v>
      </c>
      <c r="G83" s="123">
        <v>0</v>
      </c>
      <c r="H83" s="123">
        <v>181</v>
      </c>
      <c r="I83" s="123">
        <v>0</v>
      </c>
      <c r="J83" s="125">
        <v>0</v>
      </c>
      <c r="K83" s="125">
        <v>0</v>
      </c>
      <c r="L83" s="125">
        <v>0</v>
      </c>
      <c r="M83" s="127">
        <v>0</v>
      </c>
      <c r="N83" s="127">
        <v>0</v>
      </c>
      <c r="O83" s="127">
        <v>0</v>
      </c>
      <c r="P83" s="129">
        <v>0</v>
      </c>
      <c r="Q83" s="129">
        <v>0</v>
      </c>
      <c r="R83" s="129">
        <v>0</v>
      </c>
      <c r="S83" s="125">
        <v>118345</v>
      </c>
      <c r="T83" s="125">
        <v>3941</v>
      </c>
      <c r="U83" s="125">
        <v>376</v>
      </c>
      <c r="V83" s="136">
        <v>575</v>
      </c>
      <c r="W83" s="136">
        <v>60293</v>
      </c>
      <c r="X83" s="136">
        <v>1426</v>
      </c>
      <c r="Y83" s="137">
        <v>0</v>
      </c>
      <c r="Z83" s="137">
        <v>0</v>
      </c>
      <c r="AA83" s="137">
        <v>3</v>
      </c>
      <c r="AB83" s="141">
        <v>0</v>
      </c>
      <c r="AC83" s="141">
        <v>5</v>
      </c>
      <c r="AD83" s="141">
        <v>0</v>
      </c>
    </row>
    <row r="84" spans="1:30" ht="14.25">
      <c r="A84">
        <v>235</v>
      </c>
      <c r="B84" s="121" t="s">
        <v>219</v>
      </c>
      <c r="C84" s="120">
        <v>31164</v>
      </c>
      <c r="D84" s="120">
        <v>0</v>
      </c>
      <c r="E84" s="120">
        <v>0</v>
      </c>
      <c r="F84" s="120">
        <v>0</v>
      </c>
      <c r="G84" s="123">
        <v>0</v>
      </c>
      <c r="H84" s="123">
        <v>4098</v>
      </c>
      <c r="I84" s="123">
        <v>0</v>
      </c>
      <c r="J84" s="125">
        <v>0</v>
      </c>
      <c r="K84" s="125">
        <v>0</v>
      </c>
      <c r="L84" s="125">
        <v>0</v>
      </c>
      <c r="M84" s="127">
        <v>0</v>
      </c>
      <c r="N84" s="127">
        <v>0</v>
      </c>
      <c r="O84" s="127">
        <v>0</v>
      </c>
      <c r="P84" s="129">
        <v>0</v>
      </c>
      <c r="Q84" s="129">
        <v>0</v>
      </c>
      <c r="R84" s="129">
        <v>0</v>
      </c>
      <c r="S84" s="125">
        <v>83352</v>
      </c>
      <c r="T84" s="125">
        <v>6882</v>
      </c>
      <c r="U84" s="125">
        <v>0</v>
      </c>
      <c r="V84" s="136">
        <v>278</v>
      </c>
      <c r="W84" s="136">
        <v>31872</v>
      </c>
      <c r="X84" s="136">
        <v>828</v>
      </c>
      <c r="Y84" s="137">
        <v>0</v>
      </c>
      <c r="Z84" s="137">
        <v>5</v>
      </c>
      <c r="AA84" s="137">
        <v>0</v>
      </c>
      <c r="AB84" s="141">
        <v>0</v>
      </c>
      <c r="AC84" s="141">
        <v>0</v>
      </c>
      <c r="AD84" s="141">
        <v>0</v>
      </c>
    </row>
    <row r="85" spans="1:30" ht="14.25">
      <c r="A85">
        <v>236</v>
      </c>
      <c r="B85" s="121" t="s">
        <v>220</v>
      </c>
      <c r="C85" s="120">
        <v>9117</v>
      </c>
      <c r="D85" s="120">
        <v>0</v>
      </c>
      <c r="E85" s="120">
        <v>0</v>
      </c>
      <c r="F85" s="120">
        <v>502</v>
      </c>
      <c r="G85" s="123">
        <v>0</v>
      </c>
      <c r="H85" s="123">
        <v>5</v>
      </c>
      <c r="I85" s="123">
        <v>11</v>
      </c>
      <c r="J85" s="125">
        <v>0</v>
      </c>
      <c r="K85" s="125">
        <v>0</v>
      </c>
      <c r="L85" s="125">
        <v>0</v>
      </c>
      <c r="M85" s="127">
        <v>0</v>
      </c>
      <c r="N85" s="127">
        <v>0</v>
      </c>
      <c r="O85" s="127">
        <v>0</v>
      </c>
      <c r="P85" s="129">
        <v>0</v>
      </c>
      <c r="Q85" s="129">
        <v>0</v>
      </c>
      <c r="R85" s="129">
        <v>0</v>
      </c>
      <c r="S85" s="125">
        <v>31486</v>
      </c>
      <c r="T85" s="125">
        <v>1113</v>
      </c>
      <c r="U85" s="125">
        <v>502</v>
      </c>
      <c r="V85" s="136">
        <v>119</v>
      </c>
      <c r="W85" s="136">
        <v>13208</v>
      </c>
      <c r="X85" s="136">
        <v>288</v>
      </c>
      <c r="Y85" s="137">
        <v>0</v>
      </c>
      <c r="Z85" s="137">
        <v>0</v>
      </c>
      <c r="AA85" s="137">
        <v>22</v>
      </c>
      <c r="AB85" s="141">
        <v>0</v>
      </c>
      <c r="AC85" s="141">
        <v>3</v>
      </c>
      <c r="AD85" s="141">
        <v>2</v>
      </c>
    </row>
    <row r="86" spans="1:30" ht="14.25">
      <c r="A86">
        <v>239</v>
      </c>
      <c r="B86" s="121" t="s">
        <v>221</v>
      </c>
      <c r="C86" s="120">
        <v>3978</v>
      </c>
      <c r="D86" s="120">
        <v>0</v>
      </c>
      <c r="E86" s="120">
        <v>0</v>
      </c>
      <c r="F86" s="120">
        <v>0</v>
      </c>
      <c r="G86" s="123">
        <v>15</v>
      </c>
      <c r="H86" s="123">
        <v>1570</v>
      </c>
      <c r="I86" s="123">
        <v>68</v>
      </c>
      <c r="J86" s="125">
        <v>0</v>
      </c>
      <c r="K86" s="125">
        <v>0</v>
      </c>
      <c r="L86" s="125">
        <v>0</v>
      </c>
      <c r="M86" s="127">
        <v>0</v>
      </c>
      <c r="N86" s="127">
        <v>0</v>
      </c>
      <c r="O86" s="127">
        <v>0</v>
      </c>
      <c r="P86" s="129">
        <v>0</v>
      </c>
      <c r="Q86" s="129">
        <v>0</v>
      </c>
      <c r="R86" s="129">
        <v>0</v>
      </c>
      <c r="S86" s="125">
        <v>18089</v>
      </c>
      <c r="T86" s="125">
        <v>557</v>
      </c>
      <c r="U86" s="125">
        <v>0</v>
      </c>
      <c r="V86" s="136">
        <v>124</v>
      </c>
      <c r="W86" s="136">
        <v>11147</v>
      </c>
      <c r="X86" s="136">
        <v>231</v>
      </c>
      <c r="Y86" s="137">
        <v>0</v>
      </c>
      <c r="Z86" s="137">
        <v>51</v>
      </c>
      <c r="AA86" s="137">
        <v>12</v>
      </c>
      <c r="AB86" s="141">
        <v>0</v>
      </c>
      <c r="AC86" s="141">
        <v>0</v>
      </c>
      <c r="AD86" s="141">
        <v>0</v>
      </c>
    </row>
    <row r="87" spans="1:30" ht="14.25">
      <c r="A87">
        <v>240</v>
      </c>
      <c r="B87" s="121" t="s">
        <v>222</v>
      </c>
      <c r="C87" s="120">
        <v>40129</v>
      </c>
      <c r="D87" s="120">
        <v>0</v>
      </c>
      <c r="E87" s="120">
        <v>294</v>
      </c>
      <c r="F87" s="120">
        <v>185</v>
      </c>
      <c r="G87" s="123">
        <v>947</v>
      </c>
      <c r="H87" s="123">
        <v>13229</v>
      </c>
      <c r="I87" s="123">
        <v>0</v>
      </c>
      <c r="J87" s="125">
        <v>0</v>
      </c>
      <c r="K87" s="125">
        <v>0</v>
      </c>
      <c r="L87" s="125">
        <v>0</v>
      </c>
      <c r="M87" s="127">
        <v>0</v>
      </c>
      <c r="N87" s="127">
        <v>0</v>
      </c>
      <c r="O87" s="127">
        <v>0</v>
      </c>
      <c r="P87" s="129">
        <v>0</v>
      </c>
      <c r="Q87" s="129">
        <v>5</v>
      </c>
      <c r="R87" s="129">
        <v>0</v>
      </c>
      <c r="S87" s="125">
        <v>169950</v>
      </c>
      <c r="T87" s="125">
        <v>4579</v>
      </c>
      <c r="U87" s="125">
        <v>185</v>
      </c>
      <c r="V87" s="136">
        <v>4061</v>
      </c>
      <c r="W87" s="136">
        <v>98649</v>
      </c>
      <c r="X87" s="136">
        <v>2274</v>
      </c>
      <c r="Y87" s="137">
        <v>0</v>
      </c>
      <c r="Z87" s="137">
        <v>178</v>
      </c>
      <c r="AA87" s="137">
        <v>0</v>
      </c>
      <c r="AB87" s="141">
        <v>0</v>
      </c>
      <c r="AC87" s="141">
        <v>5</v>
      </c>
      <c r="AD87" s="141">
        <v>0</v>
      </c>
    </row>
    <row r="88" spans="1:30" ht="14.25">
      <c r="A88">
        <v>241</v>
      </c>
      <c r="B88" s="121" t="s">
        <v>224</v>
      </c>
      <c r="C88" s="120">
        <v>9707</v>
      </c>
      <c r="D88" s="120">
        <v>0</v>
      </c>
      <c r="E88" s="120">
        <v>0</v>
      </c>
      <c r="F88" s="120">
        <v>1055</v>
      </c>
      <c r="G88" s="123">
        <v>33</v>
      </c>
      <c r="H88" s="123">
        <v>3938</v>
      </c>
      <c r="I88" s="123">
        <v>0</v>
      </c>
      <c r="J88" s="125">
        <v>0</v>
      </c>
      <c r="K88" s="125">
        <v>0</v>
      </c>
      <c r="L88" s="125">
        <v>0</v>
      </c>
      <c r="M88" s="127">
        <v>0</v>
      </c>
      <c r="N88" s="127">
        <v>0</v>
      </c>
      <c r="O88" s="127">
        <v>0</v>
      </c>
      <c r="P88" s="129">
        <v>0</v>
      </c>
      <c r="Q88" s="129">
        <v>229</v>
      </c>
      <c r="R88" s="129">
        <v>0</v>
      </c>
      <c r="S88" s="125">
        <v>55812</v>
      </c>
      <c r="T88" s="125">
        <v>1870</v>
      </c>
      <c r="U88" s="125">
        <v>1055</v>
      </c>
      <c r="V88" s="136">
        <v>503</v>
      </c>
      <c r="W88" s="136">
        <v>31773</v>
      </c>
      <c r="X88" s="136">
        <v>573</v>
      </c>
      <c r="Y88" s="137">
        <v>0</v>
      </c>
      <c r="Z88" s="137">
        <v>432</v>
      </c>
      <c r="AA88" s="137">
        <v>0</v>
      </c>
      <c r="AB88" s="141">
        <v>2</v>
      </c>
      <c r="AC88" s="141">
        <v>768</v>
      </c>
      <c r="AD88" s="141">
        <v>9</v>
      </c>
    </row>
    <row r="89" spans="1:30" ht="14.25">
      <c r="A89">
        <v>244</v>
      </c>
      <c r="B89" s="121" t="s">
        <v>225</v>
      </c>
      <c r="C89" s="120">
        <v>21087</v>
      </c>
      <c r="D89" s="120">
        <v>0</v>
      </c>
      <c r="E89" s="120">
        <v>283</v>
      </c>
      <c r="F89" s="120">
        <v>3803</v>
      </c>
      <c r="G89" s="123">
        <v>412</v>
      </c>
      <c r="H89" s="123">
        <v>4245</v>
      </c>
      <c r="I89" s="123">
        <v>0</v>
      </c>
      <c r="J89" s="125">
        <v>0</v>
      </c>
      <c r="K89" s="125">
        <v>0</v>
      </c>
      <c r="L89" s="125">
        <v>0</v>
      </c>
      <c r="M89" s="127">
        <v>0</v>
      </c>
      <c r="N89" s="127">
        <v>0</v>
      </c>
      <c r="O89" s="127">
        <v>0</v>
      </c>
      <c r="P89" s="129">
        <v>901</v>
      </c>
      <c r="Q89" s="129">
        <v>1237</v>
      </c>
      <c r="R89" s="129">
        <v>0</v>
      </c>
      <c r="S89" s="125">
        <v>100000</v>
      </c>
      <c r="T89" s="125">
        <v>5078</v>
      </c>
      <c r="U89" s="125">
        <v>3803</v>
      </c>
      <c r="V89" s="136">
        <v>2006</v>
      </c>
      <c r="W89" s="136">
        <v>46042</v>
      </c>
      <c r="X89" s="136">
        <v>1043</v>
      </c>
      <c r="Y89" s="137">
        <v>0</v>
      </c>
      <c r="Z89" s="137">
        <v>76</v>
      </c>
      <c r="AA89" s="137">
        <v>0</v>
      </c>
      <c r="AB89" s="141">
        <v>412</v>
      </c>
      <c r="AC89" s="141">
        <v>1498</v>
      </c>
      <c r="AD89" s="141">
        <v>42</v>
      </c>
    </row>
    <row r="90" spans="1:30" ht="14.25">
      <c r="A90">
        <v>245</v>
      </c>
      <c r="B90" s="121" t="s">
        <v>226</v>
      </c>
      <c r="C90" s="120">
        <v>65584</v>
      </c>
      <c r="D90" s="120">
        <v>0</v>
      </c>
      <c r="E90" s="120">
        <v>226</v>
      </c>
      <c r="F90" s="120">
        <v>0</v>
      </c>
      <c r="G90" s="123">
        <v>914</v>
      </c>
      <c r="H90" s="123">
        <v>13530</v>
      </c>
      <c r="I90" s="123">
        <v>0</v>
      </c>
      <c r="J90" s="125">
        <v>0</v>
      </c>
      <c r="K90" s="125">
        <v>0</v>
      </c>
      <c r="L90" s="125">
        <v>0</v>
      </c>
      <c r="M90" s="127">
        <v>0</v>
      </c>
      <c r="N90" s="127">
        <v>0</v>
      </c>
      <c r="O90" s="127">
        <v>0</v>
      </c>
      <c r="P90" s="129">
        <v>0</v>
      </c>
      <c r="Q90" s="129">
        <v>0</v>
      </c>
      <c r="R90" s="129">
        <v>0</v>
      </c>
      <c r="S90" s="125">
        <v>220710</v>
      </c>
      <c r="T90" s="125">
        <v>11138</v>
      </c>
      <c r="U90" s="125">
        <v>0</v>
      </c>
      <c r="V90" s="136">
        <v>1699</v>
      </c>
      <c r="W90" s="136">
        <v>109798</v>
      </c>
      <c r="X90" s="136">
        <v>2708</v>
      </c>
      <c r="Y90" s="137">
        <v>14</v>
      </c>
      <c r="Z90" s="137">
        <v>810</v>
      </c>
      <c r="AA90" s="137">
        <v>21</v>
      </c>
      <c r="AB90" s="141">
        <v>0</v>
      </c>
      <c r="AC90" s="141">
        <v>0</v>
      </c>
      <c r="AD90" s="141">
        <v>0</v>
      </c>
    </row>
    <row r="91" spans="1:30" ht="14.25">
      <c r="A91">
        <v>249</v>
      </c>
      <c r="B91" s="121" t="s">
        <v>227</v>
      </c>
      <c r="C91" s="120">
        <v>25538</v>
      </c>
      <c r="D91" s="120">
        <v>0</v>
      </c>
      <c r="E91" s="120">
        <v>0</v>
      </c>
      <c r="F91" s="120">
        <v>886</v>
      </c>
      <c r="G91" s="123">
        <v>583</v>
      </c>
      <c r="H91" s="123">
        <v>5501</v>
      </c>
      <c r="I91" s="123">
        <v>0</v>
      </c>
      <c r="J91" s="125">
        <v>0</v>
      </c>
      <c r="K91" s="125">
        <v>0</v>
      </c>
      <c r="L91" s="125">
        <v>0</v>
      </c>
      <c r="M91" s="127">
        <v>0</v>
      </c>
      <c r="N91" s="127">
        <v>0</v>
      </c>
      <c r="O91" s="127">
        <v>0</v>
      </c>
      <c r="P91" s="129">
        <v>0</v>
      </c>
      <c r="Q91" s="129">
        <v>0</v>
      </c>
      <c r="R91" s="129">
        <v>0</v>
      </c>
      <c r="S91" s="125">
        <v>79898</v>
      </c>
      <c r="T91" s="125">
        <v>4119</v>
      </c>
      <c r="U91" s="125">
        <v>880</v>
      </c>
      <c r="V91" s="136">
        <v>1318</v>
      </c>
      <c r="W91" s="136">
        <v>40802</v>
      </c>
      <c r="X91" s="136">
        <v>837</v>
      </c>
      <c r="Y91" s="137">
        <v>5</v>
      </c>
      <c r="Z91" s="137">
        <v>59</v>
      </c>
      <c r="AA91" s="137">
        <v>0</v>
      </c>
      <c r="AB91" s="141">
        <v>38</v>
      </c>
      <c r="AC91" s="141">
        <v>335</v>
      </c>
      <c r="AD91" s="141">
        <v>0</v>
      </c>
    </row>
    <row r="92" spans="1:30" ht="14.25">
      <c r="A92">
        <v>250</v>
      </c>
      <c r="B92" s="121" t="s">
        <v>228</v>
      </c>
      <c r="C92" s="120">
        <v>2517</v>
      </c>
      <c r="D92" s="120">
        <v>0</v>
      </c>
      <c r="E92" s="120">
        <v>0</v>
      </c>
      <c r="F92" s="120">
        <v>0</v>
      </c>
      <c r="G92" s="123">
        <v>13</v>
      </c>
      <c r="H92" s="123">
        <v>586</v>
      </c>
      <c r="I92" s="123">
        <v>0</v>
      </c>
      <c r="J92" s="125">
        <v>0</v>
      </c>
      <c r="K92" s="125">
        <v>0</v>
      </c>
      <c r="L92" s="125">
        <v>0</v>
      </c>
      <c r="M92" s="127">
        <v>0</v>
      </c>
      <c r="N92" s="127">
        <v>0</v>
      </c>
      <c r="O92" s="127">
        <v>0</v>
      </c>
      <c r="P92" s="129">
        <v>0</v>
      </c>
      <c r="Q92" s="129">
        <v>0</v>
      </c>
      <c r="R92" s="129">
        <v>0</v>
      </c>
      <c r="S92" s="125">
        <v>14868</v>
      </c>
      <c r="T92" s="125">
        <v>807</v>
      </c>
      <c r="U92" s="125">
        <v>0</v>
      </c>
      <c r="V92" s="136">
        <v>29</v>
      </c>
      <c r="W92" s="136">
        <v>9146</v>
      </c>
      <c r="X92" s="136">
        <v>148</v>
      </c>
      <c r="Y92" s="137">
        <v>0</v>
      </c>
      <c r="Z92" s="137">
        <v>111</v>
      </c>
      <c r="AA92" s="137">
        <v>0</v>
      </c>
      <c r="AB92" s="141">
        <v>0</v>
      </c>
      <c r="AC92" s="141">
        <v>0</v>
      </c>
      <c r="AD92" s="141">
        <v>0</v>
      </c>
    </row>
    <row r="93" spans="1:30" ht="14.25">
      <c r="A93">
        <v>256</v>
      </c>
      <c r="B93" s="121" t="s">
        <v>229</v>
      </c>
      <c r="C93" s="120">
        <v>4272</v>
      </c>
      <c r="D93" s="120">
        <v>0</v>
      </c>
      <c r="E93" s="120">
        <v>1</v>
      </c>
      <c r="F93" s="120">
        <v>328</v>
      </c>
      <c r="G93" s="123">
        <v>0</v>
      </c>
      <c r="H93" s="123">
        <v>1023</v>
      </c>
      <c r="I93" s="123">
        <v>41</v>
      </c>
      <c r="J93" s="125">
        <v>0</v>
      </c>
      <c r="K93" s="125">
        <v>0</v>
      </c>
      <c r="L93" s="125">
        <v>0</v>
      </c>
      <c r="M93" s="127">
        <v>0</v>
      </c>
      <c r="N93" s="127">
        <v>0</v>
      </c>
      <c r="O93" s="127">
        <v>0</v>
      </c>
      <c r="P93" s="129">
        <v>0</v>
      </c>
      <c r="Q93" s="129">
        <v>77</v>
      </c>
      <c r="R93" s="129">
        <v>0</v>
      </c>
      <c r="S93" s="125">
        <v>15141</v>
      </c>
      <c r="T93" s="125">
        <v>793</v>
      </c>
      <c r="U93" s="125">
        <v>326</v>
      </c>
      <c r="V93" s="136">
        <v>0</v>
      </c>
      <c r="W93" s="136">
        <v>7954</v>
      </c>
      <c r="X93" s="136">
        <v>164</v>
      </c>
      <c r="Y93" s="137">
        <v>0</v>
      </c>
      <c r="Z93" s="137">
        <v>7</v>
      </c>
      <c r="AA93" s="137">
        <v>9</v>
      </c>
      <c r="AB93" s="141">
        <v>0</v>
      </c>
      <c r="AC93" s="141">
        <v>138</v>
      </c>
      <c r="AD93" s="141">
        <v>2</v>
      </c>
    </row>
    <row r="94" spans="1:30" ht="14.25">
      <c r="A94">
        <v>257</v>
      </c>
      <c r="B94" s="121" t="s">
        <v>230</v>
      </c>
      <c r="C94" s="120">
        <v>62677</v>
      </c>
      <c r="D94" s="120">
        <v>0</v>
      </c>
      <c r="E94" s="120">
        <v>0</v>
      </c>
      <c r="F94" s="120">
        <v>6642</v>
      </c>
      <c r="G94" s="123">
        <v>441</v>
      </c>
      <c r="H94" s="123">
        <v>9975</v>
      </c>
      <c r="I94" s="123">
        <v>0</v>
      </c>
      <c r="J94" s="125">
        <v>0</v>
      </c>
      <c r="K94" s="125">
        <v>0</v>
      </c>
      <c r="L94" s="125">
        <v>0</v>
      </c>
      <c r="M94" s="127">
        <v>0</v>
      </c>
      <c r="N94" s="127">
        <v>0</v>
      </c>
      <c r="O94" s="127">
        <v>0</v>
      </c>
      <c r="P94" s="129">
        <v>59</v>
      </c>
      <c r="Q94" s="129">
        <v>1657</v>
      </c>
      <c r="R94" s="129">
        <v>0</v>
      </c>
      <c r="S94" s="125">
        <v>249329</v>
      </c>
      <c r="T94" s="125">
        <v>12953</v>
      </c>
      <c r="U94" s="125">
        <v>6644</v>
      </c>
      <c r="V94" s="136">
        <v>3397</v>
      </c>
      <c r="W94" s="136">
        <v>108784</v>
      </c>
      <c r="X94" s="136">
        <v>2453</v>
      </c>
      <c r="Y94" s="137">
        <v>2</v>
      </c>
      <c r="Z94" s="137">
        <v>226</v>
      </c>
      <c r="AA94" s="137">
        <v>-9</v>
      </c>
      <c r="AB94" s="141">
        <v>44</v>
      </c>
      <c r="AC94" s="141">
        <v>2108</v>
      </c>
      <c r="AD94" s="141">
        <v>173</v>
      </c>
    </row>
    <row r="95" spans="1:30" ht="14.25">
      <c r="A95">
        <v>260</v>
      </c>
      <c r="B95" s="121" t="s">
        <v>231</v>
      </c>
      <c r="C95" s="120">
        <v>20654</v>
      </c>
      <c r="D95" s="120">
        <v>0</v>
      </c>
      <c r="E95" s="120">
        <v>0</v>
      </c>
      <c r="F95" s="120">
        <v>0</v>
      </c>
      <c r="G95" s="123">
        <v>90</v>
      </c>
      <c r="H95" s="123">
        <v>6100</v>
      </c>
      <c r="I95" s="123">
        <v>0</v>
      </c>
      <c r="J95" s="125">
        <v>0</v>
      </c>
      <c r="K95" s="125">
        <v>0</v>
      </c>
      <c r="L95" s="125">
        <v>0</v>
      </c>
      <c r="M95" s="127">
        <v>0</v>
      </c>
      <c r="N95" s="127">
        <v>0</v>
      </c>
      <c r="O95" s="127">
        <v>0</v>
      </c>
      <c r="P95" s="129">
        <v>0</v>
      </c>
      <c r="Q95" s="129">
        <v>0</v>
      </c>
      <c r="R95" s="129">
        <v>0</v>
      </c>
      <c r="S95" s="125">
        <v>84504</v>
      </c>
      <c r="T95" s="125">
        <v>2890</v>
      </c>
      <c r="U95" s="125">
        <v>0</v>
      </c>
      <c r="V95" s="136">
        <v>867</v>
      </c>
      <c r="W95" s="136">
        <v>49955</v>
      </c>
      <c r="X95" s="136">
        <v>834</v>
      </c>
      <c r="Y95" s="137">
        <v>0</v>
      </c>
      <c r="Z95" s="137">
        <v>119</v>
      </c>
      <c r="AA95" s="137">
        <v>0</v>
      </c>
      <c r="AB95" s="141">
        <v>0</v>
      </c>
      <c r="AC95" s="141">
        <v>0</v>
      </c>
      <c r="AD95" s="141">
        <v>0</v>
      </c>
    </row>
    <row r="96" spans="1:30" ht="14.25">
      <c r="A96">
        <v>261</v>
      </c>
      <c r="B96" s="121" t="s">
        <v>232</v>
      </c>
      <c r="C96" s="120">
        <v>13697</v>
      </c>
      <c r="D96" s="120">
        <v>0</v>
      </c>
      <c r="E96" s="120">
        <v>0</v>
      </c>
      <c r="F96" s="120">
        <v>677</v>
      </c>
      <c r="G96" s="123">
        <v>181</v>
      </c>
      <c r="H96" s="123">
        <v>2572</v>
      </c>
      <c r="I96" s="123">
        <v>0</v>
      </c>
      <c r="J96" s="125">
        <v>0</v>
      </c>
      <c r="K96" s="125">
        <v>0</v>
      </c>
      <c r="L96" s="125">
        <v>0</v>
      </c>
      <c r="M96" s="127">
        <v>0</v>
      </c>
      <c r="N96" s="127">
        <v>0</v>
      </c>
      <c r="O96" s="127">
        <v>0</v>
      </c>
      <c r="P96" s="129">
        <v>0</v>
      </c>
      <c r="Q96" s="129">
        <v>0</v>
      </c>
      <c r="R96" s="129">
        <v>0</v>
      </c>
      <c r="S96" s="125">
        <v>59283</v>
      </c>
      <c r="T96" s="125">
        <v>2595</v>
      </c>
      <c r="U96" s="125">
        <v>677</v>
      </c>
      <c r="V96" s="136">
        <v>758</v>
      </c>
      <c r="W96" s="136">
        <v>28755</v>
      </c>
      <c r="X96" s="136">
        <v>833</v>
      </c>
      <c r="Y96" s="137">
        <v>0</v>
      </c>
      <c r="Z96" s="137">
        <v>144</v>
      </c>
      <c r="AA96" s="137">
        <v>0</v>
      </c>
      <c r="AB96" s="141">
        <v>0</v>
      </c>
      <c r="AC96" s="141">
        <v>252</v>
      </c>
      <c r="AD96" s="141">
        <v>0</v>
      </c>
    </row>
    <row r="97" spans="1:30" ht="14.25">
      <c r="A97">
        <v>263</v>
      </c>
      <c r="B97" s="121" t="s">
        <v>233</v>
      </c>
      <c r="C97" s="120">
        <v>10805</v>
      </c>
      <c r="D97" s="120">
        <v>0</v>
      </c>
      <c r="E97" s="120">
        <v>61</v>
      </c>
      <c r="F97" s="120">
        <v>564</v>
      </c>
      <c r="G97" s="123">
        <v>0</v>
      </c>
      <c r="H97" s="123">
        <v>186</v>
      </c>
      <c r="I97" s="123">
        <v>0</v>
      </c>
      <c r="J97" s="125">
        <v>0</v>
      </c>
      <c r="K97" s="125">
        <v>0</v>
      </c>
      <c r="L97" s="125">
        <v>0</v>
      </c>
      <c r="M97" s="127">
        <v>0</v>
      </c>
      <c r="N97" s="127">
        <v>0</v>
      </c>
      <c r="O97" s="127">
        <v>0</v>
      </c>
      <c r="P97" s="129">
        <v>0</v>
      </c>
      <c r="Q97" s="129">
        <v>0</v>
      </c>
      <c r="R97" s="129">
        <v>0</v>
      </c>
      <c r="S97" s="125">
        <v>63422</v>
      </c>
      <c r="T97" s="125">
        <v>3801</v>
      </c>
      <c r="U97" s="125">
        <v>563</v>
      </c>
      <c r="V97" s="136">
        <v>124</v>
      </c>
      <c r="W97" s="136">
        <v>35043</v>
      </c>
      <c r="X97" s="136">
        <v>678</v>
      </c>
      <c r="Y97" s="137">
        <v>0</v>
      </c>
      <c r="Z97" s="137">
        <v>4</v>
      </c>
      <c r="AA97" s="137">
        <v>0</v>
      </c>
      <c r="AB97" s="141">
        <v>0</v>
      </c>
      <c r="AC97" s="141">
        <v>3</v>
      </c>
      <c r="AD97" s="141">
        <v>0</v>
      </c>
    </row>
    <row r="98" spans="1:30" ht="14.25">
      <c r="A98">
        <v>265</v>
      </c>
      <c r="B98" s="121" t="s">
        <v>234</v>
      </c>
      <c r="C98" s="120">
        <v>2386</v>
      </c>
      <c r="D98" s="120">
        <v>0</v>
      </c>
      <c r="E98" s="120">
        <v>0</v>
      </c>
      <c r="F98" s="120">
        <v>0</v>
      </c>
      <c r="G98" s="123">
        <v>0</v>
      </c>
      <c r="H98" s="123">
        <v>19</v>
      </c>
      <c r="I98" s="123">
        <v>1</v>
      </c>
      <c r="J98" s="125">
        <v>0</v>
      </c>
      <c r="K98" s="125">
        <v>0</v>
      </c>
      <c r="L98" s="125">
        <v>0</v>
      </c>
      <c r="M98" s="127">
        <v>0</v>
      </c>
      <c r="N98" s="127">
        <v>0</v>
      </c>
      <c r="O98" s="127">
        <v>0</v>
      </c>
      <c r="P98" s="129">
        <v>0</v>
      </c>
      <c r="Q98" s="129">
        <v>0</v>
      </c>
      <c r="R98" s="129">
        <v>0</v>
      </c>
      <c r="S98" s="125">
        <v>10700</v>
      </c>
      <c r="T98" s="125">
        <v>476</v>
      </c>
      <c r="U98" s="125">
        <v>0</v>
      </c>
      <c r="V98" s="136">
        <v>53</v>
      </c>
      <c r="W98" s="136">
        <v>6055</v>
      </c>
      <c r="X98" s="136">
        <v>108</v>
      </c>
      <c r="Y98" s="137">
        <v>0</v>
      </c>
      <c r="Z98" s="137">
        <v>0</v>
      </c>
      <c r="AA98" s="137">
        <v>1</v>
      </c>
      <c r="AB98" s="141">
        <v>0</v>
      </c>
      <c r="AC98" s="141">
        <v>0</v>
      </c>
      <c r="AD98" s="141">
        <v>0</v>
      </c>
    </row>
    <row r="99" spans="1:30" ht="14.25">
      <c r="A99">
        <v>271</v>
      </c>
      <c r="B99" s="121" t="s">
        <v>235</v>
      </c>
      <c r="C99" s="120">
        <v>5866</v>
      </c>
      <c r="D99" s="120">
        <v>0</v>
      </c>
      <c r="E99" s="120">
        <v>0</v>
      </c>
      <c r="F99" s="120">
        <v>574</v>
      </c>
      <c r="G99" s="123">
        <v>141</v>
      </c>
      <c r="H99" s="123">
        <v>2294</v>
      </c>
      <c r="I99" s="123">
        <v>246</v>
      </c>
      <c r="J99" s="125">
        <v>0</v>
      </c>
      <c r="K99" s="125">
        <v>0</v>
      </c>
      <c r="L99" s="125">
        <v>0</v>
      </c>
      <c r="M99" s="127">
        <v>0</v>
      </c>
      <c r="N99" s="127">
        <v>0</v>
      </c>
      <c r="O99" s="127">
        <v>0</v>
      </c>
      <c r="P99" s="129">
        <v>0</v>
      </c>
      <c r="Q99" s="129">
        <v>0</v>
      </c>
      <c r="R99" s="129">
        <v>0</v>
      </c>
      <c r="S99" s="125">
        <v>49023</v>
      </c>
      <c r="T99" s="125">
        <v>1677</v>
      </c>
      <c r="U99" s="125">
        <v>574</v>
      </c>
      <c r="V99" s="136">
        <v>1259</v>
      </c>
      <c r="W99" s="136">
        <v>30334</v>
      </c>
      <c r="X99" s="136">
        <v>872</v>
      </c>
      <c r="Y99" s="137">
        <v>1</v>
      </c>
      <c r="Z99" s="137">
        <v>68</v>
      </c>
      <c r="AA99" s="137">
        <v>28</v>
      </c>
      <c r="AB99" s="141">
        <v>6</v>
      </c>
      <c r="AC99" s="141">
        <v>179</v>
      </c>
      <c r="AD99" s="141">
        <v>0</v>
      </c>
    </row>
    <row r="100" spans="1:30" ht="14.25">
      <c r="A100">
        <v>272</v>
      </c>
      <c r="B100" s="121" t="s">
        <v>236</v>
      </c>
      <c r="C100" s="120">
        <v>148533</v>
      </c>
      <c r="D100" s="120">
        <v>0</v>
      </c>
      <c r="E100" s="120">
        <v>1528</v>
      </c>
      <c r="F100" s="120">
        <v>3106</v>
      </c>
      <c r="G100" s="123">
        <v>656</v>
      </c>
      <c r="H100" s="123">
        <v>53295</v>
      </c>
      <c r="I100" s="123">
        <v>8938</v>
      </c>
      <c r="J100" s="125">
        <v>0</v>
      </c>
      <c r="K100" s="125">
        <v>0</v>
      </c>
      <c r="L100" s="125">
        <v>0</v>
      </c>
      <c r="M100" s="127">
        <v>0</v>
      </c>
      <c r="N100" s="127">
        <v>0</v>
      </c>
      <c r="O100" s="127">
        <v>0</v>
      </c>
      <c r="P100" s="129">
        <v>0</v>
      </c>
      <c r="Q100" s="129">
        <v>0</v>
      </c>
      <c r="R100" s="129">
        <v>0</v>
      </c>
      <c r="S100" s="125">
        <v>402248</v>
      </c>
      <c r="T100" s="125">
        <v>15319</v>
      </c>
      <c r="U100" s="125">
        <v>3106</v>
      </c>
      <c r="V100" s="136">
        <v>1155</v>
      </c>
      <c r="W100" s="136">
        <v>209478</v>
      </c>
      <c r="X100" s="136">
        <v>12149</v>
      </c>
      <c r="Y100" s="137">
        <v>0</v>
      </c>
      <c r="Z100" s="137">
        <v>710</v>
      </c>
      <c r="AA100" s="137">
        <v>213</v>
      </c>
      <c r="AB100" s="141">
        <v>11</v>
      </c>
      <c r="AC100" s="141">
        <v>1348</v>
      </c>
      <c r="AD100" s="141">
        <v>137</v>
      </c>
    </row>
    <row r="101" spans="1:30" ht="14.25">
      <c r="A101">
        <v>273</v>
      </c>
      <c r="B101" s="121" t="s">
        <v>237</v>
      </c>
      <c r="C101" s="120">
        <v>9396</v>
      </c>
      <c r="D101" s="120">
        <v>0</v>
      </c>
      <c r="E101" s="120">
        <v>0</v>
      </c>
      <c r="F101" s="120">
        <v>0</v>
      </c>
      <c r="G101" s="123">
        <v>14</v>
      </c>
      <c r="H101" s="123">
        <v>2077</v>
      </c>
      <c r="I101" s="123">
        <v>0</v>
      </c>
      <c r="J101" s="125">
        <v>0</v>
      </c>
      <c r="K101" s="125">
        <v>0</v>
      </c>
      <c r="L101" s="125">
        <v>0</v>
      </c>
      <c r="M101" s="127">
        <v>0</v>
      </c>
      <c r="N101" s="127">
        <v>0</v>
      </c>
      <c r="O101" s="127">
        <v>0</v>
      </c>
      <c r="P101" s="129">
        <v>0</v>
      </c>
      <c r="Q101" s="129">
        <v>0</v>
      </c>
      <c r="R101" s="129">
        <v>0</v>
      </c>
      <c r="S101" s="125">
        <v>32592</v>
      </c>
      <c r="T101" s="125">
        <v>1609</v>
      </c>
      <c r="U101" s="125">
        <v>0</v>
      </c>
      <c r="V101" s="136">
        <v>197</v>
      </c>
      <c r="W101" s="136">
        <v>17078</v>
      </c>
      <c r="X101" s="136">
        <v>477</v>
      </c>
      <c r="Y101" s="137">
        <v>0</v>
      </c>
      <c r="Z101" s="137">
        <v>334</v>
      </c>
      <c r="AA101" s="137">
        <v>0</v>
      </c>
      <c r="AB101" s="141">
        <v>0</v>
      </c>
      <c r="AC101" s="141">
        <v>0</v>
      </c>
      <c r="AD101" s="141">
        <v>0</v>
      </c>
    </row>
    <row r="102" spans="1:30" ht="14.25">
      <c r="A102">
        <v>275</v>
      </c>
      <c r="B102" s="121" t="s">
        <v>238</v>
      </c>
      <c r="C102" s="120">
        <v>4049</v>
      </c>
      <c r="D102" s="120">
        <v>0</v>
      </c>
      <c r="E102" s="120">
        <v>0</v>
      </c>
      <c r="F102" s="120">
        <v>846</v>
      </c>
      <c r="G102" s="123">
        <v>17</v>
      </c>
      <c r="H102" s="123">
        <v>1078</v>
      </c>
      <c r="I102" s="123">
        <v>0</v>
      </c>
      <c r="J102" s="125">
        <v>0</v>
      </c>
      <c r="K102" s="125">
        <v>0</v>
      </c>
      <c r="L102" s="125">
        <v>0</v>
      </c>
      <c r="M102" s="127">
        <v>0</v>
      </c>
      <c r="N102" s="127">
        <v>0</v>
      </c>
      <c r="O102" s="127">
        <v>0</v>
      </c>
      <c r="P102" s="129">
        <v>0</v>
      </c>
      <c r="Q102" s="129">
        <v>0</v>
      </c>
      <c r="R102" s="129">
        <v>0</v>
      </c>
      <c r="S102" s="125">
        <v>23333</v>
      </c>
      <c r="T102" s="125">
        <v>702</v>
      </c>
      <c r="U102" s="125">
        <v>846</v>
      </c>
      <c r="V102" s="136">
        <v>156</v>
      </c>
      <c r="W102" s="136">
        <v>14409</v>
      </c>
      <c r="X102" s="136">
        <v>235</v>
      </c>
      <c r="Y102" s="137">
        <v>0</v>
      </c>
      <c r="Z102" s="137">
        <v>0</v>
      </c>
      <c r="AA102" s="137">
        <v>0</v>
      </c>
      <c r="AB102" s="141">
        <v>3</v>
      </c>
      <c r="AC102" s="141">
        <v>76</v>
      </c>
      <c r="AD102" s="141">
        <v>0</v>
      </c>
    </row>
    <row r="103" spans="1:30" ht="14.25">
      <c r="A103">
        <v>276</v>
      </c>
      <c r="B103" s="121" t="s">
        <v>239</v>
      </c>
      <c r="C103" s="120">
        <v>22737</v>
      </c>
      <c r="D103" s="120">
        <v>0</v>
      </c>
      <c r="E103" s="120">
        <v>0</v>
      </c>
      <c r="F103" s="120">
        <v>279</v>
      </c>
      <c r="G103" s="123">
        <v>0</v>
      </c>
      <c r="H103" s="123">
        <v>1231</v>
      </c>
      <c r="I103" s="123">
        <v>0</v>
      </c>
      <c r="J103" s="125">
        <v>0</v>
      </c>
      <c r="K103" s="125">
        <v>0</v>
      </c>
      <c r="L103" s="125">
        <v>0</v>
      </c>
      <c r="M103" s="127">
        <v>0</v>
      </c>
      <c r="N103" s="127">
        <v>0</v>
      </c>
      <c r="O103" s="127">
        <v>0</v>
      </c>
      <c r="P103" s="129">
        <v>0</v>
      </c>
      <c r="Q103" s="129">
        <v>0</v>
      </c>
      <c r="R103" s="129">
        <v>0</v>
      </c>
      <c r="S103" s="125">
        <v>87971</v>
      </c>
      <c r="T103" s="125">
        <v>4213</v>
      </c>
      <c r="U103" s="125">
        <v>277</v>
      </c>
      <c r="V103" s="136">
        <v>912</v>
      </c>
      <c r="W103" s="136">
        <v>38353</v>
      </c>
      <c r="X103" s="136">
        <v>1087</v>
      </c>
      <c r="Y103" s="137">
        <v>0</v>
      </c>
      <c r="Z103" s="137">
        <v>57</v>
      </c>
      <c r="AA103" s="137">
        <v>0</v>
      </c>
      <c r="AB103" s="141">
        <v>0</v>
      </c>
      <c r="AC103" s="141">
        <v>8</v>
      </c>
      <c r="AD103" s="141">
        <v>0</v>
      </c>
    </row>
    <row r="104" spans="1:30" ht="14.25">
      <c r="A104">
        <v>280</v>
      </c>
      <c r="B104" s="121" t="s">
        <v>240</v>
      </c>
      <c r="C104" s="120">
        <v>3356</v>
      </c>
      <c r="D104" s="120">
        <v>0</v>
      </c>
      <c r="E104" s="120">
        <v>0</v>
      </c>
      <c r="F104" s="120">
        <v>221</v>
      </c>
      <c r="G104" s="123">
        <v>1</v>
      </c>
      <c r="H104" s="123">
        <v>943</v>
      </c>
      <c r="I104" s="123">
        <v>1</v>
      </c>
      <c r="J104" s="125">
        <v>0</v>
      </c>
      <c r="K104" s="125">
        <v>0</v>
      </c>
      <c r="L104" s="125">
        <v>0</v>
      </c>
      <c r="M104" s="127">
        <v>0</v>
      </c>
      <c r="N104" s="127">
        <v>0</v>
      </c>
      <c r="O104" s="127">
        <v>0</v>
      </c>
      <c r="P104" s="129">
        <v>0</v>
      </c>
      <c r="Q104" s="129">
        <v>0</v>
      </c>
      <c r="R104" s="129">
        <v>0</v>
      </c>
      <c r="S104" s="125">
        <v>15981</v>
      </c>
      <c r="T104" s="125">
        <v>937</v>
      </c>
      <c r="U104" s="125">
        <v>221</v>
      </c>
      <c r="V104" s="136">
        <v>29</v>
      </c>
      <c r="W104" s="136">
        <v>8618</v>
      </c>
      <c r="X104" s="136">
        <v>157</v>
      </c>
      <c r="Y104" s="137">
        <v>0</v>
      </c>
      <c r="Z104" s="137">
        <v>113</v>
      </c>
      <c r="AA104" s="137">
        <v>0</v>
      </c>
      <c r="AB104" s="141">
        <v>0</v>
      </c>
      <c r="AC104" s="141">
        <v>38</v>
      </c>
      <c r="AD104" s="141">
        <v>0</v>
      </c>
    </row>
    <row r="105" spans="1:30" ht="14.25">
      <c r="A105">
        <v>283</v>
      </c>
      <c r="B105" s="121" t="s">
        <v>525</v>
      </c>
      <c r="C105" s="120">
        <v>2322</v>
      </c>
      <c r="D105" s="120">
        <v>0</v>
      </c>
      <c r="E105" s="120">
        <v>0</v>
      </c>
      <c r="F105" s="120">
        <v>0</v>
      </c>
      <c r="G105" s="123">
        <v>0</v>
      </c>
      <c r="H105" s="123">
        <v>43</v>
      </c>
      <c r="I105" s="123">
        <v>0</v>
      </c>
      <c r="J105" s="125">
        <v>0</v>
      </c>
      <c r="K105" s="125">
        <v>0</v>
      </c>
      <c r="L105" s="125">
        <v>0</v>
      </c>
      <c r="M105" s="127">
        <v>0</v>
      </c>
      <c r="N105" s="127">
        <v>0</v>
      </c>
      <c r="O105" s="127">
        <v>0</v>
      </c>
      <c r="P105" s="129">
        <v>0</v>
      </c>
      <c r="Q105" s="129">
        <v>0</v>
      </c>
      <c r="R105" s="129">
        <v>0</v>
      </c>
      <c r="S105" s="125">
        <v>13669</v>
      </c>
      <c r="T105" s="125">
        <v>992</v>
      </c>
      <c r="U105" s="125">
        <v>0</v>
      </c>
      <c r="V105" s="136">
        <v>137</v>
      </c>
      <c r="W105" s="136">
        <v>7609</v>
      </c>
      <c r="X105" s="136">
        <v>178</v>
      </c>
      <c r="Y105" s="137">
        <v>0</v>
      </c>
      <c r="Z105" s="137">
        <v>0</v>
      </c>
      <c r="AA105" s="137">
        <v>0</v>
      </c>
      <c r="AB105" s="141">
        <v>0</v>
      </c>
      <c r="AC105" s="141">
        <v>0</v>
      </c>
      <c r="AD105" s="141">
        <v>0</v>
      </c>
    </row>
    <row r="106" spans="1:30" ht="14.25">
      <c r="A106">
        <v>284</v>
      </c>
      <c r="B106" s="121" t="s">
        <v>241</v>
      </c>
      <c r="C106" s="120">
        <v>3276</v>
      </c>
      <c r="D106" s="120">
        <v>0</v>
      </c>
      <c r="E106" s="120">
        <v>0</v>
      </c>
      <c r="F106" s="120">
        <v>1538</v>
      </c>
      <c r="G106" s="123">
        <v>52</v>
      </c>
      <c r="H106" s="123">
        <v>873</v>
      </c>
      <c r="I106" s="123">
        <v>0</v>
      </c>
      <c r="J106" s="125">
        <v>0</v>
      </c>
      <c r="K106" s="125">
        <v>0</v>
      </c>
      <c r="L106" s="125">
        <v>0</v>
      </c>
      <c r="M106" s="127">
        <v>0</v>
      </c>
      <c r="N106" s="127">
        <v>0</v>
      </c>
      <c r="O106" s="127">
        <v>0</v>
      </c>
      <c r="P106" s="129">
        <v>0</v>
      </c>
      <c r="Q106" s="129">
        <v>50</v>
      </c>
      <c r="R106" s="129">
        <v>0</v>
      </c>
      <c r="S106" s="125">
        <v>16689</v>
      </c>
      <c r="T106" s="125">
        <v>629</v>
      </c>
      <c r="U106" s="125">
        <v>1538</v>
      </c>
      <c r="V106" s="136">
        <v>237</v>
      </c>
      <c r="W106" s="136">
        <v>8823</v>
      </c>
      <c r="X106" s="136">
        <v>170</v>
      </c>
      <c r="Y106" s="137">
        <v>0</v>
      </c>
      <c r="Z106" s="137">
        <v>114</v>
      </c>
      <c r="AA106" s="137">
        <v>0</v>
      </c>
      <c r="AB106" s="141">
        <v>3</v>
      </c>
      <c r="AC106" s="141">
        <v>357</v>
      </c>
      <c r="AD106" s="141">
        <v>0</v>
      </c>
    </row>
    <row r="107" spans="1:30" ht="14.25">
      <c r="A107">
        <v>285</v>
      </c>
      <c r="B107" s="121" t="s">
        <v>242</v>
      </c>
      <c r="C107" s="120">
        <v>139084</v>
      </c>
      <c r="D107" s="120">
        <v>0</v>
      </c>
      <c r="E107" s="120">
        <v>1642</v>
      </c>
      <c r="F107" s="120">
        <v>112</v>
      </c>
      <c r="G107" s="123">
        <v>298</v>
      </c>
      <c r="H107" s="123">
        <v>34682</v>
      </c>
      <c r="I107" s="123">
        <v>15379</v>
      </c>
      <c r="J107" s="125">
        <v>0</v>
      </c>
      <c r="K107" s="125">
        <v>0</v>
      </c>
      <c r="L107" s="125">
        <v>0</v>
      </c>
      <c r="M107" s="127">
        <v>0</v>
      </c>
      <c r="N107" s="127">
        <v>0</v>
      </c>
      <c r="O107" s="127">
        <v>0</v>
      </c>
      <c r="P107" s="129">
        <v>0</v>
      </c>
      <c r="Q107" s="129">
        <v>0</v>
      </c>
      <c r="R107" s="129">
        <v>0</v>
      </c>
      <c r="S107" s="125">
        <v>440926</v>
      </c>
      <c r="T107" s="125">
        <v>18684</v>
      </c>
      <c r="U107" s="125">
        <v>112</v>
      </c>
      <c r="V107" s="136">
        <v>10391</v>
      </c>
      <c r="W107" s="136">
        <v>246524</v>
      </c>
      <c r="X107" s="136">
        <v>18025</v>
      </c>
      <c r="Y107" s="137">
        <v>0</v>
      </c>
      <c r="Z107" s="137">
        <v>351</v>
      </c>
      <c r="AA107" s="137">
        <v>1074</v>
      </c>
      <c r="AB107" s="141">
        <v>0</v>
      </c>
      <c r="AC107" s="141">
        <v>0</v>
      </c>
      <c r="AD107" s="141">
        <v>0</v>
      </c>
    </row>
    <row r="108" spans="1:30" ht="14.25">
      <c r="A108">
        <v>286</v>
      </c>
      <c r="B108" s="121" t="s">
        <v>243</v>
      </c>
      <c r="C108" s="120">
        <v>173560</v>
      </c>
      <c r="D108" s="120">
        <v>61</v>
      </c>
      <c r="E108" s="120">
        <v>2378</v>
      </c>
      <c r="F108" s="120">
        <v>0</v>
      </c>
      <c r="G108" s="123">
        <v>368</v>
      </c>
      <c r="H108" s="123">
        <v>39076</v>
      </c>
      <c r="I108" s="123">
        <v>0</v>
      </c>
      <c r="J108" s="125">
        <v>0</v>
      </c>
      <c r="K108" s="125">
        <v>0</v>
      </c>
      <c r="L108" s="125">
        <v>0</v>
      </c>
      <c r="M108" s="127">
        <v>0</v>
      </c>
      <c r="N108" s="127">
        <v>0</v>
      </c>
      <c r="O108" s="127">
        <v>0</v>
      </c>
      <c r="P108" s="129">
        <v>0</v>
      </c>
      <c r="Q108" s="129">
        <v>0</v>
      </c>
      <c r="R108" s="129">
        <v>0</v>
      </c>
      <c r="S108" s="125">
        <v>669462</v>
      </c>
      <c r="T108" s="125">
        <v>20923</v>
      </c>
      <c r="U108" s="125">
        <v>0</v>
      </c>
      <c r="V108" s="136">
        <v>2520</v>
      </c>
      <c r="W108" s="136">
        <v>340555</v>
      </c>
      <c r="X108" s="136">
        <v>6970</v>
      </c>
      <c r="Y108" s="137">
        <v>2</v>
      </c>
      <c r="Z108" s="137">
        <v>895</v>
      </c>
      <c r="AA108" s="137">
        <v>0</v>
      </c>
      <c r="AB108" s="141">
        <v>0</v>
      </c>
      <c r="AC108" s="141">
        <v>0</v>
      </c>
      <c r="AD108" s="141">
        <v>0</v>
      </c>
    </row>
    <row r="109" spans="1:30" ht="14.25">
      <c r="A109">
        <v>287</v>
      </c>
      <c r="B109" s="121" t="s">
        <v>244</v>
      </c>
      <c r="C109" s="120">
        <v>11790</v>
      </c>
      <c r="D109" s="120">
        <v>0</v>
      </c>
      <c r="E109" s="120">
        <v>0</v>
      </c>
      <c r="F109" s="120">
        <v>0</v>
      </c>
      <c r="G109" s="123">
        <v>217</v>
      </c>
      <c r="H109" s="123">
        <v>2799</v>
      </c>
      <c r="I109" s="123">
        <v>0</v>
      </c>
      <c r="J109" s="125">
        <v>0</v>
      </c>
      <c r="K109" s="125">
        <v>0</v>
      </c>
      <c r="L109" s="125">
        <v>0</v>
      </c>
      <c r="M109" s="127">
        <v>0</v>
      </c>
      <c r="N109" s="127">
        <v>0</v>
      </c>
      <c r="O109" s="127">
        <v>0</v>
      </c>
      <c r="P109" s="129">
        <v>0</v>
      </c>
      <c r="Q109" s="129">
        <v>0</v>
      </c>
      <c r="R109" s="129">
        <v>0</v>
      </c>
      <c r="S109" s="125">
        <v>50785</v>
      </c>
      <c r="T109" s="125">
        <v>2279</v>
      </c>
      <c r="U109" s="125">
        <v>1824</v>
      </c>
      <c r="V109" s="136">
        <v>247</v>
      </c>
      <c r="W109" s="136">
        <v>27063</v>
      </c>
      <c r="X109" s="136">
        <v>494</v>
      </c>
      <c r="Y109" s="137">
        <v>0</v>
      </c>
      <c r="Z109" s="137">
        <v>127</v>
      </c>
      <c r="AA109" s="137">
        <v>0</v>
      </c>
      <c r="AB109" s="141">
        <v>0</v>
      </c>
      <c r="AC109" s="141">
        <v>0</v>
      </c>
      <c r="AD109" s="141">
        <v>0</v>
      </c>
    </row>
    <row r="110" spans="1:30" ht="14.25">
      <c r="A110">
        <v>288</v>
      </c>
      <c r="B110" s="121" t="s">
        <v>245</v>
      </c>
      <c r="C110" s="120">
        <v>4170</v>
      </c>
      <c r="D110" s="120">
        <v>0</v>
      </c>
      <c r="E110" s="120">
        <v>0</v>
      </c>
      <c r="F110" s="120">
        <v>0</v>
      </c>
      <c r="G110" s="123">
        <v>0</v>
      </c>
      <c r="H110" s="123">
        <v>179</v>
      </c>
      <c r="I110" s="123">
        <v>0</v>
      </c>
      <c r="J110" s="125">
        <v>0</v>
      </c>
      <c r="K110" s="125">
        <v>0</v>
      </c>
      <c r="L110" s="125">
        <v>0</v>
      </c>
      <c r="M110" s="127">
        <v>0</v>
      </c>
      <c r="N110" s="127">
        <v>0</v>
      </c>
      <c r="O110" s="127">
        <v>0</v>
      </c>
      <c r="P110" s="129">
        <v>0</v>
      </c>
      <c r="Q110" s="129">
        <v>0</v>
      </c>
      <c r="R110" s="129">
        <v>0</v>
      </c>
      <c r="S110" s="125">
        <v>41923</v>
      </c>
      <c r="T110" s="125">
        <v>1090</v>
      </c>
      <c r="U110" s="125">
        <v>0</v>
      </c>
      <c r="V110" s="136">
        <v>210</v>
      </c>
      <c r="W110" s="136">
        <v>22436</v>
      </c>
      <c r="X110" s="136">
        <v>510</v>
      </c>
      <c r="Y110" s="137">
        <v>0</v>
      </c>
      <c r="Z110" s="137">
        <v>2</v>
      </c>
      <c r="AA110" s="137">
        <v>98</v>
      </c>
      <c r="AB110" s="141">
        <v>0</v>
      </c>
      <c r="AC110" s="141">
        <v>0</v>
      </c>
      <c r="AD110" s="141">
        <v>0</v>
      </c>
    </row>
    <row r="111" spans="1:30" ht="14.25">
      <c r="A111">
        <v>290</v>
      </c>
      <c r="B111" s="121" t="s">
        <v>246</v>
      </c>
      <c r="C111" s="120">
        <v>10963</v>
      </c>
      <c r="D111" s="120">
        <v>0</v>
      </c>
      <c r="E111" s="120">
        <v>0</v>
      </c>
      <c r="F111" s="120">
        <v>444</v>
      </c>
      <c r="G111" s="123">
        <v>533</v>
      </c>
      <c r="H111" s="123">
        <v>533</v>
      </c>
      <c r="I111" s="123">
        <v>0</v>
      </c>
      <c r="J111" s="125">
        <v>0</v>
      </c>
      <c r="K111" s="125">
        <v>0</v>
      </c>
      <c r="L111" s="125">
        <v>0</v>
      </c>
      <c r="M111" s="127">
        <v>0</v>
      </c>
      <c r="N111" s="127">
        <v>0</v>
      </c>
      <c r="O111" s="127">
        <v>0</v>
      </c>
      <c r="P111" s="129">
        <v>0</v>
      </c>
      <c r="Q111" s="129">
        <v>0</v>
      </c>
      <c r="R111" s="129">
        <v>0</v>
      </c>
      <c r="S111" s="125">
        <v>71408</v>
      </c>
      <c r="T111" s="125">
        <v>1920</v>
      </c>
      <c r="U111" s="125">
        <v>444</v>
      </c>
      <c r="V111" s="136">
        <v>828</v>
      </c>
      <c r="W111" s="136">
        <v>38662</v>
      </c>
      <c r="X111" s="136">
        <v>763</v>
      </c>
      <c r="Y111" s="137">
        <v>0</v>
      </c>
      <c r="Z111" s="137">
        <v>0</v>
      </c>
      <c r="AA111" s="137">
        <v>0</v>
      </c>
      <c r="AB111" s="141">
        <v>0</v>
      </c>
      <c r="AC111" s="141">
        <v>0</v>
      </c>
      <c r="AD111" s="141">
        <v>0</v>
      </c>
    </row>
    <row r="112" spans="1:30" ht="14.25">
      <c r="A112">
        <v>291</v>
      </c>
      <c r="B112" s="121" t="s">
        <v>247</v>
      </c>
      <c r="C112" s="120">
        <v>3439</v>
      </c>
      <c r="D112" s="120">
        <v>0</v>
      </c>
      <c r="E112" s="120">
        <v>0</v>
      </c>
      <c r="F112" s="120">
        <v>384</v>
      </c>
      <c r="G112" s="123">
        <v>0</v>
      </c>
      <c r="H112" s="123">
        <v>34</v>
      </c>
      <c r="I112" s="123">
        <v>30</v>
      </c>
      <c r="J112" s="125">
        <v>0</v>
      </c>
      <c r="K112" s="125">
        <v>0</v>
      </c>
      <c r="L112" s="125">
        <v>0</v>
      </c>
      <c r="M112" s="127">
        <v>0</v>
      </c>
      <c r="N112" s="127">
        <v>0</v>
      </c>
      <c r="O112" s="127">
        <v>0</v>
      </c>
      <c r="P112" s="129">
        <v>0</v>
      </c>
      <c r="Q112" s="129">
        <v>0</v>
      </c>
      <c r="R112" s="129">
        <v>0</v>
      </c>
      <c r="S112" s="125">
        <v>18900</v>
      </c>
      <c r="T112" s="125">
        <v>1113</v>
      </c>
      <c r="U112" s="125">
        <v>383</v>
      </c>
      <c r="V112" s="136">
        <v>73</v>
      </c>
      <c r="W112" s="136">
        <v>10356</v>
      </c>
      <c r="X112" s="136">
        <v>233</v>
      </c>
      <c r="Y112" s="137">
        <v>0</v>
      </c>
      <c r="Z112" s="137">
        <v>0</v>
      </c>
      <c r="AA112" s="137">
        <v>14</v>
      </c>
      <c r="AB112" s="141">
        <v>0</v>
      </c>
      <c r="AC112" s="141">
        <v>0</v>
      </c>
      <c r="AD112" s="141">
        <v>6</v>
      </c>
    </row>
    <row r="113" spans="1:30" ht="14.25">
      <c r="A113">
        <v>297</v>
      </c>
      <c r="B113" s="121" t="s">
        <v>248</v>
      </c>
      <c r="C113" s="120">
        <v>274398</v>
      </c>
      <c r="D113" s="120">
        <v>0</v>
      </c>
      <c r="E113" s="120">
        <v>15845</v>
      </c>
      <c r="F113" s="120">
        <v>2689</v>
      </c>
      <c r="G113" s="123">
        <v>1317</v>
      </c>
      <c r="H113" s="123">
        <v>51090</v>
      </c>
      <c r="I113" s="123">
        <v>17878</v>
      </c>
      <c r="J113" s="125">
        <v>0</v>
      </c>
      <c r="K113" s="125">
        <v>0</v>
      </c>
      <c r="L113" s="125">
        <v>0</v>
      </c>
      <c r="M113" s="127">
        <v>0</v>
      </c>
      <c r="N113" s="127">
        <v>0</v>
      </c>
      <c r="O113" s="127">
        <v>0</v>
      </c>
      <c r="P113" s="129">
        <v>0</v>
      </c>
      <c r="Q113" s="129">
        <v>0</v>
      </c>
      <c r="R113" s="129">
        <v>0</v>
      </c>
      <c r="S113" s="125">
        <v>852954</v>
      </c>
      <c r="T113" s="125">
        <v>50470</v>
      </c>
      <c r="U113" s="125">
        <v>2689</v>
      </c>
      <c r="V113" s="136">
        <v>14459</v>
      </c>
      <c r="W113" s="136">
        <v>432767</v>
      </c>
      <c r="X113" s="136">
        <v>23393</v>
      </c>
      <c r="Y113" s="137">
        <v>0</v>
      </c>
      <c r="Z113" s="137">
        <v>571</v>
      </c>
      <c r="AA113" s="137">
        <v>792</v>
      </c>
      <c r="AB113" s="141">
        <v>26</v>
      </c>
      <c r="AC113" s="141">
        <v>1865</v>
      </c>
      <c r="AD113" s="141">
        <v>0</v>
      </c>
    </row>
    <row r="114" spans="1:30" ht="14.25">
      <c r="A114">
        <v>300</v>
      </c>
      <c r="B114" s="121" t="s">
        <v>249</v>
      </c>
      <c r="C114" s="120">
        <v>6753</v>
      </c>
      <c r="D114" s="120">
        <v>0</v>
      </c>
      <c r="E114" s="120">
        <v>0</v>
      </c>
      <c r="F114" s="120">
        <v>0</v>
      </c>
      <c r="G114" s="123">
        <v>19</v>
      </c>
      <c r="H114" s="123">
        <v>1622</v>
      </c>
      <c r="I114" s="123">
        <v>0</v>
      </c>
      <c r="J114" s="125">
        <v>0</v>
      </c>
      <c r="K114" s="125">
        <v>0</v>
      </c>
      <c r="L114" s="125">
        <v>0</v>
      </c>
      <c r="M114" s="127">
        <v>0</v>
      </c>
      <c r="N114" s="127">
        <v>0</v>
      </c>
      <c r="O114" s="127">
        <v>0</v>
      </c>
      <c r="P114" s="129">
        <v>0</v>
      </c>
      <c r="Q114" s="129">
        <v>0</v>
      </c>
      <c r="R114" s="129">
        <v>0</v>
      </c>
      <c r="S114" s="125">
        <v>29437</v>
      </c>
      <c r="T114" s="125">
        <v>1142</v>
      </c>
      <c r="U114" s="125">
        <v>0</v>
      </c>
      <c r="V114" s="136">
        <v>34</v>
      </c>
      <c r="W114" s="136">
        <v>15764</v>
      </c>
      <c r="X114" s="136">
        <v>314</v>
      </c>
      <c r="Y114" s="137">
        <v>0</v>
      </c>
      <c r="Z114" s="137">
        <v>26</v>
      </c>
      <c r="AA114" s="137">
        <v>0</v>
      </c>
      <c r="AB114" s="141">
        <v>0</v>
      </c>
      <c r="AC114" s="141">
        <v>0</v>
      </c>
      <c r="AD114" s="141">
        <v>0</v>
      </c>
    </row>
    <row r="115" spans="1:30" ht="14.25">
      <c r="A115">
        <v>301</v>
      </c>
      <c r="B115" s="121" t="s">
        <v>250</v>
      </c>
      <c r="C115" s="120">
        <v>9965</v>
      </c>
      <c r="D115" s="120">
        <v>0</v>
      </c>
      <c r="E115" s="120">
        <v>0</v>
      </c>
      <c r="F115" s="120">
        <v>3772</v>
      </c>
      <c r="G115" s="123">
        <v>76</v>
      </c>
      <c r="H115" s="123">
        <v>527</v>
      </c>
      <c r="I115" s="123">
        <v>0</v>
      </c>
      <c r="J115" s="125">
        <v>0</v>
      </c>
      <c r="K115" s="125">
        <v>0</v>
      </c>
      <c r="L115" s="125">
        <v>0</v>
      </c>
      <c r="M115" s="127">
        <v>0</v>
      </c>
      <c r="N115" s="127">
        <v>0</v>
      </c>
      <c r="O115" s="127">
        <v>0</v>
      </c>
      <c r="P115" s="129">
        <v>43</v>
      </c>
      <c r="Q115" s="129">
        <v>43</v>
      </c>
      <c r="R115" s="129">
        <v>0</v>
      </c>
      <c r="S115" s="125">
        <v>91937</v>
      </c>
      <c r="T115" s="125">
        <v>4155</v>
      </c>
      <c r="U115" s="125">
        <v>3772</v>
      </c>
      <c r="V115" s="136">
        <v>673</v>
      </c>
      <c r="W115" s="136">
        <v>51678</v>
      </c>
      <c r="X115" s="136">
        <v>1218</v>
      </c>
      <c r="Y115" s="137">
        <v>0</v>
      </c>
      <c r="Z115" s="137">
        <v>8</v>
      </c>
      <c r="AA115" s="137">
        <v>0</v>
      </c>
      <c r="AB115" s="141">
        <v>33</v>
      </c>
      <c r="AC115" s="141">
        <v>33</v>
      </c>
      <c r="AD115" s="141">
        <v>0</v>
      </c>
    </row>
    <row r="116" spans="1:30" ht="14.25">
      <c r="A116">
        <v>304</v>
      </c>
      <c r="B116" s="121" t="s">
        <v>251</v>
      </c>
      <c r="C116" s="120">
        <v>1761</v>
      </c>
      <c r="D116" s="120">
        <v>0</v>
      </c>
      <c r="E116" s="120">
        <v>0</v>
      </c>
      <c r="F116" s="120">
        <v>0</v>
      </c>
      <c r="G116" s="123">
        <v>0</v>
      </c>
      <c r="H116" s="123">
        <v>384</v>
      </c>
      <c r="I116" s="123">
        <v>20</v>
      </c>
      <c r="J116" s="125">
        <v>0</v>
      </c>
      <c r="K116" s="125">
        <v>0</v>
      </c>
      <c r="L116" s="125">
        <v>0</v>
      </c>
      <c r="M116" s="127">
        <v>0</v>
      </c>
      <c r="N116" s="127">
        <v>0</v>
      </c>
      <c r="O116" s="127">
        <v>0</v>
      </c>
      <c r="P116" s="129">
        <v>0</v>
      </c>
      <c r="Q116" s="129">
        <v>0</v>
      </c>
      <c r="R116" s="129">
        <v>0</v>
      </c>
      <c r="S116" s="125">
        <v>7661</v>
      </c>
      <c r="T116" s="125">
        <v>271</v>
      </c>
      <c r="U116" s="125">
        <v>0</v>
      </c>
      <c r="V116" s="136">
        <v>67</v>
      </c>
      <c r="W116" s="136">
        <v>4465</v>
      </c>
      <c r="X116" s="136">
        <v>86</v>
      </c>
      <c r="Y116" s="137">
        <v>0</v>
      </c>
      <c r="Z116" s="137">
        <v>9</v>
      </c>
      <c r="AA116" s="137">
        <v>0</v>
      </c>
      <c r="AB116" s="141">
        <v>0</v>
      </c>
      <c r="AC116" s="141">
        <v>0</v>
      </c>
      <c r="AD116" s="141">
        <v>0</v>
      </c>
    </row>
    <row r="117" spans="1:30" ht="14.25">
      <c r="A117">
        <v>305</v>
      </c>
      <c r="B117" s="121" t="s">
        <v>252</v>
      </c>
      <c r="C117" s="120">
        <v>38571</v>
      </c>
      <c r="D117" s="120">
        <v>0</v>
      </c>
      <c r="E117" s="120">
        <v>497</v>
      </c>
      <c r="F117" s="120">
        <v>0</v>
      </c>
      <c r="G117" s="123">
        <v>333</v>
      </c>
      <c r="H117" s="123">
        <v>10743</v>
      </c>
      <c r="I117" s="123">
        <v>0</v>
      </c>
      <c r="J117" s="125">
        <v>0</v>
      </c>
      <c r="K117" s="125">
        <v>0</v>
      </c>
      <c r="L117" s="125">
        <v>0</v>
      </c>
      <c r="M117" s="127">
        <v>0</v>
      </c>
      <c r="N117" s="127">
        <v>0</v>
      </c>
      <c r="O117" s="127">
        <v>0</v>
      </c>
      <c r="P117" s="129">
        <v>0</v>
      </c>
      <c r="Q117" s="129">
        <v>0</v>
      </c>
      <c r="R117" s="129">
        <v>0</v>
      </c>
      <c r="S117" s="125">
        <v>132424</v>
      </c>
      <c r="T117" s="125">
        <v>5147</v>
      </c>
      <c r="U117" s="125">
        <v>0</v>
      </c>
      <c r="V117" s="136">
        <v>1838</v>
      </c>
      <c r="W117" s="136">
        <v>73615</v>
      </c>
      <c r="X117" s="136">
        <v>1077</v>
      </c>
      <c r="Y117" s="137">
        <v>0</v>
      </c>
      <c r="Z117" s="137">
        <v>380</v>
      </c>
      <c r="AA117" s="137">
        <v>0</v>
      </c>
      <c r="AB117" s="141">
        <v>0</v>
      </c>
      <c r="AC117" s="141">
        <v>0</v>
      </c>
      <c r="AD117" s="141">
        <v>0</v>
      </c>
    </row>
    <row r="118" spans="1:30" ht="14.25">
      <c r="A118">
        <v>309</v>
      </c>
      <c r="B118" s="121" t="s">
        <v>312</v>
      </c>
      <c r="C118" s="120">
        <v>12051</v>
      </c>
      <c r="D118" s="120">
        <v>0</v>
      </c>
      <c r="E118" s="120">
        <v>0</v>
      </c>
      <c r="F118" s="120">
        <v>0</v>
      </c>
      <c r="G118" s="123">
        <v>227</v>
      </c>
      <c r="H118" s="123">
        <v>310</v>
      </c>
      <c r="I118" s="123">
        <v>0</v>
      </c>
      <c r="J118" s="125">
        <v>0</v>
      </c>
      <c r="K118" s="125">
        <v>0</v>
      </c>
      <c r="L118" s="125">
        <v>0</v>
      </c>
      <c r="M118" s="127">
        <v>0</v>
      </c>
      <c r="N118" s="127">
        <v>0</v>
      </c>
      <c r="O118" s="127">
        <v>0</v>
      </c>
      <c r="P118" s="129">
        <v>0</v>
      </c>
      <c r="Q118" s="129">
        <v>0</v>
      </c>
      <c r="R118" s="129">
        <v>0</v>
      </c>
      <c r="S118" s="125">
        <v>51511</v>
      </c>
      <c r="T118" s="125">
        <v>1733</v>
      </c>
      <c r="U118" s="125">
        <v>0</v>
      </c>
      <c r="V118" s="136">
        <v>636</v>
      </c>
      <c r="W118" s="136">
        <v>27537</v>
      </c>
      <c r="X118" s="136">
        <v>523</v>
      </c>
      <c r="Y118" s="137">
        <v>0</v>
      </c>
      <c r="Z118" s="137">
        <v>23</v>
      </c>
      <c r="AA118" s="137">
        <v>0</v>
      </c>
      <c r="AB118" s="141">
        <v>0</v>
      </c>
      <c r="AC118" s="141">
        <v>0</v>
      </c>
      <c r="AD118" s="141">
        <v>0</v>
      </c>
    </row>
    <row r="119" spans="1:30" ht="14.25">
      <c r="A119">
        <v>312</v>
      </c>
      <c r="B119" s="121" t="s">
        <v>253</v>
      </c>
      <c r="C119" s="120">
        <v>2395</v>
      </c>
      <c r="D119" s="120">
        <v>0</v>
      </c>
      <c r="E119" s="120">
        <v>0</v>
      </c>
      <c r="F119" s="120">
        <v>174</v>
      </c>
      <c r="G119" s="123">
        <v>52</v>
      </c>
      <c r="H119" s="123">
        <v>65</v>
      </c>
      <c r="I119" s="123">
        <v>0</v>
      </c>
      <c r="J119" s="125">
        <v>0</v>
      </c>
      <c r="K119" s="125">
        <v>0</v>
      </c>
      <c r="L119" s="125">
        <v>0</v>
      </c>
      <c r="M119" s="127">
        <v>0</v>
      </c>
      <c r="N119" s="127">
        <v>0</v>
      </c>
      <c r="O119" s="127">
        <v>0</v>
      </c>
      <c r="P119" s="129">
        <v>0</v>
      </c>
      <c r="Q119" s="129">
        <v>6</v>
      </c>
      <c r="R119" s="129">
        <v>0</v>
      </c>
      <c r="S119" s="125">
        <v>11004</v>
      </c>
      <c r="T119" s="125">
        <v>523</v>
      </c>
      <c r="U119" s="125">
        <v>174</v>
      </c>
      <c r="V119" s="136">
        <v>130</v>
      </c>
      <c r="W119" s="136">
        <v>5944</v>
      </c>
      <c r="X119" s="136">
        <v>119</v>
      </c>
      <c r="Y119" s="137">
        <v>0</v>
      </c>
      <c r="Z119" s="137">
        <v>0</v>
      </c>
      <c r="AA119" s="137">
        <v>0</v>
      </c>
      <c r="AB119" s="141">
        <v>3</v>
      </c>
      <c r="AC119" s="141">
        <v>9</v>
      </c>
      <c r="AD119" s="141">
        <v>0</v>
      </c>
    </row>
    <row r="120" spans="1:30" ht="14.25">
      <c r="A120">
        <v>316</v>
      </c>
      <c r="B120" s="121" t="s">
        <v>254</v>
      </c>
      <c r="C120" s="120">
        <v>5627</v>
      </c>
      <c r="D120" s="120">
        <v>0</v>
      </c>
      <c r="E120" s="120">
        <v>0</v>
      </c>
      <c r="F120" s="120">
        <v>0</v>
      </c>
      <c r="G120" s="123">
        <v>0</v>
      </c>
      <c r="H120" s="123">
        <v>213</v>
      </c>
      <c r="I120" s="123">
        <v>0</v>
      </c>
      <c r="J120" s="125">
        <v>0</v>
      </c>
      <c r="K120" s="125">
        <v>0</v>
      </c>
      <c r="L120" s="125">
        <v>0</v>
      </c>
      <c r="M120" s="127">
        <v>0</v>
      </c>
      <c r="N120" s="127">
        <v>0</v>
      </c>
      <c r="O120" s="127">
        <v>0</v>
      </c>
      <c r="P120" s="129">
        <v>0</v>
      </c>
      <c r="Q120" s="129">
        <v>0</v>
      </c>
      <c r="R120" s="129">
        <v>0</v>
      </c>
      <c r="S120" s="125">
        <v>29466</v>
      </c>
      <c r="T120" s="125">
        <v>1304</v>
      </c>
      <c r="U120" s="125">
        <v>0</v>
      </c>
      <c r="V120" s="136">
        <v>175</v>
      </c>
      <c r="W120" s="136">
        <v>16098</v>
      </c>
      <c r="X120" s="136">
        <v>422</v>
      </c>
      <c r="Y120" s="137">
        <v>0</v>
      </c>
      <c r="Z120" s="137">
        <v>0</v>
      </c>
      <c r="AA120" s="137">
        <v>0</v>
      </c>
      <c r="AB120" s="141">
        <v>0</v>
      </c>
      <c r="AC120" s="141">
        <v>0</v>
      </c>
      <c r="AD120" s="141">
        <v>0</v>
      </c>
    </row>
    <row r="121" spans="1:30" ht="14.25">
      <c r="A121">
        <v>317</v>
      </c>
      <c r="B121" s="121" t="s">
        <v>255</v>
      </c>
      <c r="C121" s="120">
        <v>3867</v>
      </c>
      <c r="D121" s="120">
        <v>0</v>
      </c>
      <c r="E121" s="120">
        <v>0</v>
      </c>
      <c r="F121" s="120">
        <v>0</v>
      </c>
      <c r="G121" s="123">
        <v>58</v>
      </c>
      <c r="H121" s="123">
        <v>1701</v>
      </c>
      <c r="I121" s="123">
        <v>0</v>
      </c>
      <c r="J121" s="125">
        <v>0</v>
      </c>
      <c r="K121" s="125">
        <v>0</v>
      </c>
      <c r="L121" s="125">
        <v>0</v>
      </c>
      <c r="M121" s="127">
        <v>0</v>
      </c>
      <c r="N121" s="127">
        <v>0</v>
      </c>
      <c r="O121" s="127">
        <v>0</v>
      </c>
      <c r="P121" s="129">
        <v>0</v>
      </c>
      <c r="Q121" s="129">
        <v>0</v>
      </c>
      <c r="R121" s="129">
        <v>0</v>
      </c>
      <c r="S121" s="125">
        <v>21056</v>
      </c>
      <c r="T121" s="125">
        <v>506</v>
      </c>
      <c r="U121" s="125">
        <v>0</v>
      </c>
      <c r="V121" s="136">
        <v>124</v>
      </c>
      <c r="W121" s="136">
        <v>11456</v>
      </c>
      <c r="X121" s="136">
        <v>229</v>
      </c>
      <c r="Y121" s="137">
        <v>0</v>
      </c>
      <c r="Z121" s="137">
        <v>10</v>
      </c>
      <c r="AA121" s="137">
        <v>1</v>
      </c>
      <c r="AB121" s="141">
        <v>0</v>
      </c>
      <c r="AC121" s="141">
        <v>0</v>
      </c>
      <c r="AD121" s="141">
        <v>0</v>
      </c>
    </row>
    <row r="122" spans="1:30" ht="14.25">
      <c r="A122">
        <v>319</v>
      </c>
      <c r="B122" s="121" t="s">
        <v>526</v>
      </c>
      <c r="C122" s="120">
        <v>1814</v>
      </c>
      <c r="D122" s="120">
        <v>0</v>
      </c>
      <c r="E122" s="120">
        <v>0</v>
      </c>
      <c r="F122" s="120">
        <v>0</v>
      </c>
      <c r="G122" s="123">
        <v>0</v>
      </c>
      <c r="H122" s="123">
        <v>530</v>
      </c>
      <c r="I122" s="123">
        <v>0</v>
      </c>
      <c r="J122" s="125">
        <v>0</v>
      </c>
      <c r="K122" s="125">
        <v>0</v>
      </c>
      <c r="L122" s="125">
        <v>0</v>
      </c>
      <c r="M122" s="127">
        <v>0</v>
      </c>
      <c r="N122" s="127">
        <v>0</v>
      </c>
      <c r="O122" s="127">
        <v>0</v>
      </c>
      <c r="P122" s="129">
        <v>0</v>
      </c>
      <c r="Q122" s="129">
        <v>0</v>
      </c>
      <c r="R122" s="129">
        <v>0</v>
      </c>
      <c r="S122" s="125">
        <v>15702</v>
      </c>
      <c r="T122" s="125">
        <v>378</v>
      </c>
      <c r="U122" s="125">
        <v>0</v>
      </c>
      <c r="V122" s="136">
        <v>64</v>
      </c>
      <c r="W122" s="136">
        <v>9515</v>
      </c>
      <c r="X122" s="136">
        <v>269</v>
      </c>
      <c r="Y122" s="137">
        <v>0</v>
      </c>
      <c r="Z122" s="137">
        <v>12</v>
      </c>
      <c r="AA122" s="137">
        <v>0</v>
      </c>
      <c r="AB122" s="141">
        <v>0</v>
      </c>
      <c r="AC122" s="141">
        <v>0</v>
      </c>
      <c r="AD122" s="141">
        <v>0</v>
      </c>
    </row>
    <row r="123" spans="1:30" ht="14.25">
      <c r="A123">
        <v>320</v>
      </c>
      <c r="B123" s="121" t="s">
        <v>223</v>
      </c>
      <c r="C123" s="120">
        <v>22887</v>
      </c>
      <c r="D123" s="120">
        <v>0</v>
      </c>
      <c r="E123" s="120">
        <v>0</v>
      </c>
      <c r="F123" s="120">
        <v>2477</v>
      </c>
      <c r="G123" s="123">
        <v>191</v>
      </c>
      <c r="H123" s="123">
        <v>5457</v>
      </c>
      <c r="I123" s="123">
        <v>0</v>
      </c>
      <c r="J123" s="125">
        <v>0</v>
      </c>
      <c r="K123" s="125">
        <v>0</v>
      </c>
      <c r="L123" s="125">
        <v>0</v>
      </c>
      <c r="M123" s="127">
        <v>0</v>
      </c>
      <c r="N123" s="127">
        <v>0</v>
      </c>
      <c r="O123" s="127">
        <v>0</v>
      </c>
      <c r="P123" s="129">
        <v>0</v>
      </c>
      <c r="Q123" s="129">
        <v>0</v>
      </c>
      <c r="R123" s="129">
        <v>0</v>
      </c>
      <c r="S123" s="125">
        <v>77835</v>
      </c>
      <c r="T123" s="125">
        <v>2627</v>
      </c>
      <c r="U123" s="125">
        <v>2477</v>
      </c>
      <c r="V123" s="136">
        <v>1318</v>
      </c>
      <c r="W123" s="136">
        <v>43206</v>
      </c>
      <c r="X123" s="136">
        <v>788</v>
      </c>
      <c r="Y123" s="137">
        <v>0</v>
      </c>
      <c r="Z123" s="137">
        <v>67</v>
      </c>
      <c r="AA123" s="137">
        <v>27</v>
      </c>
      <c r="AB123" s="141">
        <v>51</v>
      </c>
      <c r="AC123" s="141">
        <v>1037</v>
      </c>
      <c r="AD123" s="141">
        <v>5</v>
      </c>
    </row>
    <row r="124" spans="1:30" ht="14.25">
      <c r="A124">
        <v>322</v>
      </c>
      <c r="B124" s="121" t="s">
        <v>129</v>
      </c>
      <c r="C124" s="120">
        <v>15104</v>
      </c>
      <c r="D124" s="120">
        <v>0</v>
      </c>
      <c r="E124" s="120">
        <v>120</v>
      </c>
      <c r="F124" s="120">
        <v>0</v>
      </c>
      <c r="G124" s="123">
        <v>6</v>
      </c>
      <c r="H124" s="123">
        <v>3426</v>
      </c>
      <c r="I124" s="123">
        <v>4</v>
      </c>
      <c r="J124" s="125">
        <v>0</v>
      </c>
      <c r="K124" s="125">
        <v>0</v>
      </c>
      <c r="L124" s="125">
        <v>0</v>
      </c>
      <c r="M124" s="127">
        <v>0</v>
      </c>
      <c r="N124" s="127">
        <v>0</v>
      </c>
      <c r="O124" s="127">
        <v>0</v>
      </c>
      <c r="P124" s="129">
        <v>0</v>
      </c>
      <c r="Q124" s="129">
        <v>0</v>
      </c>
      <c r="R124" s="129">
        <v>0</v>
      </c>
      <c r="S124" s="125">
        <v>56490</v>
      </c>
      <c r="T124" s="125">
        <v>2765</v>
      </c>
      <c r="U124" s="125">
        <v>0</v>
      </c>
      <c r="V124" s="136">
        <v>250</v>
      </c>
      <c r="W124" s="136">
        <v>29419</v>
      </c>
      <c r="X124" s="136">
        <v>549</v>
      </c>
      <c r="Y124" s="137">
        <v>0</v>
      </c>
      <c r="Z124" s="137">
        <v>215</v>
      </c>
      <c r="AA124" s="137">
        <v>4</v>
      </c>
      <c r="AB124" s="141">
        <v>0</v>
      </c>
      <c r="AC124" s="141">
        <v>0</v>
      </c>
      <c r="AD124" s="141">
        <v>0</v>
      </c>
    </row>
    <row r="125" spans="1:30" ht="14.25">
      <c r="A125">
        <v>398</v>
      </c>
      <c r="B125" s="121" t="s">
        <v>256</v>
      </c>
      <c r="C125" s="120">
        <v>203540</v>
      </c>
      <c r="D125" s="120">
        <v>0</v>
      </c>
      <c r="E125" s="120">
        <v>475</v>
      </c>
      <c r="F125" s="120">
        <v>0</v>
      </c>
      <c r="G125" s="123">
        <v>3963</v>
      </c>
      <c r="H125" s="123">
        <v>57565</v>
      </c>
      <c r="I125" s="123">
        <v>0</v>
      </c>
      <c r="J125" s="125">
        <v>0</v>
      </c>
      <c r="K125" s="125">
        <v>0</v>
      </c>
      <c r="L125" s="125">
        <v>0</v>
      </c>
      <c r="M125" s="127">
        <v>0</v>
      </c>
      <c r="N125" s="127">
        <v>0</v>
      </c>
      <c r="O125" s="127">
        <v>0</v>
      </c>
      <c r="P125" s="129">
        <v>0</v>
      </c>
      <c r="Q125" s="129">
        <v>0</v>
      </c>
      <c r="R125" s="129">
        <v>0</v>
      </c>
      <c r="S125" s="125">
        <v>735515</v>
      </c>
      <c r="T125" s="125">
        <v>37728</v>
      </c>
      <c r="U125" s="125">
        <v>0</v>
      </c>
      <c r="V125" s="136">
        <v>26729</v>
      </c>
      <c r="W125" s="136">
        <v>392945</v>
      </c>
      <c r="X125" s="136">
        <v>8602</v>
      </c>
      <c r="Y125" s="137">
        <v>1</v>
      </c>
      <c r="Z125" s="137">
        <v>990</v>
      </c>
      <c r="AA125" s="137">
        <v>0</v>
      </c>
      <c r="AB125" s="141">
        <v>0</v>
      </c>
      <c r="AC125" s="141">
        <v>0</v>
      </c>
      <c r="AD125" s="141">
        <v>0</v>
      </c>
    </row>
    <row r="126" spans="1:30" ht="14.25">
      <c r="A126">
        <v>399</v>
      </c>
      <c r="B126" s="121" t="s">
        <v>257</v>
      </c>
      <c r="C126" s="120">
        <v>9725</v>
      </c>
      <c r="D126" s="120">
        <v>0</v>
      </c>
      <c r="E126" s="120">
        <v>0</v>
      </c>
      <c r="F126" s="120">
        <v>0</v>
      </c>
      <c r="G126" s="123">
        <v>9</v>
      </c>
      <c r="H126" s="123">
        <v>2971</v>
      </c>
      <c r="I126" s="123">
        <v>0</v>
      </c>
      <c r="J126" s="125">
        <v>0</v>
      </c>
      <c r="K126" s="125">
        <v>0</v>
      </c>
      <c r="L126" s="125">
        <v>0</v>
      </c>
      <c r="M126" s="127">
        <v>0</v>
      </c>
      <c r="N126" s="127">
        <v>0</v>
      </c>
      <c r="O126" s="127">
        <v>0</v>
      </c>
      <c r="P126" s="129">
        <v>0</v>
      </c>
      <c r="Q126" s="129">
        <v>0</v>
      </c>
      <c r="R126" s="129">
        <v>0</v>
      </c>
      <c r="S126" s="125">
        <v>52070</v>
      </c>
      <c r="T126" s="125">
        <v>1976</v>
      </c>
      <c r="U126" s="125">
        <v>0</v>
      </c>
      <c r="V126" s="136">
        <v>100</v>
      </c>
      <c r="W126" s="136">
        <v>30048</v>
      </c>
      <c r="X126" s="136">
        <v>583</v>
      </c>
      <c r="Y126" s="137">
        <v>0</v>
      </c>
      <c r="Z126" s="137">
        <v>68</v>
      </c>
      <c r="AA126" s="137">
        <v>0</v>
      </c>
      <c r="AB126" s="141">
        <v>0</v>
      </c>
      <c r="AC126" s="141">
        <v>0</v>
      </c>
      <c r="AD126" s="141">
        <v>0</v>
      </c>
    </row>
    <row r="127" spans="1:30" ht="14.25">
      <c r="A127">
        <v>400</v>
      </c>
      <c r="B127" s="121" t="s">
        <v>258</v>
      </c>
      <c r="C127" s="120">
        <v>12327</v>
      </c>
      <c r="D127" s="120">
        <v>0</v>
      </c>
      <c r="E127" s="120">
        <v>0</v>
      </c>
      <c r="F127" s="120">
        <v>2641</v>
      </c>
      <c r="G127" s="123">
        <v>399</v>
      </c>
      <c r="H127" s="123">
        <v>5084</v>
      </c>
      <c r="I127" s="123">
        <v>80</v>
      </c>
      <c r="J127" s="125">
        <v>0</v>
      </c>
      <c r="K127" s="125">
        <v>0</v>
      </c>
      <c r="L127" s="125">
        <v>0</v>
      </c>
      <c r="M127" s="127">
        <v>0</v>
      </c>
      <c r="N127" s="127">
        <v>0</v>
      </c>
      <c r="O127" s="127">
        <v>0</v>
      </c>
      <c r="P127" s="129">
        <v>0</v>
      </c>
      <c r="Q127" s="129">
        <v>0</v>
      </c>
      <c r="R127" s="129">
        <v>0</v>
      </c>
      <c r="S127" s="125">
        <v>58203</v>
      </c>
      <c r="T127" s="125">
        <v>2250</v>
      </c>
      <c r="U127" s="125">
        <v>2640</v>
      </c>
      <c r="V127" s="136">
        <v>549</v>
      </c>
      <c r="W127" s="136">
        <v>32072</v>
      </c>
      <c r="X127" s="136">
        <v>644</v>
      </c>
      <c r="Y127" s="137">
        <v>23</v>
      </c>
      <c r="Z127" s="137">
        <v>271</v>
      </c>
      <c r="AA127" s="137">
        <v>15</v>
      </c>
      <c r="AB127" s="141">
        <v>36</v>
      </c>
      <c r="AC127" s="141">
        <v>820</v>
      </c>
      <c r="AD127" s="141">
        <v>2</v>
      </c>
    </row>
    <row r="128" spans="1:30" ht="14.25">
      <c r="A128">
        <v>402</v>
      </c>
      <c r="B128" s="121" t="s">
        <v>260</v>
      </c>
      <c r="C128" s="120">
        <v>14370</v>
      </c>
      <c r="D128" s="120">
        <v>0</v>
      </c>
      <c r="E128" s="120">
        <v>0</v>
      </c>
      <c r="F128" s="120">
        <v>0</v>
      </c>
      <c r="G128" s="123">
        <v>116</v>
      </c>
      <c r="H128" s="123">
        <v>5277</v>
      </c>
      <c r="I128" s="123">
        <v>0</v>
      </c>
      <c r="J128" s="125">
        <v>0</v>
      </c>
      <c r="K128" s="125">
        <v>0</v>
      </c>
      <c r="L128" s="125">
        <v>0</v>
      </c>
      <c r="M128" s="127">
        <v>0</v>
      </c>
      <c r="N128" s="127">
        <v>0</v>
      </c>
      <c r="O128" s="127">
        <v>0</v>
      </c>
      <c r="P128" s="129">
        <v>0</v>
      </c>
      <c r="Q128" s="129">
        <v>0</v>
      </c>
      <c r="R128" s="129">
        <v>0</v>
      </c>
      <c r="S128" s="125">
        <v>73310</v>
      </c>
      <c r="T128" s="125">
        <v>2989</v>
      </c>
      <c r="U128" s="125">
        <v>0</v>
      </c>
      <c r="V128" s="136">
        <v>1119</v>
      </c>
      <c r="W128" s="136">
        <v>44118</v>
      </c>
      <c r="X128" s="136">
        <v>667</v>
      </c>
      <c r="Y128" s="137">
        <v>0</v>
      </c>
      <c r="Z128" s="137">
        <v>801</v>
      </c>
      <c r="AA128" s="137">
        <v>0</v>
      </c>
      <c r="AB128" s="141">
        <v>0</v>
      </c>
      <c r="AC128" s="141">
        <v>0</v>
      </c>
      <c r="AD128" s="141">
        <v>0</v>
      </c>
    </row>
    <row r="129" spans="1:30" ht="14.25">
      <c r="A129">
        <v>403</v>
      </c>
      <c r="B129" s="121" t="s">
        <v>261</v>
      </c>
      <c r="C129" s="120">
        <v>2653</v>
      </c>
      <c r="D129" s="120">
        <v>0</v>
      </c>
      <c r="E129" s="120">
        <v>0</v>
      </c>
      <c r="F129" s="120">
        <v>99</v>
      </c>
      <c r="G129" s="123">
        <v>0</v>
      </c>
      <c r="H129" s="123">
        <v>3</v>
      </c>
      <c r="I129" s="123">
        <v>0</v>
      </c>
      <c r="J129" s="125">
        <v>0</v>
      </c>
      <c r="K129" s="125">
        <v>0</v>
      </c>
      <c r="L129" s="125">
        <v>0</v>
      </c>
      <c r="M129" s="127">
        <v>0</v>
      </c>
      <c r="N129" s="127">
        <v>0</v>
      </c>
      <c r="O129" s="127">
        <v>0</v>
      </c>
      <c r="P129" s="129">
        <v>0</v>
      </c>
      <c r="Q129" s="129">
        <v>0</v>
      </c>
      <c r="R129" s="129">
        <v>0</v>
      </c>
      <c r="S129" s="125">
        <v>21383</v>
      </c>
      <c r="T129" s="125">
        <v>1120</v>
      </c>
      <c r="U129" s="125">
        <v>100</v>
      </c>
      <c r="V129" s="136">
        <v>53</v>
      </c>
      <c r="W129" s="136">
        <v>12565</v>
      </c>
      <c r="X129" s="136">
        <v>273</v>
      </c>
      <c r="Y129" s="137">
        <v>0</v>
      </c>
      <c r="Z129" s="137">
        <v>0</v>
      </c>
      <c r="AA129" s="137">
        <v>0</v>
      </c>
      <c r="AB129" s="141">
        <v>0</v>
      </c>
      <c r="AC129" s="141">
        <v>2</v>
      </c>
      <c r="AD129" s="141">
        <v>0</v>
      </c>
    </row>
    <row r="130" spans="1:30" ht="14.25">
      <c r="A130">
        <v>405</v>
      </c>
      <c r="B130" s="121" t="s">
        <v>262</v>
      </c>
      <c r="C130" s="120">
        <v>74391</v>
      </c>
      <c r="D130" s="120">
        <v>0</v>
      </c>
      <c r="E130" s="120">
        <v>21631</v>
      </c>
      <c r="F130" s="120">
        <v>0</v>
      </c>
      <c r="G130" s="123">
        <v>0</v>
      </c>
      <c r="H130" s="123">
        <v>331</v>
      </c>
      <c r="I130" s="123">
        <v>4556</v>
      </c>
      <c r="J130" s="125">
        <v>0</v>
      </c>
      <c r="K130" s="125">
        <v>0</v>
      </c>
      <c r="L130" s="125">
        <v>0</v>
      </c>
      <c r="M130" s="127">
        <v>0</v>
      </c>
      <c r="N130" s="127">
        <v>0</v>
      </c>
      <c r="O130" s="127">
        <v>0</v>
      </c>
      <c r="P130" s="129">
        <v>0</v>
      </c>
      <c r="Q130" s="129">
        <v>0</v>
      </c>
      <c r="R130" s="129">
        <v>0</v>
      </c>
      <c r="S130" s="125">
        <v>477642</v>
      </c>
      <c r="T130" s="125">
        <v>22089</v>
      </c>
      <c r="U130" s="125">
        <v>0</v>
      </c>
      <c r="V130" s="136">
        <v>2326</v>
      </c>
      <c r="W130" s="136">
        <v>243233</v>
      </c>
      <c r="X130" s="136">
        <v>10156</v>
      </c>
      <c r="Y130" s="137">
        <v>0</v>
      </c>
      <c r="Z130" s="137">
        <v>7</v>
      </c>
      <c r="AA130" s="137">
        <v>430</v>
      </c>
      <c r="AB130" s="141">
        <v>0</v>
      </c>
      <c r="AC130" s="141">
        <v>0</v>
      </c>
      <c r="AD130" s="141">
        <v>0</v>
      </c>
    </row>
    <row r="131" spans="1:30" ht="14.25">
      <c r="A131">
        <v>407</v>
      </c>
      <c r="B131" s="121" t="s">
        <v>259</v>
      </c>
      <c r="C131" s="120">
        <v>4972</v>
      </c>
      <c r="D131" s="120">
        <v>0</v>
      </c>
      <c r="E131" s="120">
        <v>8</v>
      </c>
      <c r="F131" s="120">
        <v>0</v>
      </c>
      <c r="G131" s="123">
        <v>0</v>
      </c>
      <c r="H131" s="123">
        <v>546</v>
      </c>
      <c r="I131" s="123">
        <v>0</v>
      </c>
      <c r="J131" s="125">
        <v>0</v>
      </c>
      <c r="K131" s="125">
        <v>0</v>
      </c>
      <c r="L131" s="125">
        <v>0</v>
      </c>
      <c r="M131" s="127">
        <v>0</v>
      </c>
      <c r="N131" s="127">
        <v>0</v>
      </c>
      <c r="O131" s="127">
        <v>0</v>
      </c>
      <c r="P131" s="129">
        <v>0</v>
      </c>
      <c r="Q131" s="129">
        <v>0</v>
      </c>
      <c r="R131" s="129">
        <v>0</v>
      </c>
      <c r="S131" s="125">
        <v>19900</v>
      </c>
      <c r="T131" s="125">
        <v>733</v>
      </c>
      <c r="U131" s="125">
        <v>0</v>
      </c>
      <c r="V131" s="136">
        <v>0</v>
      </c>
      <c r="W131" s="136">
        <v>9686</v>
      </c>
      <c r="X131" s="136">
        <v>268</v>
      </c>
      <c r="Y131" s="137">
        <v>0</v>
      </c>
      <c r="Z131" s="137">
        <v>32</v>
      </c>
      <c r="AA131" s="137">
        <v>0</v>
      </c>
      <c r="AB131" s="141">
        <v>0</v>
      </c>
      <c r="AC131" s="141">
        <v>0</v>
      </c>
      <c r="AD131" s="141">
        <v>0</v>
      </c>
    </row>
    <row r="132" spans="1:30" ht="14.25">
      <c r="A132">
        <v>408</v>
      </c>
      <c r="B132" s="121" t="s">
        <v>263</v>
      </c>
      <c r="C132" s="120">
        <v>13764</v>
      </c>
      <c r="D132" s="120">
        <v>0</v>
      </c>
      <c r="E132" s="120">
        <v>421</v>
      </c>
      <c r="F132" s="120">
        <v>7388</v>
      </c>
      <c r="G132" s="123">
        <v>45</v>
      </c>
      <c r="H132" s="123">
        <v>5045</v>
      </c>
      <c r="I132" s="123">
        <v>0</v>
      </c>
      <c r="J132" s="125">
        <v>0</v>
      </c>
      <c r="K132" s="125">
        <v>0</v>
      </c>
      <c r="L132" s="125">
        <v>0</v>
      </c>
      <c r="M132" s="127">
        <v>0</v>
      </c>
      <c r="N132" s="127">
        <v>0</v>
      </c>
      <c r="O132" s="127">
        <v>0</v>
      </c>
      <c r="P132" s="129">
        <v>0</v>
      </c>
      <c r="Q132" s="129">
        <v>0</v>
      </c>
      <c r="R132" s="129">
        <v>0</v>
      </c>
      <c r="S132" s="125">
        <v>91064</v>
      </c>
      <c r="T132" s="125">
        <v>4590</v>
      </c>
      <c r="U132" s="125">
        <v>7390</v>
      </c>
      <c r="V132" s="136">
        <v>108</v>
      </c>
      <c r="W132" s="136">
        <v>49090</v>
      </c>
      <c r="X132" s="136">
        <v>1285</v>
      </c>
      <c r="Y132" s="137">
        <v>0</v>
      </c>
      <c r="Z132" s="137">
        <v>188</v>
      </c>
      <c r="AA132" s="137">
        <v>1</v>
      </c>
      <c r="AB132" s="141">
        <v>1</v>
      </c>
      <c r="AC132" s="141">
        <v>1658</v>
      </c>
      <c r="AD132" s="141">
        <v>92</v>
      </c>
    </row>
    <row r="133" spans="1:30" ht="14.25">
      <c r="A133">
        <v>410</v>
      </c>
      <c r="B133" s="121" t="s">
        <v>264</v>
      </c>
      <c r="C133" s="120">
        <v>27149</v>
      </c>
      <c r="D133" s="120">
        <v>0</v>
      </c>
      <c r="E133" s="120">
        <v>0</v>
      </c>
      <c r="F133" s="120">
        <v>907</v>
      </c>
      <c r="G133" s="123">
        <v>63</v>
      </c>
      <c r="H133" s="123">
        <v>4108</v>
      </c>
      <c r="I133" s="123">
        <v>0</v>
      </c>
      <c r="J133" s="125">
        <v>0</v>
      </c>
      <c r="K133" s="125">
        <v>0</v>
      </c>
      <c r="L133" s="125">
        <v>0</v>
      </c>
      <c r="M133" s="127">
        <v>0</v>
      </c>
      <c r="N133" s="127">
        <v>0</v>
      </c>
      <c r="O133" s="127">
        <v>0</v>
      </c>
      <c r="P133" s="129">
        <v>0</v>
      </c>
      <c r="Q133" s="129">
        <v>0</v>
      </c>
      <c r="R133" s="129">
        <v>0</v>
      </c>
      <c r="S133" s="125">
        <v>120717</v>
      </c>
      <c r="T133" s="125">
        <v>7411</v>
      </c>
      <c r="U133" s="125">
        <v>907</v>
      </c>
      <c r="V133" s="136">
        <v>1130</v>
      </c>
      <c r="W133" s="136">
        <v>59072</v>
      </c>
      <c r="X133" s="136">
        <v>1536</v>
      </c>
      <c r="Y133" s="137">
        <v>0</v>
      </c>
      <c r="Z133" s="137">
        <v>35</v>
      </c>
      <c r="AA133" s="137">
        <v>0</v>
      </c>
      <c r="AB133" s="141">
        <v>0</v>
      </c>
      <c r="AC133" s="141">
        <v>127</v>
      </c>
      <c r="AD133" s="141">
        <v>0</v>
      </c>
    </row>
    <row r="134" spans="1:30" ht="14.25">
      <c r="A134">
        <v>416</v>
      </c>
      <c r="B134" s="121" t="s">
        <v>265</v>
      </c>
      <c r="C134" s="120">
        <v>3155</v>
      </c>
      <c r="D134" s="120">
        <v>0</v>
      </c>
      <c r="E134" s="120">
        <v>0</v>
      </c>
      <c r="F134" s="120">
        <v>0</v>
      </c>
      <c r="G134" s="123">
        <v>0</v>
      </c>
      <c r="H134" s="123">
        <v>169</v>
      </c>
      <c r="I134" s="123">
        <v>0</v>
      </c>
      <c r="J134" s="125">
        <v>0</v>
      </c>
      <c r="K134" s="125">
        <v>0</v>
      </c>
      <c r="L134" s="125">
        <v>0</v>
      </c>
      <c r="M134" s="127">
        <v>0</v>
      </c>
      <c r="N134" s="127">
        <v>0</v>
      </c>
      <c r="O134" s="127">
        <v>0</v>
      </c>
      <c r="P134" s="129">
        <v>0</v>
      </c>
      <c r="Q134" s="129">
        <v>0</v>
      </c>
      <c r="R134" s="129">
        <v>0</v>
      </c>
      <c r="S134" s="125">
        <v>18708</v>
      </c>
      <c r="T134" s="125">
        <v>629</v>
      </c>
      <c r="U134" s="125">
        <v>0</v>
      </c>
      <c r="V134" s="136">
        <v>71</v>
      </c>
      <c r="W134" s="136">
        <v>9278</v>
      </c>
      <c r="X134" s="136">
        <v>276</v>
      </c>
      <c r="Y134" s="137">
        <v>0</v>
      </c>
      <c r="Z134" s="137">
        <v>0</v>
      </c>
      <c r="AA134" s="137">
        <v>10</v>
      </c>
      <c r="AB134" s="141">
        <v>0</v>
      </c>
      <c r="AC134" s="141">
        <v>0</v>
      </c>
      <c r="AD134" s="141">
        <v>0</v>
      </c>
    </row>
    <row r="135" spans="1:30" ht="14.25">
      <c r="A135">
        <v>418</v>
      </c>
      <c r="B135" s="121" t="s">
        <v>266</v>
      </c>
      <c r="C135" s="120">
        <v>43447</v>
      </c>
      <c r="D135" s="120">
        <v>0</v>
      </c>
      <c r="E135" s="120">
        <v>420</v>
      </c>
      <c r="F135" s="120">
        <v>0</v>
      </c>
      <c r="G135" s="123">
        <v>422</v>
      </c>
      <c r="H135" s="123">
        <v>5480</v>
      </c>
      <c r="I135" s="123">
        <v>109</v>
      </c>
      <c r="J135" s="125">
        <v>0</v>
      </c>
      <c r="K135" s="125">
        <v>0</v>
      </c>
      <c r="L135" s="125">
        <v>0</v>
      </c>
      <c r="M135" s="127">
        <v>0</v>
      </c>
      <c r="N135" s="127">
        <v>0</v>
      </c>
      <c r="O135" s="127">
        <v>0</v>
      </c>
      <c r="P135" s="129">
        <v>0</v>
      </c>
      <c r="Q135" s="129">
        <v>0</v>
      </c>
      <c r="R135" s="129">
        <v>0</v>
      </c>
      <c r="S135" s="125">
        <v>151584</v>
      </c>
      <c r="T135" s="125">
        <v>10285</v>
      </c>
      <c r="U135" s="125">
        <v>0</v>
      </c>
      <c r="V135" s="136">
        <v>955</v>
      </c>
      <c r="W135" s="136">
        <v>64814</v>
      </c>
      <c r="X135" s="136">
        <v>1631</v>
      </c>
      <c r="Y135" s="137">
        <v>0</v>
      </c>
      <c r="Z135" s="137">
        <v>460</v>
      </c>
      <c r="AA135" s="137">
        <v>0</v>
      </c>
      <c r="AB135" s="141">
        <v>0</v>
      </c>
      <c r="AC135" s="141">
        <v>0</v>
      </c>
      <c r="AD135" s="141">
        <v>0</v>
      </c>
    </row>
    <row r="136" spans="1:30" ht="14.25">
      <c r="A136">
        <v>420</v>
      </c>
      <c r="B136" s="121" t="s">
        <v>267</v>
      </c>
      <c r="C136" s="120">
        <v>13956</v>
      </c>
      <c r="D136" s="120">
        <v>0</v>
      </c>
      <c r="E136" s="120">
        <v>6</v>
      </c>
      <c r="F136" s="120">
        <v>353</v>
      </c>
      <c r="G136" s="123">
        <v>39</v>
      </c>
      <c r="H136" s="123">
        <v>3405</v>
      </c>
      <c r="I136" s="123">
        <v>31</v>
      </c>
      <c r="J136" s="125">
        <v>0</v>
      </c>
      <c r="K136" s="125">
        <v>0</v>
      </c>
      <c r="L136" s="125">
        <v>0</v>
      </c>
      <c r="M136" s="127">
        <v>0</v>
      </c>
      <c r="N136" s="127">
        <v>0</v>
      </c>
      <c r="O136" s="127">
        <v>0</v>
      </c>
      <c r="P136" s="129">
        <v>0</v>
      </c>
      <c r="Q136" s="129">
        <v>0</v>
      </c>
      <c r="R136" s="129">
        <v>0</v>
      </c>
      <c r="S136" s="125">
        <v>67255</v>
      </c>
      <c r="T136" s="125">
        <v>4235</v>
      </c>
      <c r="U136" s="125">
        <v>343</v>
      </c>
      <c r="V136" s="136">
        <v>1101</v>
      </c>
      <c r="W136" s="136">
        <v>39857</v>
      </c>
      <c r="X136" s="136">
        <v>560</v>
      </c>
      <c r="Y136" s="137">
        <v>0</v>
      </c>
      <c r="Z136" s="137">
        <v>59</v>
      </c>
      <c r="AA136" s="137">
        <v>0</v>
      </c>
      <c r="AB136" s="141">
        <v>0</v>
      </c>
      <c r="AC136" s="141">
        <v>84</v>
      </c>
      <c r="AD136" s="141">
        <v>0</v>
      </c>
    </row>
    <row r="137" spans="1:30" ht="14.25">
      <c r="A137">
        <v>421</v>
      </c>
      <c r="B137" s="121" t="s">
        <v>268</v>
      </c>
      <c r="C137" s="120">
        <v>1775</v>
      </c>
      <c r="D137" s="120">
        <v>0</v>
      </c>
      <c r="E137" s="120">
        <v>0</v>
      </c>
      <c r="F137" s="120">
        <v>8</v>
      </c>
      <c r="G137" s="123">
        <v>0</v>
      </c>
      <c r="H137" s="123">
        <v>101</v>
      </c>
      <c r="I137" s="123">
        <v>0</v>
      </c>
      <c r="J137" s="125">
        <v>0</v>
      </c>
      <c r="K137" s="125">
        <v>0</v>
      </c>
      <c r="L137" s="125">
        <v>0</v>
      </c>
      <c r="M137" s="127">
        <v>0</v>
      </c>
      <c r="N137" s="127">
        <v>0</v>
      </c>
      <c r="O137" s="127">
        <v>0</v>
      </c>
      <c r="P137" s="129">
        <v>0</v>
      </c>
      <c r="Q137" s="129">
        <v>0</v>
      </c>
      <c r="R137" s="129">
        <v>0</v>
      </c>
      <c r="S137" s="125">
        <v>6922</v>
      </c>
      <c r="T137" s="125">
        <v>285</v>
      </c>
      <c r="U137" s="125">
        <v>8</v>
      </c>
      <c r="V137" s="136">
        <v>13</v>
      </c>
      <c r="W137" s="136">
        <v>3179</v>
      </c>
      <c r="X137" s="136">
        <v>135</v>
      </c>
      <c r="Y137" s="137">
        <v>0</v>
      </c>
      <c r="Z137" s="137">
        <v>60</v>
      </c>
      <c r="AA137" s="137">
        <v>5</v>
      </c>
      <c r="AB137" s="141">
        <v>0</v>
      </c>
      <c r="AC137" s="141">
        <v>0</v>
      </c>
      <c r="AD137" s="141">
        <v>0</v>
      </c>
    </row>
    <row r="138" spans="1:30" ht="14.25">
      <c r="A138">
        <v>422</v>
      </c>
      <c r="B138" s="121" t="s">
        <v>269</v>
      </c>
      <c r="C138" s="120">
        <v>22341</v>
      </c>
      <c r="D138" s="120">
        <v>0</v>
      </c>
      <c r="E138" s="120">
        <v>151</v>
      </c>
      <c r="F138" s="120">
        <v>0</v>
      </c>
      <c r="G138" s="123">
        <v>202</v>
      </c>
      <c r="H138" s="123">
        <v>7111</v>
      </c>
      <c r="I138" s="123">
        <v>0</v>
      </c>
      <c r="J138" s="125">
        <v>0</v>
      </c>
      <c r="K138" s="125">
        <v>0</v>
      </c>
      <c r="L138" s="125">
        <v>0</v>
      </c>
      <c r="M138" s="127">
        <v>0</v>
      </c>
      <c r="N138" s="127">
        <v>0</v>
      </c>
      <c r="O138" s="127">
        <v>0</v>
      </c>
      <c r="P138" s="129">
        <v>0</v>
      </c>
      <c r="Q138" s="129">
        <v>0</v>
      </c>
      <c r="R138" s="129">
        <v>0</v>
      </c>
      <c r="S138" s="125">
        <v>95094</v>
      </c>
      <c r="T138" s="125">
        <v>4696</v>
      </c>
      <c r="U138" s="125">
        <v>0</v>
      </c>
      <c r="V138" s="136">
        <v>1714</v>
      </c>
      <c r="W138" s="136">
        <v>58693</v>
      </c>
      <c r="X138" s="136">
        <v>949</v>
      </c>
      <c r="Y138" s="137">
        <v>0</v>
      </c>
      <c r="Z138" s="137">
        <v>84</v>
      </c>
      <c r="AA138" s="137">
        <v>0</v>
      </c>
      <c r="AB138" s="141">
        <v>0</v>
      </c>
      <c r="AC138" s="141">
        <v>0</v>
      </c>
      <c r="AD138" s="141">
        <v>0</v>
      </c>
    </row>
    <row r="139" spans="1:30" ht="14.25">
      <c r="A139">
        <v>423</v>
      </c>
      <c r="B139" s="121" t="s">
        <v>270</v>
      </c>
      <c r="C139" s="120">
        <v>47918</v>
      </c>
      <c r="D139" s="120">
        <v>0</v>
      </c>
      <c r="E139" s="120">
        <v>0</v>
      </c>
      <c r="F139" s="120">
        <v>2371</v>
      </c>
      <c r="G139" s="123">
        <v>419</v>
      </c>
      <c r="H139" s="123">
        <v>17163</v>
      </c>
      <c r="I139" s="123">
        <v>0</v>
      </c>
      <c r="J139" s="125">
        <v>0</v>
      </c>
      <c r="K139" s="125">
        <v>0</v>
      </c>
      <c r="L139" s="125">
        <v>0</v>
      </c>
      <c r="M139" s="127">
        <v>0</v>
      </c>
      <c r="N139" s="127">
        <v>0</v>
      </c>
      <c r="O139" s="127">
        <v>0</v>
      </c>
      <c r="P139" s="129">
        <v>0</v>
      </c>
      <c r="Q139" s="129">
        <v>0</v>
      </c>
      <c r="R139" s="129">
        <v>0</v>
      </c>
      <c r="S139" s="125">
        <v>135552</v>
      </c>
      <c r="T139" s="125">
        <v>5486</v>
      </c>
      <c r="U139" s="125">
        <v>2371</v>
      </c>
      <c r="V139" s="136">
        <v>1261</v>
      </c>
      <c r="W139" s="136">
        <v>68442</v>
      </c>
      <c r="X139" s="136">
        <v>1351</v>
      </c>
      <c r="Y139" s="137">
        <v>0</v>
      </c>
      <c r="Z139" s="137">
        <v>79</v>
      </c>
      <c r="AA139" s="137">
        <v>4</v>
      </c>
      <c r="AB139" s="141">
        <v>0</v>
      </c>
      <c r="AC139" s="141">
        <v>1887</v>
      </c>
      <c r="AD139" s="141">
        <v>0</v>
      </c>
    </row>
    <row r="140" spans="1:30" ht="14.25">
      <c r="A140">
        <v>425</v>
      </c>
      <c r="B140" s="121" t="s">
        <v>271</v>
      </c>
      <c r="C140" s="120">
        <v>16397</v>
      </c>
      <c r="D140" s="120">
        <v>0</v>
      </c>
      <c r="E140" s="120">
        <v>0</v>
      </c>
      <c r="F140" s="120">
        <v>757</v>
      </c>
      <c r="G140" s="123">
        <v>159</v>
      </c>
      <c r="H140" s="123">
        <v>3746</v>
      </c>
      <c r="I140" s="123">
        <v>0</v>
      </c>
      <c r="J140" s="125">
        <v>0</v>
      </c>
      <c r="K140" s="125">
        <v>0</v>
      </c>
      <c r="L140" s="125">
        <v>0</v>
      </c>
      <c r="M140" s="127">
        <v>0</v>
      </c>
      <c r="N140" s="127">
        <v>0</v>
      </c>
      <c r="O140" s="127">
        <v>0</v>
      </c>
      <c r="P140" s="129">
        <v>0</v>
      </c>
      <c r="Q140" s="129">
        <v>0</v>
      </c>
      <c r="R140" s="129">
        <v>0</v>
      </c>
      <c r="S140" s="125">
        <v>63998</v>
      </c>
      <c r="T140" s="125">
        <v>4043</v>
      </c>
      <c r="U140" s="125">
        <v>757</v>
      </c>
      <c r="V140" s="136">
        <v>300</v>
      </c>
      <c r="W140" s="136">
        <v>27372</v>
      </c>
      <c r="X140" s="136">
        <v>601</v>
      </c>
      <c r="Y140" s="137">
        <v>1</v>
      </c>
      <c r="Z140" s="137">
        <v>151</v>
      </c>
      <c r="AA140" s="137">
        <v>0</v>
      </c>
      <c r="AB140" s="141">
        <v>1</v>
      </c>
      <c r="AC140" s="141">
        <v>226</v>
      </c>
      <c r="AD140" s="141">
        <v>0</v>
      </c>
    </row>
    <row r="141" spans="1:30" ht="14.25">
      <c r="A141">
        <v>426</v>
      </c>
      <c r="B141" s="121" t="s">
        <v>272</v>
      </c>
      <c r="C141" s="120">
        <v>23873</v>
      </c>
      <c r="D141" s="120">
        <v>0</v>
      </c>
      <c r="E141" s="120">
        <v>0</v>
      </c>
      <c r="F141" s="120">
        <v>0</v>
      </c>
      <c r="G141" s="123">
        <v>239</v>
      </c>
      <c r="H141" s="123">
        <v>4626</v>
      </c>
      <c r="I141" s="123">
        <v>9</v>
      </c>
      <c r="J141" s="125">
        <v>0</v>
      </c>
      <c r="K141" s="125">
        <v>0</v>
      </c>
      <c r="L141" s="125">
        <v>0</v>
      </c>
      <c r="M141" s="127">
        <v>0</v>
      </c>
      <c r="N141" s="127">
        <v>0</v>
      </c>
      <c r="O141" s="127">
        <v>0</v>
      </c>
      <c r="P141" s="129">
        <v>0</v>
      </c>
      <c r="Q141" s="129">
        <v>0</v>
      </c>
      <c r="R141" s="129">
        <v>0</v>
      </c>
      <c r="S141" s="125">
        <v>85847</v>
      </c>
      <c r="T141" s="125">
        <v>2440</v>
      </c>
      <c r="U141" s="125">
        <v>0</v>
      </c>
      <c r="V141" s="136">
        <v>457</v>
      </c>
      <c r="W141" s="136">
        <v>45413</v>
      </c>
      <c r="X141" s="136">
        <v>936</v>
      </c>
      <c r="Y141" s="137">
        <v>0</v>
      </c>
      <c r="Z141" s="137">
        <v>52</v>
      </c>
      <c r="AA141" s="137">
        <v>11</v>
      </c>
      <c r="AB141" s="141">
        <v>0</v>
      </c>
      <c r="AC141" s="141">
        <v>0</v>
      </c>
      <c r="AD141" s="141">
        <v>0</v>
      </c>
    </row>
    <row r="142" spans="1:30" ht="14.25">
      <c r="A142">
        <v>430</v>
      </c>
      <c r="B142" s="121" t="s">
        <v>274</v>
      </c>
      <c r="C142" s="120">
        <v>31047</v>
      </c>
      <c r="D142" s="120">
        <v>0</v>
      </c>
      <c r="E142" s="120">
        <v>2</v>
      </c>
      <c r="F142" s="120">
        <v>0</v>
      </c>
      <c r="G142" s="123">
        <v>198</v>
      </c>
      <c r="H142" s="123">
        <v>9592</v>
      </c>
      <c r="I142" s="123">
        <v>0</v>
      </c>
      <c r="J142" s="125">
        <v>0</v>
      </c>
      <c r="K142" s="125">
        <v>0</v>
      </c>
      <c r="L142" s="125">
        <v>0</v>
      </c>
      <c r="M142" s="127">
        <v>0</v>
      </c>
      <c r="N142" s="127">
        <v>0</v>
      </c>
      <c r="O142" s="127">
        <v>0</v>
      </c>
      <c r="P142" s="129">
        <v>0</v>
      </c>
      <c r="Q142" s="129">
        <v>0</v>
      </c>
      <c r="R142" s="129">
        <v>0</v>
      </c>
      <c r="S142" s="125">
        <v>121531</v>
      </c>
      <c r="T142" s="125">
        <v>4051</v>
      </c>
      <c r="U142" s="125">
        <v>0</v>
      </c>
      <c r="V142" s="136">
        <v>526</v>
      </c>
      <c r="W142" s="136">
        <v>71065</v>
      </c>
      <c r="X142" s="136">
        <v>1173</v>
      </c>
      <c r="Y142" s="137">
        <v>0</v>
      </c>
      <c r="Z142" s="137">
        <v>52</v>
      </c>
      <c r="AA142" s="137">
        <v>0</v>
      </c>
      <c r="AB142" s="141">
        <v>0</v>
      </c>
      <c r="AC142" s="141">
        <v>0</v>
      </c>
      <c r="AD142" s="141">
        <v>0</v>
      </c>
    </row>
    <row r="143" spans="1:30" ht="14.25">
      <c r="A143">
        <v>433</v>
      </c>
      <c r="B143" s="121" t="s">
        <v>275</v>
      </c>
      <c r="C143" s="120">
        <v>9096</v>
      </c>
      <c r="D143" s="120">
        <v>0</v>
      </c>
      <c r="E143" s="120">
        <v>68</v>
      </c>
      <c r="F143" s="120">
        <v>96</v>
      </c>
      <c r="G143" s="123">
        <v>52</v>
      </c>
      <c r="H143" s="123">
        <v>2672</v>
      </c>
      <c r="I143" s="123">
        <v>0</v>
      </c>
      <c r="J143" s="125">
        <v>0</v>
      </c>
      <c r="K143" s="125">
        <v>0</v>
      </c>
      <c r="L143" s="125">
        <v>0</v>
      </c>
      <c r="M143" s="127">
        <v>0</v>
      </c>
      <c r="N143" s="127">
        <v>0</v>
      </c>
      <c r="O143" s="127">
        <v>0</v>
      </c>
      <c r="P143" s="129">
        <v>0</v>
      </c>
      <c r="Q143" s="129">
        <v>0</v>
      </c>
      <c r="R143" s="129">
        <v>0</v>
      </c>
      <c r="S143" s="125">
        <v>49396</v>
      </c>
      <c r="T143" s="125">
        <v>1770</v>
      </c>
      <c r="U143" s="125">
        <v>96</v>
      </c>
      <c r="V143" s="136">
        <v>495</v>
      </c>
      <c r="W143" s="136">
        <v>26601</v>
      </c>
      <c r="X143" s="136">
        <v>419</v>
      </c>
      <c r="Y143" s="137">
        <v>0</v>
      </c>
      <c r="Z143" s="137">
        <v>111</v>
      </c>
      <c r="AA143" s="137">
        <v>0</v>
      </c>
      <c r="AB143" s="141">
        <v>0</v>
      </c>
      <c r="AC143" s="141">
        <v>0</v>
      </c>
      <c r="AD143" s="141">
        <v>0</v>
      </c>
    </row>
    <row r="144" spans="1:30" ht="14.25">
      <c r="A144">
        <v>434</v>
      </c>
      <c r="B144" s="121" t="s">
        <v>276</v>
      </c>
      <c r="C144" s="120">
        <v>44668</v>
      </c>
      <c r="D144" s="120">
        <v>0</v>
      </c>
      <c r="E144" s="120">
        <v>0</v>
      </c>
      <c r="F144" s="120">
        <v>0</v>
      </c>
      <c r="G144" s="123">
        <v>92</v>
      </c>
      <c r="H144" s="123">
        <v>9040</v>
      </c>
      <c r="I144" s="123">
        <v>0</v>
      </c>
      <c r="J144" s="125">
        <v>0</v>
      </c>
      <c r="K144" s="125">
        <v>0</v>
      </c>
      <c r="L144" s="125">
        <v>0</v>
      </c>
      <c r="M144" s="127">
        <v>0</v>
      </c>
      <c r="N144" s="127">
        <v>0</v>
      </c>
      <c r="O144" s="127">
        <v>0</v>
      </c>
      <c r="P144" s="129">
        <v>0</v>
      </c>
      <c r="Q144" s="129">
        <v>0</v>
      </c>
      <c r="R144" s="129">
        <v>0</v>
      </c>
      <c r="S144" s="125">
        <v>131898</v>
      </c>
      <c r="T144" s="125">
        <v>4070</v>
      </c>
      <c r="U144" s="125">
        <v>0</v>
      </c>
      <c r="V144" s="136">
        <v>1609</v>
      </c>
      <c r="W144" s="136">
        <v>60967</v>
      </c>
      <c r="X144" s="136">
        <v>1979</v>
      </c>
      <c r="Y144" s="137">
        <v>0</v>
      </c>
      <c r="Z144" s="137">
        <v>37</v>
      </c>
      <c r="AA144" s="137">
        <v>0</v>
      </c>
      <c r="AB144" s="141">
        <v>0</v>
      </c>
      <c r="AC144" s="141">
        <v>0</v>
      </c>
      <c r="AD144" s="141">
        <v>0</v>
      </c>
    </row>
    <row r="145" spans="1:30" ht="14.25">
      <c r="A145">
        <v>435</v>
      </c>
      <c r="B145" s="121" t="s">
        <v>277</v>
      </c>
      <c r="C145" s="120">
        <v>1204</v>
      </c>
      <c r="D145" s="120">
        <v>0</v>
      </c>
      <c r="E145" s="120">
        <v>0</v>
      </c>
      <c r="F145" s="120">
        <v>0</v>
      </c>
      <c r="G145" s="123">
        <v>1</v>
      </c>
      <c r="H145" s="123">
        <v>380</v>
      </c>
      <c r="I145" s="123">
        <v>0</v>
      </c>
      <c r="J145" s="125">
        <v>0</v>
      </c>
      <c r="K145" s="125">
        <v>0</v>
      </c>
      <c r="L145" s="125">
        <v>0</v>
      </c>
      <c r="M145" s="127">
        <v>0</v>
      </c>
      <c r="N145" s="127">
        <v>0</v>
      </c>
      <c r="O145" s="127">
        <v>0</v>
      </c>
      <c r="P145" s="129">
        <v>0</v>
      </c>
      <c r="Q145" s="129">
        <v>0</v>
      </c>
      <c r="R145" s="129">
        <v>0</v>
      </c>
      <c r="S145" s="125">
        <v>5848</v>
      </c>
      <c r="T145" s="125">
        <v>199</v>
      </c>
      <c r="U145" s="125">
        <v>0</v>
      </c>
      <c r="V145" s="136">
        <v>54</v>
      </c>
      <c r="W145" s="136">
        <v>3404</v>
      </c>
      <c r="X145" s="136">
        <v>56</v>
      </c>
      <c r="Y145" s="137">
        <v>0</v>
      </c>
      <c r="Z145" s="137">
        <v>0</v>
      </c>
      <c r="AA145" s="137">
        <v>0</v>
      </c>
      <c r="AB145" s="141">
        <v>0</v>
      </c>
      <c r="AC145" s="141">
        <v>0</v>
      </c>
      <c r="AD145" s="141">
        <v>0</v>
      </c>
    </row>
    <row r="146" spans="1:30" ht="14.25">
      <c r="A146">
        <v>436</v>
      </c>
      <c r="B146" s="121" t="s">
        <v>278</v>
      </c>
      <c r="C146" s="120">
        <v>3818</v>
      </c>
      <c r="D146" s="120">
        <v>0</v>
      </c>
      <c r="E146" s="120">
        <v>9</v>
      </c>
      <c r="F146" s="120">
        <v>0</v>
      </c>
      <c r="G146" s="123">
        <v>2</v>
      </c>
      <c r="H146" s="123">
        <v>1041</v>
      </c>
      <c r="I146" s="123">
        <v>4</v>
      </c>
      <c r="J146" s="125">
        <v>0</v>
      </c>
      <c r="K146" s="125">
        <v>0</v>
      </c>
      <c r="L146" s="125">
        <v>0</v>
      </c>
      <c r="M146" s="127">
        <v>0</v>
      </c>
      <c r="N146" s="127">
        <v>0</v>
      </c>
      <c r="O146" s="127">
        <v>0</v>
      </c>
      <c r="P146" s="129">
        <v>0</v>
      </c>
      <c r="Q146" s="129">
        <v>0</v>
      </c>
      <c r="R146" s="129">
        <v>0</v>
      </c>
      <c r="S146" s="125">
        <v>14491</v>
      </c>
      <c r="T146" s="125">
        <v>623</v>
      </c>
      <c r="U146" s="125">
        <v>419</v>
      </c>
      <c r="V146" s="136">
        <v>104</v>
      </c>
      <c r="W146" s="136">
        <v>6873</v>
      </c>
      <c r="X146" s="136">
        <v>11</v>
      </c>
      <c r="Y146" s="137">
        <v>0</v>
      </c>
      <c r="Z146" s="137">
        <v>21</v>
      </c>
      <c r="AA146" s="137">
        <v>1</v>
      </c>
      <c r="AB146" s="141">
        <v>0</v>
      </c>
      <c r="AC146" s="141">
        <v>168</v>
      </c>
      <c r="AD146" s="141">
        <v>0</v>
      </c>
    </row>
    <row r="147" spans="1:30" ht="14.25">
      <c r="A147">
        <v>440</v>
      </c>
      <c r="B147" s="121" t="s">
        <v>279</v>
      </c>
      <c r="C147" s="120">
        <v>7137</v>
      </c>
      <c r="D147" s="120">
        <v>0</v>
      </c>
      <c r="E147" s="120">
        <v>0</v>
      </c>
      <c r="F147" s="120">
        <v>0</v>
      </c>
      <c r="G147" s="123">
        <v>0</v>
      </c>
      <c r="H147" s="123">
        <v>106</v>
      </c>
      <c r="I147" s="123">
        <v>0</v>
      </c>
      <c r="J147" s="125">
        <v>0</v>
      </c>
      <c r="K147" s="125">
        <v>0</v>
      </c>
      <c r="L147" s="125">
        <v>0</v>
      </c>
      <c r="M147" s="127">
        <v>0</v>
      </c>
      <c r="N147" s="127">
        <v>0</v>
      </c>
      <c r="O147" s="127">
        <v>0</v>
      </c>
      <c r="P147" s="129">
        <v>0</v>
      </c>
      <c r="Q147" s="129">
        <v>0</v>
      </c>
      <c r="R147" s="129">
        <v>0</v>
      </c>
      <c r="S147" s="125">
        <v>31966</v>
      </c>
      <c r="T147" s="125">
        <v>1125</v>
      </c>
      <c r="U147" s="125">
        <v>0</v>
      </c>
      <c r="V147" s="136">
        <v>21</v>
      </c>
      <c r="W147" s="136">
        <v>13071</v>
      </c>
      <c r="X147" s="136">
        <v>310</v>
      </c>
      <c r="Y147" s="137">
        <v>0</v>
      </c>
      <c r="Z147" s="137">
        <v>0</v>
      </c>
      <c r="AA147" s="137">
        <v>10</v>
      </c>
      <c r="AB147" s="141">
        <v>0</v>
      </c>
      <c r="AC147" s="141">
        <v>0</v>
      </c>
      <c r="AD147" s="141">
        <v>0</v>
      </c>
    </row>
    <row r="148" spans="1:30" ht="14.25">
      <c r="A148">
        <v>441</v>
      </c>
      <c r="B148" s="121" t="s">
        <v>280</v>
      </c>
      <c r="C148" s="120">
        <v>6114</v>
      </c>
      <c r="D148" s="120">
        <v>0</v>
      </c>
      <c r="E148" s="120">
        <v>7</v>
      </c>
      <c r="F148" s="120">
        <v>0</v>
      </c>
      <c r="G148" s="123">
        <v>152</v>
      </c>
      <c r="H148" s="123">
        <v>242</v>
      </c>
      <c r="I148" s="123">
        <v>0</v>
      </c>
      <c r="J148" s="125">
        <v>0</v>
      </c>
      <c r="K148" s="125">
        <v>0</v>
      </c>
      <c r="L148" s="125">
        <v>0</v>
      </c>
      <c r="M148" s="127">
        <v>0</v>
      </c>
      <c r="N148" s="127">
        <v>0</v>
      </c>
      <c r="O148" s="127">
        <v>0</v>
      </c>
      <c r="P148" s="129">
        <v>0</v>
      </c>
      <c r="Q148" s="129">
        <v>0</v>
      </c>
      <c r="R148" s="129">
        <v>0</v>
      </c>
      <c r="S148" s="125">
        <v>34322</v>
      </c>
      <c r="T148" s="125">
        <v>1819</v>
      </c>
      <c r="U148" s="125">
        <v>0</v>
      </c>
      <c r="V148" s="136">
        <v>365</v>
      </c>
      <c r="W148" s="136">
        <v>19296</v>
      </c>
      <c r="X148" s="136">
        <v>431</v>
      </c>
      <c r="Y148" s="137">
        <v>0</v>
      </c>
      <c r="Z148" s="137">
        <v>0</v>
      </c>
      <c r="AA148" s="137">
        <v>0</v>
      </c>
      <c r="AB148" s="141">
        <v>0</v>
      </c>
      <c r="AC148" s="141">
        <v>0</v>
      </c>
      <c r="AD148" s="141">
        <v>0</v>
      </c>
    </row>
    <row r="149" spans="1:30" ht="14.25">
      <c r="A149">
        <v>442</v>
      </c>
      <c r="B149" s="121" t="s">
        <v>281</v>
      </c>
      <c r="C149" s="120">
        <v>4158</v>
      </c>
      <c r="D149" s="120">
        <v>0</v>
      </c>
      <c r="E149" s="120">
        <v>0</v>
      </c>
      <c r="F149" s="120">
        <v>358</v>
      </c>
      <c r="G149" s="123">
        <v>0</v>
      </c>
      <c r="H149" s="123">
        <v>698</v>
      </c>
      <c r="I149" s="123">
        <v>1</v>
      </c>
      <c r="J149" s="125">
        <v>0</v>
      </c>
      <c r="K149" s="125">
        <v>0</v>
      </c>
      <c r="L149" s="125">
        <v>0</v>
      </c>
      <c r="M149" s="127">
        <v>0</v>
      </c>
      <c r="N149" s="127">
        <v>0</v>
      </c>
      <c r="O149" s="127">
        <v>0</v>
      </c>
      <c r="P149" s="129">
        <v>0</v>
      </c>
      <c r="Q149" s="129">
        <v>0</v>
      </c>
      <c r="R149" s="129">
        <v>0</v>
      </c>
      <c r="S149" s="125">
        <v>20782</v>
      </c>
      <c r="T149" s="125">
        <v>770</v>
      </c>
      <c r="U149" s="125">
        <v>358</v>
      </c>
      <c r="V149" s="136">
        <v>50</v>
      </c>
      <c r="W149" s="136">
        <v>10705</v>
      </c>
      <c r="X149" s="136">
        <v>294</v>
      </c>
      <c r="Y149" s="137">
        <v>0</v>
      </c>
      <c r="Z149" s="137">
        <v>8</v>
      </c>
      <c r="AA149" s="137">
        <v>0</v>
      </c>
      <c r="AB149" s="141">
        <v>0</v>
      </c>
      <c r="AC149" s="141">
        <v>101</v>
      </c>
      <c r="AD149" s="141">
        <v>1</v>
      </c>
    </row>
    <row r="150" spans="1:30" ht="14.25">
      <c r="A150">
        <v>444</v>
      </c>
      <c r="B150" s="121" t="s">
        <v>273</v>
      </c>
      <c r="C150" s="120">
        <v>81062</v>
      </c>
      <c r="D150" s="120">
        <v>0</v>
      </c>
      <c r="E150" s="120">
        <v>0</v>
      </c>
      <c r="F150" s="120">
        <v>20937</v>
      </c>
      <c r="G150" s="123">
        <v>0</v>
      </c>
      <c r="H150" s="123">
        <v>21964</v>
      </c>
      <c r="I150" s="123">
        <v>0</v>
      </c>
      <c r="J150" s="125">
        <v>0</v>
      </c>
      <c r="K150" s="125">
        <v>0</v>
      </c>
      <c r="L150" s="125">
        <v>0</v>
      </c>
      <c r="M150" s="127">
        <v>0</v>
      </c>
      <c r="N150" s="127">
        <v>0</v>
      </c>
      <c r="O150" s="127">
        <v>0</v>
      </c>
      <c r="P150" s="129">
        <v>0</v>
      </c>
      <c r="Q150" s="129">
        <v>5356</v>
      </c>
      <c r="R150" s="129">
        <v>0</v>
      </c>
      <c r="S150" s="125">
        <v>321496</v>
      </c>
      <c r="T150" s="125">
        <v>13632</v>
      </c>
      <c r="U150" s="125">
        <v>20937</v>
      </c>
      <c r="V150" s="136">
        <v>3578</v>
      </c>
      <c r="W150" s="136">
        <v>171735</v>
      </c>
      <c r="X150" s="136">
        <v>3103</v>
      </c>
      <c r="Y150" s="137">
        <v>0</v>
      </c>
      <c r="Z150" s="137">
        <v>408</v>
      </c>
      <c r="AA150" s="137">
        <v>0</v>
      </c>
      <c r="AB150" s="141">
        <v>4</v>
      </c>
      <c r="AC150" s="141">
        <v>8767</v>
      </c>
      <c r="AD150" s="141">
        <v>68</v>
      </c>
    </row>
    <row r="151" spans="1:30" ht="14.25">
      <c r="A151">
        <v>445</v>
      </c>
      <c r="B151" s="121" t="s">
        <v>130</v>
      </c>
      <c r="C151" s="120">
        <v>27257</v>
      </c>
      <c r="D151" s="120">
        <v>0</v>
      </c>
      <c r="E151" s="120">
        <v>0</v>
      </c>
      <c r="F151" s="120">
        <v>0</v>
      </c>
      <c r="G151" s="123">
        <v>195</v>
      </c>
      <c r="H151" s="123">
        <v>6946</v>
      </c>
      <c r="I151" s="123">
        <v>1</v>
      </c>
      <c r="J151" s="125">
        <v>0</v>
      </c>
      <c r="K151" s="125">
        <v>0</v>
      </c>
      <c r="L151" s="125">
        <v>0</v>
      </c>
      <c r="M151" s="127">
        <v>0</v>
      </c>
      <c r="N151" s="127">
        <v>0</v>
      </c>
      <c r="O151" s="127">
        <v>0</v>
      </c>
      <c r="P151" s="129">
        <v>0</v>
      </c>
      <c r="Q151" s="129">
        <v>0</v>
      </c>
      <c r="R151" s="129">
        <v>0</v>
      </c>
      <c r="S151" s="125">
        <v>115122</v>
      </c>
      <c r="T151" s="125">
        <v>4609</v>
      </c>
      <c r="U151" s="125">
        <v>0</v>
      </c>
      <c r="V151" s="136">
        <v>779</v>
      </c>
      <c r="W151" s="136">
        <v>56539</v>
      </c>
      <c r="X151" s="136">
        <v>1248</v>
      </c>
      <c r="Y151" s="137">
        <v>0</v>
      </c>
      <c r="Z151" s="137">
        <v>507</v>
      </c>
      <c r="AA151" s="137">
        <v>75</v>
      </c>
      <c r="AB151" s="141">
        <v>0</v>
      </c>
      <c r="AC151" s="141">
        <v>0</v>
      </c>
      <c r="AD151" s="141">
        <v>0</v>
      </c>
    </row>
    <row r="152" spans="1:30" ht="14.25">
      <c r="A152">
        <v>475</v>
      </c>
      <c r="B152" s="121" t="s">
        <v>282</v>
      </c>
      <c r="C152" s="120">
        <v>12473</v>
      </c>
      <c r="D152" s="120">
        <v>0</v>
      </c>
      <c r="E152" s="120">
        <v>32</v>
      </c>
      <c r="F152" s="120">
        <v>0</v>
      </c>
      <c r="G152" s="123">
        <v>4</v>
      </c>
      <c r="H152" s="123">
        <v>4952</v>
      </c>
      <c r="I152" s="123">
        <v>0</v>
      </c>
      <c r="J152" s="125">
        <v>0</v>
      </c>
      <c r="K152" s="125">
        <v>0</v>
      </c>
      <c r="L152" s="125">
        <v>0</v>
      </c>
      <c r="M152" s="127">
        <v>0</v>
      </c>
      <c r="N152" s="127">
        <v>0</v>
      </c>
      <c r="O152" s="127">
        <v>0</v>
      </c>
      <c r="P152" s="129">
        <v>0</v>
      </c>
      <c r="Q152" s="129">
        <v>0</v>
      </c>
      <c r="R152" s="129">
        <v>0</v>
      </c>
      <c r="S152" s="125">
        <v>46074</v>
      </c>
      <c r="T152" s="125">
        <v>1421</v>
      </c>
      <c r="U152" s="125">
        <v>0</v>
      </c>
      <c r="V152" s="136">
        <v>151</v>
      </c>
      <c r="W152" s="136">
        <v>25908</v>
      </c>
      <c r="X152" s="136">
        <v>370</v>
      </c>
      <c r="Y152" s="137">
        <v>0</v>
      </c>
      <c r="Z152" s="137">
        <v>106</v>
      </c>
      <c r="AA152" s="137">
        <v>0</v>
      </c>
      <c r="AB152" s="141">
        <v>0</v>
      </c>
      <c r="AC152" s="141">
        <v>0</v>
      </c>
      <c r="AD152" s="141">
        <v>0</v>
      </c>
    </row>
    <row r="153" spans="1:30" ht="14.25">
      <c r="A153">
        <v>480</v>
      </c>
      <c r="B153" s="121" t="s">
        <v>283</v>
      </c>
      <c r="C153" s="120">
        <v>2797</v>
      </c>
      <c r="D153" s="120">
        <v>0</v>
      </c>
      <c r="E153" s="120">
        <v>0</v>
      </c>
      <c r="F153" s="120">
        <v>0</v>
      </c>
      <c r="G153" s="123">
        <v>11</v>
      </c>
      <c r="H153" s="123">
        <v>773</v>
      </c>
      <c r="I153" s="123">
        <v>0</v>
      </c>
      <c r="J153" s="125">
        <v>0</v>
      </c>
      <c r="K153" s="125">
        <v>0</v>
      </c>
      <c r="L153" s="125">
        <v>0</v>
      </c>
      <c r="M153" s="127">
        <v>0</v>
      </c>
      <c r="N153" s="127">
        <v>0</v>
      </c>
      <c r="O153" s="127">
        <v>0</v>
      </c>
      <c r="P153" s="129">
        <v>0</v>
      </c>
      <c r="Q153" s="129">
        <v>0</v>
      </c>
      <c r="R153" s="129">
        <v>0</v>
      </c>
      <c r="S153" s="125">
        <v>13314</v>
      </c>
      <c r="T153" s="125">
        <v>422</v>
      </c>
      <c r="U153" s="125">
        <v>0</v>
      </c>
      <c r="V153" s="136">
        <v>72</v>
      </c>
      <c r="W153" s="136">
        <v>7554</v>
      </c>
      <c r="X153" s="136">
        <v>144</v>
      </c>
      <c r="Y153" s="137">
        <v>0</v>
      </c>
      <c r="Z153" s="137">
        <v>52</v>
      </c>
      <c r="AA153" s="137">
        <v>0</v>
      </c>
      <c r="AB153" s="141">
        <v>0</v>
      </c>
      <c r="AC153" s="141">
        <v>0</v>
      </c>
      <c r="AD153" s="141">
        <v>0</v>
      </c>
    </row>
    <row r="154" spans="1:30" ht="14.25">
      <c r="A154">
        <v>481</v>
      </c>
      <c r="B154" s="121" t="s">
        <v>284</v>
      </c>
      <c r="C154" s="120">
        <v>8443</v>
      </c>
      <c r="D154" s="120">
        <v>0</v>
      </c>
      <c r="E154" s="120">
        <v>0</v>
      </c>
      <c r="F154" s="120">
        <v>660</v>
      </c>
      <c r="G154" s="123">
        <v>0</v>
      </c>
      <c r="H154" s="123">
        <v>743</v>
      </c>
      <c r="I154" s="123">
        <v>0</v>
      </c>
      <c r="J154" s="125">
        <v>0</v>
      </c>
      <c r="K154" s="125">
        <v>0</v>
      </c>
      <c r="L154" s="125">
        <v>0</v>
      </c>
      <c r="M154" s="127">
        <v>0</v>
      </c>
      <c r="N154" s="127">
        <v>0</v>
      </c>
      <c r="O154" s="127">
        <v>0</v>
      </c>
      <c r="P154" s="129">
        <v>0</v>
      </c>
      <c r="Q154" s="129">
        <v>0</v>
      </c>
      <c r="R154" s="129">
        <v>0</v>
      </c>
      <c r="S154" s="125">
        <v>52417</v>
      </c>
      <c r="T154" s="125">
        <v>2569</v>
      </c>
      <c r="U154" s="125">
        <v>2793</v>
      </c>
      <c r="V154" s="136">
        <v>191</v>
      </c>
      <c r="W154" s="136">
        <v>27033</v>
      </c>
      <c r="X154" s="136">
        <v>687</v>
      </c>
      <c r="Y154" s="137">
        <v>0</v>
      </c>
      <c r="Z154" s="137">
        <v>21</v>
      </c>
      <c r="AA154" s="137">
        <v>6</v>
      </c>
      <c r="AB154" s="141">
        <v>0</v>
      </c>
      <c r="AC154" s="141">
        <v>43</v>
      </c>
      <c r="AD154" s="141">
        <v>10</v>
      </c>
    </row>
    <row r="155" spans="1:30" ht="14.25">
      <c r="A155">
        <v>483</v>
      </c>
      <c r="B155" s="121" t="s">
        <v>285</v>
      </c>
      <c r="C155" s="120">
        <v>1919</v>
      </c>
      <c r="D155" s="120">
        <v>0</v>
      </c>
      <c r="E155" s="120">
        <v>0</v>
      </c>
      <c r="F155" s="120">
        <v>0</v>
      </c>
      <c r="G155" s="123">
        <v>0</v>
      </c>
      <c r="H155" s="123">
        <v>162</v>
      </c>
      <c r="I155" s="123">
        <v>0</v>
      </c>
      <c r="J155" s="125">
        <v>0</v>
      </c>
      <c r="K155" s="125">
        <v>0</v>
      </c>
      <c r="L155" s="125">
        <v>0</v>
      </c>
      <c r="M155" s="127">
        <v>0</v>
      </c>
      <c r="N155" s="127">
        <v>0</v>
      </c>
      <c r="O155" s="127">
        <v>0</v>
      </c>
      <c r="P155" s="129">
        <v>0</v>
      </c>
      <c r="Q155" s="129">
        <v>0</v>
      </c>
      <c r="R155" s="129">
        <v>0</v>
      </c>
      <c r="S155" s="125">
        <v>8515</v>
      </c>
      <c r="T155" s="125">
        <v>388</v>
      </c>
      <c r="U155" s="125">
        <v>22</v>
      </c>
      <c r="V155" s="136">
        <v>50</v>
      </c>
      <c r="W155" s="136">
        <v>4177</v>
      </c>
      <c r="X155" s="136">
        <v>81</v>
      </c>
      <c r="Y155" s="137">
        <v>0</v>
      </c>
      <c r="Z155" s="137">
        <v>0</v>
      </c>
      <c r="AA155" s="137">
        <v>0</v>
      </c>
      <c r="AB155" s="141">
        <v>0</v>
      </c>
      <c r="AC155" s="141">
        <v>1</v>
      </c>
      <c r="AD155" s="141">
        <v>0</v>
      </c>
    </row>
    <row r="156" spans="1:30" ht="14.25">
      <c r="A156">
        <v>484</v>
      </c>
      <c r="B156" s="121" t="s">
        <v>286</v>
      </c>
      <c r="C156" s="120">
        <v>5305</v>
      </c>
      <c r="D156" s="120">
        <v>0</v>
      </c>
      <c r="E156" s="120">
        <v>0</v>
      </c>
      <c r="F156" s="120">
        <v>329</v>
      </c>
      <c r="G156" s="123">
        <v>0</v>
      </c>
      <c r="H156" s="123">
        <v>138</v>
      </c>
      <c r="I156" s="123">
        <v>0</v>
      </c>
      <c r="J156" s="125">
        <v>0</v>
      </c>
      <c r="K156" s="125">
        <v>0</v>
      </c>
      <c r="L156" s="125">
        <v>0</v>
      </c>
      <c r="M156" s="127">
        <v>0</v>
      </c>
      <c r="N156" s="127">
        <v>0</v>
      </c>
      <c r="O156" s="127">
        <v>0</v>
      </c>
      <c r="P156" s="129">
        <v>0</v>
      </c>
      <c r="Q156" s="129">
        <v>0</v>
      </c>
      <c r="R156" s="129">
        <v>0</v>
      </c>
      <c r="S156" s="125">
        <v>25916</v>
      </c>
      <c r="T156" s="125">
        <v>1137</v>
      </c>
      <c r="U156" s="125">
        <v>329</v>
      </c>
      <c r="V156" s="136">
        <v>115</v>
      </c>
      <c r="W156" s="136">
        <v>12853</v>
      </c>
      <c r="X156" s="136">
        <v>350</v>
      </c>
      <c r="Y156" s="137">
        <v>0</v>
      </c>
      <c r="Z156" s="137">
        <v>0</v>
      </c>
      <c r="AA156" s="137">
        <v>23</v>
      </c>
      <c r="AB156" s="141">
        <v>0</v>
      </c>
      <c r="AC156" s="141">
        <v>0</v>
      </c>
      <c r="AD156" s="141">
        <v>0</v>
      </c>
    </row>
    <row r="157" spans="1:30" ht="14.25">
      <c r="A157">
        <v>489</v>
      </c>
      <c r="B157" s="121" t="s">
        <v>287</v>
      </c>
      <c r="C157" s="120">
        <v>12634</v>
      </c>
      <c r="D157" s="120">
        <v>0</v>
      </c>
      <c r="E157" s="120">
        <v>0</v>
      </c>
      <c r="F157" s="120">
        <v>0</v>
      </c>
      <c r="G157" s="123">
        <v>199</v>
      </c>
      <c r="H157" s="123">
        <v>8976</v>
      </c>
      <c r="I157" s="123">
        <v>1</v>
      </c>
      <c r="J157" s="125">
        <v>0</v>
      </c>
      <c r="K157" s="125">
        <v>0</v>
      </c>
      <c r="L157" s="125">
        <v>0</v>
      </c>
      <c r="M157" s="127">
        <v>0</v>
      </c>
      <c r="N157" s="127">
        <v>0</v>
      </c>
      <c r="O157" s="127">
        <v>0</v>
      </c>
      <c r="P157" s="129">
        <v>0</v>
      </c>
      <c r="Q157" s="129">
        <v>0</v>
      </c>
      <c r="R157" s="129">
        <v>0</v>
      </c>
      <c r="S157" s="125">
        <v>24755</v>
      </c>
      <c r="T157" s="125">
        <v>666</v>
      </c>
      <c r="U157" s="125">
        <v>0</v>
      </c>
      <c r="V157" s="136">
        <v>383</v>
      </c>
      <c r="W157" s="136">
        <v>16365</v>
      </c>
      <c r="X157" s="136">
        <v>177</v>
      </c>
      <c r="Y157" s="137">
        <v>0</v>
      </c>
      <c r="Z157" s="137">
        <v>5</v>
      </c>
      <c r="AA157" s="137">
        <v>0</v>
      </c>
      <c r="AB157" s="141">
        <v>0</v>
      </c>
      <c r="AC157" s="141">
        <v>0</v>
      </c>
      <c r="AD157" s="141">
        <v>0</v>
      </c>
    </row>
    <row r="158" spans="1:30" ht="14.25">
      <c r="A158">
        <v>491</v>
      </c>
      <c r="B158" s="121" t="s">
        <v>288</v>
      </c>
      <c r="C158" s="120">
        <v>139623</v>
      </c>
      <c r="D158" s="120">
        <v>0</v>
      </c>
      <c r="E158" s="120">
        <v>677</v>
      </c>
      <c r="F158" s="120">
        <v>0</v>
      </c>
      <c r="G158" s="123">
        <v>472</v>
      </c>
      <c r="H158" s="123">
        <v>40441</v>
      </c>
      <c r="I158" s="123">
        <v>12293</v>
      </c>
      <c r="J158" s="125">
        <v>0</v>
      </c>
      <c r="K158" s="125">
        <v>0</v>
      </c>
      <c r="L158" s="125">
        <v>0</v>
      </c>
      <c r="M158" s="127">
        <v>0</v>
      </c>
      <c r="N158" s="127">
        <v>0</v>
      </c>
      <c r="O158" s="127">
        <v>0</v>
      </c>
      <c r="P158" s="129">
        <v>0</v>
      </c>
      <c r="Q158" s="129">
        <v>0</v>
      </c>
      <c r="R158" s="129">
        <v>0</v>
      </c>
      <c r="S158" s="125">
        <v>426444</v>
      </c>
      <c r="T158" s="125">
        <v>18290</v>
      </c>
      <c r="U158" s="125">
        <v>0</v>
      </c>
      <c r="V158" s="136">
        <v>340</v>
      </c>
      <c r="W158" s="136">
        <v>220235</v>
      </c>
      <c r="X158" s="136">
        <v>15895</v>
      </c>
      <c r="Y158" s="137">
        <v>0</v>
      </c>
      <c r="Z158" s="137">
        <v>140</v>
      </c>
      <c r="AA158" s="137">
        <v>785</v>
      </c>
      <c r="AB158" s="141">
        <v>0</v>
      </c>
      <c r="AC158" s="141">
        <v>0</v>
      </c>
      <c r="AD158" s="141">
        <v>0</v>
      </c>
    </row>
    <row r="159" spans="1:30" ht="14.25">
      <c r="A159">
        <v>494</v>
      </c>
      <c r="B159" s="121" t="s">
        <v>289</v>
      </c>
      <c r="C159" s="120">
        <v>20255</v>
      </c>
      <c r="D159" s="120">
        <v>0</v>
      </c>
      <c r="E159" s="120">
        <v>32</v>
      </c>
      <c r="F159" s="120">
        <v>1799</v>
      </c>
      <c r="G159" s="123">
        <v>36</v>
      </c>
      <c r="H159" s="123">
        <v>3560</v>
      </c>
      <c r="I159" s="123">
        <v>0</v>
      </c>
      <c r="J159" s="125">
        <v>0</v>
      </c>
      <c r="K159" s="125">
        <v>0</v>
      </c>
      <c r="L159" s="125">
        <v>0</v>
      </c>
      <c r="M159" s="127">
        <v>0</v>
      </c>
      <c r="N159" s="127">
        <v>0</v>
      </c>
      <c r="O159" s="127">
        <v>0</v>
      </c>
      <c r="P159" s="129">
        <v>0</v>
      </c>
      <c r="Q159" s="129">
        <v>0</v>
      </c>
      <c r="R159" s="129">
        <v>0</v>
      </c>
      <c r="S159" s="125">
        <v>70642</v>
      </c>
      <c r="T159" s="125">
        <v>2502</v>
      </c>
      <c r="U159" s="125">
        <v>1799</v>
      </c>
      <c r="V159" s="136">
        <v>300</v>
      </c>
      <c r="W159" s="136">
        <v>32891</v>
      </c>
      <c r="X159" s="136">
        <v>565</v>
      </c>
      <c r="Y159" s="137">
        <v>0</v>
      </c>
      <c r="Z159" s="137">
        <v>128</v>
      </c>
      <c r="AA159" s="137">
        <v>0</v>
      </c>
      <c r="AB159" s="141">
        <v>7</v>
      </c>
      <c r="AC159" s="141">
        <v>735</v>
      </c>
      <c r="AD159" s="141">
        <v>13</v>
      </c>
    </row>
    <row r="160" spans="1:30" ht="14.25">
      <c r="A160">
        <v>495</v>
      </c>
      <c r="B160" s="121" t="s">
        <v>290</v>
      </c>
      <c r="C160" s="120">
        <v>3386</v>
      </c>
      <c r="D160" s="120">
        <v>0</v>
      </c>
      <c r="E160" s="120">
        <v>0</v>
      </c>
      <c r="F160" s="120">
        <v>211</v>
      </c>
      <c r="G160" s="123">
        <v>0</v>
      </c>
      <c r="H160" s="123">
        <v>1050</v>
      </c>
      <c r="I160" s="123">
        <v>0</v>
      </c>
      <c r="J160" s="125">
        <v>0</v>
      </c>
      <c r="K160" s="125">
        <v>0</v>
      </c>
      <c r="L160" s="125">
        <v>0</v>
      </c>
      <c r="M160" s="127">
        <v>0</v>
      </c>
      <c r="N160" s="127">
        <v>0</v>
      </c>
      <c r="O160" s="127">
        <v>0</v>
      </c>
      <c r="P160" s="129">
        <v>0</v>
      </c>
      <c r="Q160" s="129">
        <v>0</v>
      </c>
      <c r="R160" s="129">
        <v>0</v>
      </c>
      <c r="S160" s="125">
        <v>14667</v>
      </c>
      <c r="T160" s="125">
        <v>368</v>
      </c>
      <c r="U160" s="125">
        <v>210</v>
      </c>
      <c r="V160" s="136">
        <v>0</v>
      </c>
      <c r="W160" s="136">
        <v>8675</v>
      </c>
      <c r="X160" s="136">
        <v>141</v>
      </c>
      <c r="Y160" s="137">
        <v>0</v>
      </c>
      <c r="Z160" s="137">
        <v>0</v>
      </c>
      <c r="AA160" s="137">
        <v>0</v>
      </c>
      <c r="AB160" s="141">
        <v>0</v>
      </c>
      <c r="AC160" s="141">
        <v>96</v>
      </c>
      <c r="AD160" s="141">
        <v>0</v>
      </c>
    </row>
    <row r="161" spans="1:30" ht="14.25">
      <c r="A161">
        <v>498</v>
      </c>
      <c r="B161" s="121" t="s">
        <v>291</v>
      </c>
      <c r="C161" s="120">
        <v>3295</v>
      </c>
      <c r="D161" s="120">
        <v>0</v>
      </c>
      <c r="E161" s="120">
        <v>0</v>
      </c>
      <c r="F161" s="120">
        <v>1072</v>
      </c>
      <c r="G161" s="123">
        <v>7</v>
      </c>
      <c r="H161" s="123">
        <v>370</v>
      </c>
      <c r="I161" s="123">
        <v>0</v>
      </c>
      <c r="J161" s="125">
        <v>0</v>
      </c>
      <c r="K161" s="125">
        <v>0</v>
      </c>
      <c r="L161" s="125">
        <v>0</v>
      </c>
      <c r="M161" s="127">
        <v>0</v>
      </c>
      <c r="N161" s="127">
        <v>0</v>
      </c>
      <c r="O161" s="127">
        <v>0</v>
      </c>
      <c r="P161" s="129">
        <v>0</v>
      </c>
      <c r="Q161" s="129">
        <v>0</v>
      </c>
      <c r="R161" s="129">
        <v>0</v>
      </c>
      <c r="S161" s="125">
        <v>19333</v>
      </c>
      <c r="T161" s="125">
        <v>692</v>
      </c>
      <c r="U161" s="125">
        <v>1072</v>
      </c>
      <c r="V161" s="136">
        <v>60</v>
      </c>
      <c r="W161" s="136">
        <v>9876</v>
      </c>
      <c r="X161" s="136">
        <v>293</v>
      </c>
      <c r="Y161" s="137">
        <v>0</v>
      </c>
      <c r="Z161" s="137">
        <v>2</v>
      </c>
      <c r="AA161" s="137">
        <v>0</v>
      </c>
      <c r="AB161" s="141">
        <v>0</v>
      </c>
      <c r="AC161" s="141">
        <v>152</v>
      </c>
      <c r="AD161" s="141">
        <v>0</v>
      </c>
    </row>
    <row r="162" spans="1:30" ht="14.25">
      <c r="A162">
        <v>499</v>
      </c>
      <c r="B162" s="121" t="s">
        <v>292</v>
      </c>
      <c r="C162" s="120">
        <v>38406</v>
      </c>
      <c r="D162" s="120">
        <v>0</v>
      </c>
      <c r="E162" s="120">
        <v>181</v>
      </c>
      <c r="F162" s="120">
        <v>1387</v>
      </c>
      <c r="G162" s="123">
        <v>227</v>
      </c>
      <c r="H162" s="123">
        <v>13904</v>
      </c>
      <c r="I162" s="123">
        <v>76</v>
      </c>
      <c r="J162" s="125">
        <v>0</v>
      </c>
      <c r="K162" s="125">
        <v>0</v>
      </c>
      <c r="L162" s="125">
        <v>0</v>
      </c>
      <c r="M162" s="127">
        <v>0</v>
      </c>
      <c r="N162" s="127">
        <v>0</v>
      </c>
      <c r="O162" s="127">
        <v>0</v>
      </c>
      <c r="P162" s="129">
        <v>0</v>
      </c>
      <c r="Q162" s="129">
        <v>0</v>
      </c>
      <c r="R162" s="129">
        <v>0</v>
      </c>
      <c r="S162" s="125">
        <v>136182</v>
      </c>
      <c r="T162" s="125">
        <v>7462</v>
      </c>
      <c r="U162" s="125">
        <v>1387</v>
      </c>
      <c r="V162" s="136">
        <v>995</v>
      </c>
      <c r="W162" s="136">
        <v>70474</v>
      </c>
      <c r="X162" s="136">
        <v>1347</v>
      </c>
      <c r="Y162" s="137">
        <v>0</v>
      </c>
      <c r="Z162" s="137">
        <v>662</v>
      </c>
      <c r="AA162" s="137">
        <v>0</v>
      </c>
      <c r="AB162" s="141">
        <v>0</v>
      </c>
      <c r="AC162" s="141">
        <v>286</v>
      </c>
      <c r="AD162" s="141">
        <v>0</v>
      </c>
    </row>
    <row r="163" spans="1:30" ht="14.25">
      <c r="A163">
        <v>500</v>
      </c>
      <c r="B163" s="121" t="s">
        <v>293</v>
      </c>
      <c r="C163" s="120">
        <v>14205</v>
      </c>
      <c r="D163" s="120">
        <v>0</v>
      </c>
      <c r="E163" s="120">
        <v>350</v>
      </c>
      <c r="F163" s="120">
        <v>1474</v>
      </c>
      <c r="G163" s="123">
        <v>293</v>
      </c>
      <c r="H163" s="123">
        <v>1963</v>
      </c>
      <c r="I163" s="123">
        <v>0</v>
      </c>
      <c r="J163" s="125">
        <v>0</v>
      </c>
      <c r="K163" s="125">
        <v>0</v>
      </c>
      <c r="L163" s="125">
        <v>0</v>
      </c>
      <c r="M163" s="127">
        <v>0</v>
      </c>
      <c r="N163" s="127">
        <v>0</v>
      </c>
      <c r="O163" s="127">
        <v>0</v>
      </c>
      <c r="P163" s="129">
        <v>0</v>
      </c>
      <c r="Q163" s="129">
        <v>112</v>
      </c>
      <c r="R163" s="129">
        <v>0</v>
      </c>
      <c r="S163" s="125">
        <v>56682</v>
      </c>
      <c r="T163" s="125">
        <v>3427</v>
      </c>
      <c r="U163" s="125">
        <v>1474</v>
      </c>
      <c r="V163" s="136">
        <v>1196</v>
      </c>
      <c r="W163" s="136">
        <v>24156</v>
      </c>
      <c r="X163" s="136">
        <v>774</v>
      </c>
      <c r="Y163" s="137">
        <v>3</v>
      </c>
      <c r="Z163" s="137">
        <v>3</v>
      </c>
      <c r="AA163" s="137">
        <v>0</v>
      </c>
      <c r="AB163" s="141">
        <v>20</v>
      </c>
      <c r="AC163" s="141">
        <v>153</v>
      </c>
      <c r="AD163" s="141">
        <v>0</v>
      </c>
    </row>
    <row r="164" spans="1:30" ht="14.25">
      <c r="A164">
        <v>503</v>
      </c>
      <c r="B164" s="121" t="s">
        <v>294</v>
      </c>
      <c r="C164" s="120">
        <v>9265</v>
      </c>
      <c r="D164" s="120">
        <v>0</v>
      </c>
      <c r="E164" s="120">
        <v>0</v>
      </c>
      <c r="F164" s="120">
        <v>681</v>
      </c>
      <c r="G164" s="123">
        <v>0</v>
      </c>
      <c r="H164" s="123">
        <v>46</v>
      </c>
      <c r="I164" s="123">
        <v>0</v>
      </c>
      <c r="J164" s="125">
        <v>0</v>
      </c>
      <c r="K164" s="125">
        <v>0</v>
      </c>
      <c r="L164" s="125">
        <v>0</v>
      </c>
      <c r="M164" s="127">
        <v>0</v>
      </c>
      <c r="N164" s="127">
        <v>0</v>
      </c>
      <c r="O164" s="127">
        <v>0</v>
      </c>
      <c r="P164" s="129">
        <v>0</v>
      </c>
      <c r="Q164" s="129">
        <v>0</v>
      </c>
      <c r="R164" s="129">
        <v>0</v>
      </c>
      <c r="S164" s="125">
        <v>51524</v>
      </c>
      <c r="T164" s="125">
        <v>1794</v>
      </c>
      <c r="U164" s="125">
        <v>681</v>
      </c>
      <c r="V164" s="136">
        <v>29</v>
      </c>
      <c r="W164" s="136">
        <v>27628</v>
      </c>
      <c r="X164" s="136">
        <v>546</v>
      </c>
      <c r="Y164" s="137">
        <v>0</v>
      </c>
      <c r="Z164" s="137">
        <v>0</v>
      </c>
      <c r="AA164" s="137">
        <v>0</v>
      </c>
      <c r="AB164" s="141">
        <v>0</v>
      </c>
      <c r="AC164" s="141">
        <v>0</v>
      </c>
      <c r="AD164" s="141">
        <v>0</v>
      </c>
    </row>
    <row r="165" spans="1:30" ht="14.25">
      <c r="A165">
        <v>504</v>
      </c>
      <c r="B165" s="121" t="s">
        <v>295</v>
      </c>
      <c r="C165" s="120">
        <v>1287</v>
      </c>
      <c r="D165" s="120">
        <v>0</v>
      </c>
      <c r="E165" s="120">
        <v>0</v>
      </c>
      <c r="F165" s="120">
        <v>0</v>
      </c>
      <c r="G165" s="123">
        <v>0</v>
      </c>
      <c r="H165" s="123">
        <v>0</v>
      </c>
      <c r="I165" s="123">
        <v>0</v>
      </c>
      <c r="J165" s="125">
        <v>0</v>
      </c>
      <c r="K165" s="125">
        <v>0</v>
      </c>
      <c r="L165" s="125">
        <v>0</v>
      </c>
      <c r="M165" s="127">
        <v>0</v>
      </c>
      <c r="N165" s="127">
        <v>0</v>
      </c>
      <c r="O165" s="127">
        <v>0</v>
      </c>
      <c r="P165" s="129">
        <v>0</v>
      </c>
      <c r="Q165" s="129">
        <v>0</v>
      </c>
      <c r="R165" s="129">
        <v>0</v>
      </c>
      <c r="S165" s="125">
        <v>11310</v>
      </c>
      <c r="T165" s="125">
        <v>545</v>
      </c>
      <c r="U165" s="125">
        <v>0</v>
      </c>
      <c r="V165" s="136">
        <v>215</v>
      </c>
      <c r="W165" s="136">
        <v>6433</v>
      </c>
      <c r="X165" s="136">
        <v>223</v>
      </c>
      <c r="Y165" s="137">
        <v>0</v>
      </c>
      <c r="Z165" s="137">
        <v>0</v>
      </c>
      <c r="AA165" s="137">
        <v>0</v>
      </c>
      <c r="AB165" s="141">
        <v>0</v>
      </c>
      <c r="AC165" s="141">
        <v>0</v>
      </c>
      <c r="AD165" s="141">
        <v>0</v>
      </c>
    </row>
    <row r="166" spans="1:30" ht="14.25">
      <c r="A166">
        <v>505</v>
      </c>
      <c r="B166" s="121" t="s">
        <v>296</v>
      </c>
      <c r="C166" s="120">
        <v>49724</v>
      </c>
      <c r="D166" s="120">
        <v>0</v>
      </c>
      <c r="E166" s="120">
        <v>58</v>
      </c>
      <c r="F166" s="120">
        <v>6724</v>
      </c>
      <c r="G166" s="123">
        <v>279</v>
      </c>
      <c r="H166" s="123">
        <v>19203</v>
      </c>
      <c r="I166" s="123">
        <v>0</v>
      </c>
      <c r="J166" s="125">
        <v>0</v>
      </c>
      <c r="K166" s="125">
        <v>0</v>
      </c>
      <c r="L166" s="125">
        <v>0</v>
      </c>
      <c r="M166" s="127">
        <v>0</v>
      </c>
      <c r="N166" s="127">
        <v>0</v>
      </c>
      <c r="O166" s="127">
        <v>0</v>
      </c>
      <c r="P166" s="129">
        <v>0</v>
      </c>
      <c r="Q166" s="129">
        <v>1836</v>
      </c>
      <c r="R166" s="129">
        <v>0</v>
      </c>
      <c r="S166" s="125">
        <v>147370</v>
      </c>
      <c r="T166" s="125">
        <v>5770</v>
      </c>
      <c r="U166" s="125">
        <v>6723</v>
      </c>
      <c r="V166" s="136">
        <v>1093</v>
      </c>
      <c r="W166" s="136">
        <v>72483</v>
      </c>
      <c r="X166" s="136">
        <v>1938</v>
      </c>
      <c r="Y166" s="137">
        <v>0</v>
      </c>
      <c r="Z166" s="137">
        <v>237</v>
      </c>
      <c r="AA166" s="137">
        <v>1</v>
      </c>
      <c r="AB166" s="141">
        <v>18</v>
      </c>
      <c r="AC166" s="141">
        <v>2867</v>
      </c>
      <c r="AD166" s="141">
        <v>0</v>
      </c>
    </row>
    <row r="167" spans="1:30" ht="14.25">
      <c r="A167">
        <v>507</v>
      </c>
      <c r="B167" s="121" t="s">
        <v>298</v>
      </c>
      <c r="C167" s="120">
        <v>12525</v>
      </c>
      <c r="D167" s="120">
        <v>0</v>
      </c>
      <c r="E167" s="120">
        <v>0</v>
      </c>
      <c r="F167" s="120">
        <v>1104</v>
      </c>
      <c r="G167" s="123">
        <v>249</v>
      </c>
      <c r="H167" s="123">
        <v>3765</v>
      </c>
      <c r="I167" s="123">
        <v>0</v>
      </c>
      <c r="J167" s="125">
        <v>0</v>
      </c>
      <c r="K167" s="125">
        <v>0</v>
      </c>
      <c r="L167" s="125">
        <v>0</v>
      </c>
      <c r="M167" s="127">
        <v>0</v>
      </c>
      <c r="N167" s="127">
        <v>0</v>
      </c>
      <c r="O167" s="127">
        <v>0</v>
      </c>
      <c r="P167" s="129">
        <v>0</v>
      </c>
      <c r="Q167" s="129">
        <v>99</v>
      </c>
      <c r="R167" s="129">
        <v>0</v>
      </c>
      <c r="S167" s="125">
        <v>48739</v>
      </c>
      <c r="T167" s="125">
        <v>2197</v>
      </c>
      <c r="U167" s="125">
        <v>1104</v>
      </c>
      <c r="V167" s="136">
        <v>656</v>
      </c>
      <c r="W167" s="136">
        <v>27770</v>
      </c>
      <c r="X167" s="136">
        <v>490</v>
      </c>
      <c r="Y167" s="137">
        <v>0</v>
      </c>
      <c r="Z167" s="137">
        <v>59</v>
      </c>
      <c r="AA167" s="137">
        <v>0</v>
      </c>
      <c r="AB167" s="141">
        <v>2</v>
      </c>
      <c r="AC167" s="141">
        <v>528</v>
      </c>
      <c r="AD167" s="141">
        <v>0</v>
      </c>
    </row>
    <row r="168" spans="1:30" ht="14.25">
      <c r="A168">
        <v>508</v>
      </c>
      <c r="B168" s="121" t="s">
        <v>297</v>
      </c>
      <c r="C168" s="120">
        <v>25669</v>
      </c>
      <c r="D168" s="120">
        <v>0</v>
      </c>
      <c r="E168" s="120">
        <v>0</v>
      </c>
      <c r="F168" s="120">
        <v>0</v>
      </c>
      <c r="G168" s="123">
        <v>641</v>
      </c>
      <c r="H168" s="123">
        <v>15203</v>
      </c>
      <c r="I168" s="123">
        <v>0</v>
      </c>
      <c r="J168" s="125">
        <v>0</v>
      </c>
      <c r="K168" s="125">
        <v>0</v>
      </c>
      <c r="L168" s="125">
        <v>0</v>
      </c>
      <c r="M168" s="127">
        <v>0</v>
      </c>
      <c r="N168" s="127">
        <v>0</v>
      </c>
      <c r="O168" s="127">
        <v>0</v>
      </c>
      <c r="P168" s="129">
        <v>0</v>
      </c>
      <c r="Q168" s="129">
        <v>0</v>
      </c>
      <c r="R168" s="129">
        <v>0</v>
      </c>
      <c r="S168" s="125">
        <v>89919</v>
      </c>
      <c r="T168" s="125">
        <v>2344</v>
      </c>
      <c r="U168" s="125">
        <v>0</v>
      </c>
      <c r="V168" s="136">
        <v>792</v>
      </c>
      <c r="W168" s="136">
        <v>58225</v>
      </c>
      <c r="X168" s="136">
        <v>758</v>
      </c>
      <c r="Y168" s="137">
        <v>0</v>
      </c>
      <c r="Z168" s="137">
        <v>4</v>
      </c>
      <c r="AA168" s="137">
        <v>0</v>
      </c>
      <c r="AB168" s="141">
        <v>0</v>
      </c>
      <c r="AC168" s="141">
        <v>0</v>
      </c>
      <c r="AD168" s="141">
        <v>0</v>
      </c>
    </row>
    <row r="169" spans="1:30" ht="14.25">
      <c r="A169">
        <v>529</v>
      </c>
      <c r="B169" s="121" t="s">
        <v>299</v>
      </c>
      <c r="C169" s="120">
        <v>47206</v>
      </c>
      <c r="D169" s="120">
        <v>0</v>
      </c>
      <c r="E169" s="120">
        <v>218</v>
      </c>
      <c r="F169" s="120">
        <v>2842</v>
      </c>
      <c r="G169" s="123">
        <v>325</v>
      </c>
      <c r="H169" s="123">
        <v>6213</v>
      </c>
      <c r="I169" s="123">
        <v>0</v>
      </c>
      <c r="J169" s="125">
        <v>0</v>
      </c>
      <c r="K169" s="125">
        <v>0</v>
      </c>
      <c r="L169" s="125">
        <v>0</v>
      </c>
      <c r="M169" s="127">
        <v>0</v>
      </c>
      <c r="N169" s="127">
        <v>0</v>
      </c>
      <c r="O169" s="127">
        <v>0</v>
      </c>
      <c r="P169" s="129">
        <v>0</v>
      </c>
      <c r="Q169" s="129">
        <v>0</v>
      </c>
      <c r="R169" s="129">
        <v>0</v>
      </c>
      <c r="S169" s="125">
        <v>136011</v>
      </c>
      <c r="T169" s="125">
        <v>8426</v>
      </c>
      <c r="U169" s="125">
        <v>2838</v>
      </c>
      <c r="V169" s="136">
        <v>1766</v>
      </c>
      <c r="W169" s="136">
        <v>62727</v>
      </c>
      <c r="X169" s="136">
        <v>1437</v>
      </c>
      <c r="Y169" s="137">
        <v>0</v>
      </c>
      <c r="Z169" s="137">
        <v>159</v>
      </c>
      <c r="AA169" s="137">
        <v>0</v>
      </c>
      <c r="AB169" s="141">
        <v>11</v>
      </c>
      <c r="AC169" s="141">
        <v>184</v>
      </c>
      <c r="AD169" s="141">
        <v>0</v>
      </c>
    </row>
    <row r="170" spans="1:30" ht="14.25">
      <c r="A170">
        <v>531</v>
      </c>
      <c r="B170" s="121" t="s">
        <v>300</v>
      </c>
      <c r="C170" s="120">
        <v>6559</v>
      </c>
      <c r="D170" s="120">
        <v>0</v>
      </c>
      <c r="E170" s="120">
        <v>0</v>
      </c>
      <c r="F170" s="120">
        <v>767</v>
      </c>
      <c r="G170" s="123">
        <v>123</v>
      </c>
      <c r="H170" s="123">
        <v>1640</v>
      </c>
      <c r="I170" s="123">
        <v>155</v>
      </c>
      <c r="J170" s="125">
        <v>0</v>
      </c>
      <c r="K170" s="125">
        <v>0</v>
      </c>
      <c r="L170" s="125">
        <v>0</v>
      </c>
      <c r="M170" s="127">
        <v>0</v>
      </c>
      <c r="N170" s="127">
        <v>0</v>
      </c>
      <c r="O170" s="127">
        <v>0</v>
      </c>
      <c r="P170" s="129">
        <v>1</v>
      </c>
      <c r="Q170" s="129">
        <v>21</v>
      </c>
      <c r="R170" s="129">
        <v>0</v>
      </c>
      <c r="S170" s="125">
        <v>35442</v>
      </c>
      <c r="T170" s="125">
        <v>1260</v>
      </c>
      <c r="U170" s="125">
        <v>767</v>
      </c>
      <c r="V170" s="136">
        <v>453</v>
      </c>
      <c r="W170" s="136">
        <v>20053</v>
      </c>
      <c r="X170" s="136">
        <v>611</v>
      </c>
      <c r="Y170" s="137">
        <v>0</v>
      </c>
      <c r="Z170" s="137">
        <v>88</v>
      </c>
      <c r="AA170" s="137">
        <v>30</v>
      </c>
      <c r="AB170" s="141">
        <v>8</v>
      </c>
      <c r="AC170" s="141">
        <v>371</v>
      </c>
      <c r="AD170" s="141">
        <v>9</v>
      </c>
    </row>
    <row r="171" spans="1:30" ht="14.25">
      <c r="A171">
        <v>532</v>
      </c>
      <c r="B171" s="121" t="s">
        <v>527</v>
      </c>
      <c r="C171" s="120">
        <v>18741</v>
      </c>
      <c r="D171" s="120">
        <v>0</v>
      </c>
      <c r="E171" s="120">
        <v>55</v>
      </c>
      <c r="F171" s="120">
        <v>441</v>
      </c>
      <c r="G171" s="123">
        <v>0</v>
      </c>
      <c r="H171" s="123">
        <v>598</v>
      </c>
      <c r="I171" s="123">
        <v>0</v>
      </c>
      <c r="J171" s="125">
        <v>0</v>
      </c>
      <c r="K171" s="125">
        <v>0</v>
      </c>
      <c r="L171" s="125">
        <v>0</v>
      </c>
      <c r="M171" s="127">
        <v>0</v>
      </c>
      <c r="N171" s="127">
        <v>0</v>
      </c>
      <c r="O171" s="127">
        <v>0</v>
      </c>
      <c r="P171" s="129">
        <v>0</v>
      </c>
      <c r="Q171" s="129">
        <v>0</v>
      </c>
      <c r="R171" s="129">
        <v>0</v>
      </c>
      <c r="S171" s="125">
        <v>84924</v>
      </c>
      <c r="T171" s="125">
        <v>6054</v>
      </c>
      <c r="U171" s="125">
        <v>441</v>
      </c>
      <c r="V171" s="136">
        <v>1345</v>
      </c>
      <c r="W171" s="136">
        <v>43657</v>
      </c>
      <c r="X171" s="136">
        <v>1643</v>
      </c>
      <c r="Y171" s="137">
        <v>0</v>
      </c>
      <c r="Z171" s="137">
        <v>0</v>
      </c>
      <c r="AA171" s="137">
        <v>0</v>
      </c>
      <c r="AB171" s="141">
        <v>0</v>
      </c>
      <c r="AC171" s="141">
        <v>3</v>
      </c>
      <c r="AD171" s="141">
        <v>0</v>
      </c>
    </row>
    <row r="172" spans="1:30" ht="14.25">
      <c r="A172">
        <v>535</v>
      </c>
      <c r="B172" s="121" t="s">
        <v>301</v>
      </c>
      <c r="C172" s="120">
        <v>15723</v>
      </c>
      <c r="D172" s="120">
        <v>0</v>
      </c>
      <c r="E172" s="120">
        <v>32</v>
      </c>
      <c r="F172" s="120">
        <v>1960</v>
      </c>
      <c r="G172" s="123">
        <v>79</v>
      </c>
      <c r="H172" s="123">
        <v>150</v>
      </c>
      <c r="I172" s="123">
        <v>0</v>
      </c>
      <c r="J172" s="125">
        <v>0</v>
      </c>
      <c r="K172" s="125">
        <v>0</v>
      </c>
      <c r="L172" s="125">
        <v>0</v>
      </c>
      <c r="M172" s="127">
        <v>0</v>
      </c>
      <c r="N172" s="127">
        <v>0</v>
      </c>
      <c r="O172" s="127">
        <v>0</v>
      </c>
      <c r="P172" s="129">
        <v>0</v>
      </c>
      <c r="Q172" s="129">
        <v>0</v>
      </c>
      <c r="R172" s="129">
        <v>0</v>
      </c>
      <c r="S172" s="125">
        <v>77817</v>
      </c>
      <c r="T172" s="125">
        <v>2011</v>
      </c>
      <c r="U172" s="125">
        <v>1960</v>
      </c>
      <c r="V172" s="136">
        <v>100</v>
      </c>
      <c r="W172" s="136">
        <v>36971</v>
      </c>
      <c r="X172" s="136">
        <v>871</v>
      </c>
      <c r="Y172" s="137">
        <v>0</v>
      </c>
      <c r="Z172" s="137">
        <v>0</v>
      </c>
      <c r="AA172" s="137">
        <v>0</v>
      </c>
      <c r="AB172" s="141">
        <v>7</v>
      </c>
      <c r="AC172" s="141">
        <v>688</v>
      </c>
      <c r="AD172" s="141">
        <v>7</v>
      </c>
    </row>
    <row r="173" spans="1:30" ht="14.25">
      <c r="A173">
        <v>536</v>
      </c>
      <c r="B173" s="121" t="s">
        <v>302</v>
      </c>
      <c r="C173" s="120">
        <v>50936</v>
      </c>
      <c r="D173" s="120">
        <v>0</v>
      </c>
      <c r="E173" s="120">
        <v>2390</v>
      </c>
      <c r="F173" s="120">
        <v>1734</v>
      </c>
      <c r="G173" s="123">
        <v>309</v>
      </c>
      <c r="H173" s="123">
        <v>10556</v>
      </c>
      <c r="I173" s="123">
        <v>0</v>
      </c>
      <c r="J173" s="125">
        <v>0</v>
      </c>
      <c r="K173" s="125">
        <v>0</v>
      </c>
      <c r="L173" s="125">
        <v>0</v>
      </c>
      <c r="M173" s="127">
        <v>0</v>
      </c>
      <c r="N173" s="127">
        <v>0</v>
      </c>
      <c r="O173" s="127">
        <v>0</v>
      </c>
      <c r="P173" s="129">
        <v>0</v>
      </c>
      <c r="Q173" s="129">
        <v>0</v>
      </c>
      <c r="R173" s="129">
        <v>0</v>
      </c>
      <c r="S173" s="125">
        <v>210405</v>
      </c>
      <c r="T173" s="125">
        <v>10603</v>
      </c>
      <c r="U173" s="125">
        <v>1734</v>
      </c>
      <c r="V173" s="136">
        <v>2584</v>
      </c>
      <c r="W173" s="136">
        <v>100945</v>
      </c>
      <c r="X173" s="136">
        <v>2217</v>
      </c>
      <c r="Y173" s="137">
        <v>0</v>
      </c>
      <c r="Z173" s="137">
        <v>183</v>
      </c>
      <c r="AA173" s="137">
        <v>0</v>
      </c>
      <c r="AB173" s="141">
        <v>16</v>
      </c>
      <c r="AC173" s="141">
        <v>628</v>
      </c>
      <c r="AD173" s="141">
        <v>8</v>
      </c>
    </row>
    <row r="174" spans="1:30" ht="14.25">
      <c r="A174">
        <v>538</v>
      </c>
      <c r="B174" s="121" t="s">
        <v>303</v>
      </c>
      <c r="C174" s="120">
        <v>6316</v>
      </c>
      <c r="D174" s="120">
        <v>0</v>
      </c>
      <c r="E174" s="120">
        <v>0</v>
      </c>
      <c r="F174" s="120">
        <v>455</v>
      </c>
      <c r="G174" s="123">
        <v>0</v>
      </c>
      <c r="H174" s="123">
        <v>0</v>
      </c>
      <c r="I174" s="123">
        <v>30</v>
      </c>
      <c r="J174" s="125">
        <v>0</v>
      </c>
      <c r="K174" s="125">
        <v>0</v>
      </c>
      <c r="L174" s="125">
        <v>0</v>
      </c>
      <c r="M174" s="127">
        <v>0</v>
      </c>
      <c r="N174" s="127">
        <v>0</v>
      </c>
      <c r="O174" s="127">
        <v>0</v>
      </c>
      <c r="P174" s="129">
        <v>0</v>
      </c>
      <c r="Q174" s="129">
        <v>0</v>
      </c>
      <c r="R174" s="129">
        <v>0</v>
      </c>
      <c r="S174" s="125">
        <v>31080</v>
      </c>
      <c r="T174" s="125">
        <v>897</v>
      </c>
      <c r="U174" s="125">
        <v>455</v>
      </c>
      <c r="V174" s="136">
        <v>202</v>
      </c>
      <c r="W174" s="136">
        <v>14022</v>
      </c>
      <c r="X174" s="136">
        <v>377</v>
      </c>
      <c r="Y174" s="137">
        <v>0</v>
      </c>
      <c r="Z174" s="137">
        <v>0</v>
      </c>
      <c r="AA174" s="137">
        <v>18</v>
      </c>
      <c r="AB174" s="141">
        <v>0</v>
      </c>
      <c r="AC174" s="141">
        <v>0</v>
      </c>
      <c r="AD174" s="141">
        <v>0</v>
      </c>
    </row>
    <row r="175" spans="1:30" ht="14.25">
      <c r="A175">
        <v>541</v>
      </c>
      <c r="B175" s="121" t="s">
        <v>304</v>
      </c>
      <c r="C175" s="120">
        <v>13398</v>
      </c>
      <c r="D175" s="120">
        <v>0</v>
      </c>
      <c r="E175" s="120">
        <v>76</v>
      </c>
      <c r="F175" s="120">
        <v>0</v>
      </c>
      <c r="G175" s="123">
        <v>40</v>
      </c>
      <c r="H175" s="123">
        <v>2914</v>
      </c>
      <c r="I175" s="123">
        <v>0</v>
      </c>
      <c r="J175" s="125">
        <v>0</v>
      </c>
      <c r="K175" s="125">
        <v>0</v>
      </c>
      <c r="L175" s="125">
        <v>0</v>
      </c>
      <c r="M175" s="127">
        <v>0</v>
      </c>
      <c r="N175" s="127">
        <v>0</v>
      </c>
      <c r="O175" s="127">
        <v>0</v>
      </c>
      <c r="P175" s="129">
        <v>0</v>
      </c>
      <c r="Q175" s="129">
        <v>0</v>
      </c>
      <c r="R175" s="129">
        <v>0</v>
      </c>
      <c r="S175" s="125">
        <v>61279</v>
      </c>
      <c r="T175" s="125">
        <v>3876</v>
      </c>
      <c r="U175" s="125">
        <v>0</v>
      </c>
      <c r="V175" s="136">
        <v>126</v>
      </c>
      <c r="W175" s="136">
        <v>34227</v>
      </c>
      <c r="X175" s="136">
        <v>663</v>
      </c>
      <c r="Y175" s="137">
        <v>0</v>
      </c>
      <c r="Z175" s="137">
        <v>0</v>
      </c>
      <c r="AA175" s="137">
        <v>0</v>
      </c>
      <c r="AB175" s="141">
        <v>0</v>
      </c>
      <c r="AC175" s="141">
        <v>0</v>
      </c>
      <c r="AD175" s="141">
        <v>0</v>
      </c>
    </row>
    <row r="176" spans="1:30" ht="14.25">
      <c r="A176">
        <v>543</v>
      </c>
      <c r="B176" s="121" t="s">
        <v>305</v>
      </c>
      <c r="C176" s="120">
        <v>78421</v>
      </c>
      <c r="D176" s="120">
        <v>0</v>
      </c>
      <c r="E176" s="120">
        <v>0</v>
      </c>
      <c r="F176" s="120">
        <v>10950</v>
      </c>
      <c r="G176" s="123">
        <v>332</v>
      </c>
      <c r="H176" s="123">
        <v>13377</v>
      </c>
      <c r="I176" s="123">
        <v>0</v>
      </c>
      <c r="J176" s="125">
        <v>0</v>
      </c>
      <c r="K176" s="125">
        <v>0</v>
      </c>
      <c r="L176" s="125">
        <v>0</v>
      </c>
      <c r="M176" s="127">
        <v>0</v>
      </c>
      <c r="N176" s="127">
        <v>0</v>
      </c>
      <c r="O176" s="127">
        <v>0</v>
      </c>
      <c r="P176" s="129">
        <v>0</v>
      </c>
      <c r="Q176" s="129">
        <v>1010</v>
      </c>
      <c r="R176" s="129">
        <v>11</v>
      </c>
      <c r="S176" s="125">
        <v>269643</v>
      </c>
      <c r="T176" s="125">
        <v>14019</v>
      </c>
      <c r="U176" s="125">
        <v>10950</v>
      </c>
      <c r="V176" s="136">
        <v>2141</v>
      </c>
      <c r="W176" s="136">
        <v>120137</v>
      </c>
      <c r="X176" s="136">
        <v>3242</v>
      </c>
      <c r="Y176" s="137">
        <v>47</v>
      </c>
      <c r="Z176" s="137">
        <v>318</v>
      </c>
      <c r="AA176" s="137">
        <v>0</v>
      </c>
      <c r="AB176" s="141">
        <v>123</v>
      </c>
      <c r="AC176" s="141">
        <v>5646</v>
      </c>
      <c r="AD176" s="141">
        <v>0</v>
      </c>
    </row>
    <row r="177" spans="1:30" ht="14.25">
      <c r="A177">
        <v>545</v>
      </c>
      <c r="B177" s="121" t="s">
        <v>306</v>
      </c>
      <c r="C177" s="120">
        <v>18177</v>
      </c>
      <c r="D177" s="120">
        <v>0</v>
      </c>
      <c r="E177" s="120">
        <v>0</v>
      </c>
      <c r="F177" s="120">
        <v>0</v>
      </c>
      <c r="G177" s="123">
        <v>13</v>
      </c>
      <c r="H177" s="123">
        <v>5679</v>
      </c>
      <c r="I177" s="123">
        <v>0</v>
      </c>
      <c r="J177" s="125">
        <v>0</v>
      </c>
      <c r="K177" s="125">
        <v>0</v>
      </c>
      <c r="L177" s="125">
        <v>0</v>
      </c>
      <c r="M177" s="127">
        <v>0</v>
      </c>
      <c r="N177" s="127">
        <v>0</v>
      </c>
      <c r="O177" s="127">
        <v>0</v>
      </c>
      <c r="P177" s="129">
        <v>0</v>
      </c>
      <c r="Q177" s="129">
        <v>0</v>
      </c>
      <c r="R177" s="129">
        <v>0</v>
      </c>
      <c r="S177" s="125">
        <v>70303</v>
      </c>
      <c r="T177" s="125">
        <v>2573</v>
      </c>
      <c r="U177" s="125">
        <v>0</v>
      </c>
      <c r="V177" s="136">
        <v>97</v>
      </c>
      <c r="W177" s="136">
        <v>37516</v>
      </c>
      <c r="X177" s="136">
        <v>619</v>
      </c>
      <c r="Y177" s="137">
        <v>0</v>
      </c>
      <c r="Z177" s="137">
        <v>134</v>
      </c>
      <c r="AA177" s="137">
        <v>0</v>
      </c>
      <c r="AB177" s="141">
        <v>0</v>
      </c>
      <c r="AC177" s="141">
        <v>0</v>
      </c>
      <c r="AD177" s="141">
        <v>0</v>
      </c>
    </row>
    <row r="178" spans="1:30" ht="14.25">
      <c r="A178">
        <v>560</v>
      </c>
      <c r="B178" s="121" t="s">
        <v>307</v>
      </c>
      <c r="C178" s="120">
        <v>18085</v>
      </c>
      <c r="D178" s="120">
        <v>0</v>
      </c>
      <c r="E178" s="120">
        <v>0</v>
      </c>
      <c r="F178" s="120">
        <v>226</v>
      </c>
      <c r="G178" s="123">
        <v>0</v>
      </c>
      <c r="H178" s="123">
        <v>1141</v>
      </c>
      <c r="I178" s="123">
        <v>0</v>
      </c>
      <c r="J178" s="125">
        <v>0</v>
      </c>
      <c r="K178" s="125">
        <v>0</v>
      </c>
      <c r="L178" s="125">
        <v>0</v>
      </c>
      <c r="M178" s="127">
        <v>0</v>
      </c>
      <c r="N178" s="127">
        <v>0</v>
      </c>
      <c r="O178" s="127">
        <v>0</v>
      </c>
      <c r="P178" s="129">
        <v>0</v>
      </c>
      <c r="Q178" s="129">
        <v>0</v>
      </c>
      <c r="R178" s="129">
        <v>0</v>
      </c>
      <c r="S178" s="125">
        <v>101747</v>
      </c>
      <c r="T178" s="125">
        <v>3115</v>
      </c>
      <c r="U178" s="125">
        <v>226</v>
      </c>
      <c r="V178" s="136">
        <v>1371</v>
      </c>
      <c r="W178" s="136">
        <v>54061</v>
      </c>
      <c r="X178" s="136">
        <v>1838</v>
      </c>
      <c r="Y178" s="137">
        <v>0</v>
      </c>
      <c r="Z178" s="137">
        <v>0</v>
      </c>
      <c r="AA178" s="137">
        <v>0</v>
      </c>
      <c r="AB178" s="141">
        <v>0</v>
      </c>
      <c r="AC178" s="141">
        <v>1</v>
      </c>
      <c r="AD178" s="141">
        <v>0</v>
      </c>
    </row>
    <row r="179" spans="1:30" ht="14.25">
      <c r="A179">
        <v>561</v>
      </c>
      <c r="B179" s="121" t="s">
        <v>308</v>
      </c>
      <c r="C179" s="120">
        <v>1731</v>
      </c>
      <c r="D179" s="120">
        <v>0</v>
      </c>
      <c r="E179" s="120">
        <v>0</v>
      </c>
      <c r="F179" s="120">
        <v>138</v>
      </c>
      <c r="G179" s="123">
        <v>9</v>
      </c>
      <c r="H179" s="123">
        <v>544</v>
      </c>
      <c r="I179" s="123">
        <v>0</v>
      </c>
      <c r="J179" s="125">
        <v>0</v>
      </c>
      <c r="K179" s="125">
        <v>0</v>
      </c>
      <c r="L179" s="125">
        <v>0</v>
      </c>
      <c r="M179" s="127">
        <v>0</v>
      </c>
      <c r="N179" s="127">
        <v>0</v>
      </c>
      <c r="O179" s="127">
        <v>0</v>
      </c>
      <c r="P179" s="129">
        <v>0</v>
      </c>
      <c r="Q179" s="129">
        <v>0</v>
      </c>
      <c r="R179" s="129">
        <v>0</v>
      </c>
      <c r="S179" s="125">
        <v>9059</v>
      </c>
      <c r="T179" s="125">
        <v>377</v>
      </c>
      <c r="U179" s="125">
        <v>157</v>
      </c>
      <c r="V179" s="136">
        <v>27</v>
      </c>
      <c r="W179" s="136">
        <v>5025</v>
      </c>
      <c r="X179" s="136">
        <v>103</v>
      </c>
      <c r="Y179" s="137">
        <v>0</v>
      </c>
      <c r="Z179" s="137">
        <v>0</v>
      </c>
      <c r="AA179" s="137">
        <v>0</v>
      </c>
      <c r="AB179" s="141">
        <v>0</v>
      </c>
      <c r="AC179" s="141">
        <v>54</v>
      </c>
      <c r="AD179" s="141">
        <v>0</v>
      </c>
    </row>
    <row r="180" spans="1:30" ht="14.25">
      <c r="A180">
        <v>562</v>
      </c>
      <c r="B180" s="121" t="s">
        <v>309</v>
      </c>
      <c r="C180" s="120">
        <v>12290</v>
      </c>
      <c r="D180" s="120">
        <v>0</v>
      </c>
      <c r="E180" s="120">
        <v>36</v>
      </c>
      <c r="F180" s="120">
        <v>1392</v>
      </c>
      <c r="G180" s="123">
        <v>287</v>
      </c>
      <c r="H180" s="123">
        <v>501</v>
      </c>
      <c r="I180" s="123">
        <v>0</v>
      </c>
      <c r="J180" s="125">
        <v>0</v>
      </c>
      <c r="K180" s="125">
        <v>0</v>
      </c>
      <c r="L180" s="125">
        <v>0</v>
      </c>
      <c r="M180" s="127">
        <v>0</v>
      </c>
      <c r="N180" s="127">
        <v>0</v>
      </c>
      <c r="O180" s="127">
        <v>0</v>
      </c>
      <c r="P180" s="129">
        <v>0</v>
      </c>
      <c r="Q180" s="129">
        <v>0</v>
      </c>
      <c r="R180" s="129">
        <v>0</v>
      </c>
      <c r="S180" s="125">
        <v>65591</v>
      </c>
      <c r="T180" s="125">
        <v>3076</v>
      </c>
      <c r="U180" s="125">
        <v>1392</v>
      </c>
      <c r="V180" s="136">
        <v>1206</v>
      </c>
      <c r="W180" s="136">
        <v>35824</v>
      </c>
      <c r="X180" s="136">
        <v>672</v>
      </c>
      <c r="Y180" s="137">
        <v>7</v>
      </c>
      <c r="Z180" s="137">
        <v>7</v>
      </c>
      <c r="AA180" s="137">
        <v>0</v>
      </c>
      <c r="AB180" s="141">
        <v>0</v>
      </c>
      <c r="AC180" s="141">
        <v>18</v>
      </c>
      <c r="AD180" s="141">
        <v>0</v>
      </c>
    </row>
    <row r="181" spans="1:30" ht="14.25">
      <c r="A181">
        <v>563</v>
      </c>
      <c r="B181" s="121" t="s">
        <v>310</v>
      </c>
      <c r="C181" s="120">
        <v>12605</v>
      </c>
      <c r="D181" s="120">
        <v>0</v>
      </c>
      <c r="E181" s="120">
        <v>0</v>
      </c>
      <c r="F181" s="120">
        <v>0</v>
      </c>
      <c r="G181" s="123">
        <v>88</v>
      </c>
      <c r="H181" s="123">
        <v>4115</v>
      </c>
      <c r="I181" s="123">
        <v>0</v>
      </c>
      <c r="J181" s="125">
        <v>0</v>
      </c>
      <c r="K181" s="125">
        <v>0</v>
      </c>
      <c r="L181" s="125">
        <v>0</v>
      </c>
      <c r="M181" s="127">
        <v>0</v>
      </c>
      <c r="N181" s="127">
        <v>0</v>
      </c>
      <c r="O181" s="127">
        <v>0</v>
      </c>
      <c r="P181" s="129">
        <v>0</v>
      </c>
      <c r="Q181" s="129">
        <v>0</v>
      </c>
      <c r="R181" s="129">
        <v>0</v>
      </c>
      <c r="S181" s="125">
        <v>58162</v>
      </c>
      <c r="T181" s="125">
        <v>2013</v>
      </c>
      <c r="U181" s="125">
        <v>0</v>
      </c>
      <c r="V181" s="136">
        <v>232</v>
      </c>
      <c r="W181" s="136">
        <v>32509</v>
      </c>
      <c r="X181" s="136">
        <v>744</v>
      </c>
      <c r="Y181" s="137">
        <v>0</v>
      </c>
      <c r="Z181" s="137">
        <v>137</v>
      </c>
      <c r="AA181" s="137">
        <v>0</v>
      </c>
      <c r="AB181" s="141">
        <v>0</v>
      </c>
      <c r="AC181" s="141">
        <v>0</v>
      </c>
      <c r="AD181" s="141">
        <v>0</v>
      </c>
    </row>
    <row r="182" spans="1:30" ht="14.25">
      <c r="A182">
        <v>564</v>
      </c>
      <c r="B182" s="121" t="s">
        <v>311</v>
      </c>
      <c r="C182" s="120">
        <v>527430</v>
      </c>
      <c r="D182" s="120">
        <v>0</v>
      </c>
      <c r="E182" s="120">
        <v>19345</v>
      </c>
      <c r="F182" s="120">
        <v>0</v>
      </c>
      <c r="G182" s="123">
        <v>3359</v>
      </c>
      <c r="H182" s="123">
        <v>91545</v>
      </c>
      <c r="I182" s="123">
        <v>18822</v>
      </c>
      <c r="J182" s="125">
        <v>0</v>
      </c>
      <c r="K182" s="125">
        <v>0</v>
      </c>
      <c r="L182" s="125">
        <v>0</v>
      </c>
      <c r="M182" s="127">
        <v>0</v>
      </c>
      <c r="N182" s="127">
        <v>176</v>
      </c>
      <c r="O182" s="127">
        <v>12</v>
      </c>
      <c r="P182" s="129">
        <v>0</v>
      </c>
      <c r="Q182" s="129">
        <v>0</v>
      </c>
      <c r="R182" s="129">
        <v>0</v>
      </c>
      <c r="S182" s="125">
        <v>1451179</v>
      </c>
      <c r="T182" s="125">
        <v>79665</v>
      </c>
      <c r="U182" s="125">
        <v>0</v>
      </c>
      <c r="V182" s="136">
        <v>23676</v>
      </c>
      <c r="W182" s="136">
        <v>660351</v>
      </c>
      <c r="X182" s="136">
        <v>29744</v>
      </c>
      <c r="Y182" s="137">
        <v>0</v>
      </c>
      <c r="Z182" s="137">
        <v>2727</v>
      </c>
      <c r="AA182" s="137">
        <v>793</v>
      </c>
      <c r="AB182" s="141">
        <v>0</v>
      </c>
      <c r="AC182" s="141">
        <v>0</v>
      </c>
      <c r="AD182" s="141">
        <v>0</v>
      </c>
    </row>
    <row r="183" spans="1:30" ht="14.25">
      <c r="A183">
        <v>576</v>
      </c>
      <c r="B183" s="121" t="s">
        <v>313</v>
      </c>
      <c r="C183" s="120">
        <v>3962</v>
      </c>
      <c r="D183" s="120">
        <v>0</v>
      </c>
      <c r="E183" s="120">
        <v>1</v>
      </c>
      <c r="F183" s="120">
        <v>0</v>
      </c>
      <c r="G183" s="123">
        <v>0</v>
      </c>
      <c r="H183" s="123">
        <v>69</v>
      </c>
      <c r="I183" s="123">
        <v>0</v>
      </c>
      <c r="J183" s="125">
        <v>0</v>
      </c>
      <c r="K183" s="125">
        <v>0</v>
      </c>
      <c r="L183" s="125">
        <v>0</v>
      </c>
      <c r="M183" s="127">
        <v>0</v>
      </c>
      <c r="N183" s="127">
        <v>0</v>
      </c>
      <c r="O183" s="127">
        <v>0</v>
      </c>
      <c r="P183" s="129">
        <v>0</v>
      </c>
      <c r="Q183" s="129">
        <v>0</v>
      </c>
      <c r="R183" s="129">
        <v>0</v>
      </c>
      <c r="S183" s="125">
        <v>22647</v>
      </c>
      <c r="T183" s="125">
        <v>1493</v>
      </c>
      <c r="U183" s="125">
        <v>0</v>
      </c>
      <c r="V183" s="136">
        <v>254</v>
      </c>
      <c r="W183" s="136">
        <v>13692</v>
      </c>
      <c r="X183" s="136">
        <v>280</v>
      </c>
      <c r="Y183" s="137">
        <v>0</v>
      </c>
      <c r="Z183" s="137">
        <v>0</v>
      </c>
      <c r="AA183" s="137">
        <v>0</v>
      </c>
      <c r="AB183" s="141">
        <v>0</v>
      </c>
      <c r="AC183" s="141">
        <v>0</v>
      </c>
      <c r="AD183" s="141">
        <v>0</v>
      </c>
    </row>
    <row r="184" spans="1:30" ht="14.25">
      <c r="A184">
        <v>577</v>
      </c>
      <c r="B184" s="121" t="s">
        <v>314</v>
      </c>
      <c r="C184" s="120">
        <v>13770</v>
      </c>
      <c r="D184" s="120">
        <v>0</v>
      </c>
      <c r="E184" s="120">
        <v>0</v>
      </c>
      <c r="F184" s="120">
        <v>0</v>
      </c>
      <c r="G184" s="123">
        <v>176</v>
      </c>
      <c r="H184" s="123">
        <v>2176</v>
      </c>
      <c r="I184" s="123">
        <v>0</v>
      </c>
      <c r="J184" s="125">
        <v>0</v>
      </c>
      <c r="K184" s="125">
        <v>0</v>
      </c>
      <c r="L184" s="125">
        <v>0</v>
      </c>
      <c r="M184" s="127">
        <v>0</v>
      </c>
      <c r="N184" s="127">
        <v>0</v>
      </c>
      <c r="O184" s="127">
        <v>0</v>
      </c>
      <c r="P184" s="129">
        <v>0</v>
      </c>
      <c r="Q184" s="129">
        <v>0</v>
      </c>
      <c r="R184" s="129">
        <v>0</v>
      </c>
      <c r="S184" s="125">
        <v>68899</v>
      </c>
      <c r="T184" s="125">
        <v>1808</v>
      </c>
      <c r="U184" s="125">
        <v>0</v>
      </c>
      <c r="V184" s="136">
        <v>435</v>
      </c>
      <c r="W184" s="136">
        <v>34189</v>
      </c>
      <c r="X184" s="136">
        <v>741</v>
      </c>
      <c r="Y184" s="137">
        <v>0</v>
      </c>
      <c r="Z184" s="137">
        <v>0</v>
      </c>
      <c r="AA184" s="137">
        <v>0</v>
      </c>
      <c r="AB184" s="141">
        <v>0</v>
      </c>
      <c r="AC184" s="141">
        <v>0</v>
      </c>
      <c r="AD184" s="141">
        <v>0</v>
      </c>
    </row>
    <row r="185" spans="1:30" ht="14.25">
      <c r="A185">
        <v>578</v>
      </c>
      <c r="B185" s="121" t="s">
        <v>315</v>
      </c>
      <c r="C185" s="120">
        <v>5259</v>
      </c>
      <c r="D185" s="120">
        <v>0</v>
      </c>
      <c r="E185" s="120">
        <v>0</v>
      </c>
      <c r="F185" s="120">
        <v>0</v>
      </c>
      <c r="G185" s="123">
        <v>6</v>
      </c>
      <c r="H185" s="123">
        <v>37</v>
      </c>
      <c r="I185" s="123">
        <v>0</v>
      </c>
      <c r="J185" s="125">
        <v>0</v>
      </c>
      <c r="K185" s="125">
        <v>0</v>
      </c>
      <c r="L185" s="125">
        <v>0</v>
      </c>
      <c r="M185" s="127">
        <v>0</v>
      </c>
      <c r="N185" s="127">
        <v>0</v>
      </c>
      <c r="O185" s="127">
        <v>0</v>
      </c>
      <c r="P185" s="129">
        <v>0</v>
      </c>
      <c r="Q185" s="129">
        <v>0</v>
      </c>
      <c r="R185" s="129">
        <v>0</v>
      </c>
      <c r="S185" s="125">
        <v>27275</v>
      </c>
      <c r="T185" s="125">
        <v>1270</v>
      </c>
      <c r="U185" s="125">
        <v>0</v>
      </c>
      <c r="V185" s="136">
        <v>141</v>
      </c>
      <c r="W185" s="136">
        <v>14654</v>
      </c>
      <c r="X185" s="136">
        <v>302</v>
      </c>
      <c r="Y185" s="137">
        <v>0</v>
      </c>
      <c r="Z185" s="137">
        <v>0</v>
      </c>
      <c r="AA185" s="137">
        <v>0</v>
      </c>
      <c r="AB185" s="141">
        <v>0</v>
      </c>
      <c r="AC185" s="141">
        <v>0</v>
      </c>
      <c r="AD185" s="141">
        <v>0</v>
      </c>
    </row>
    <row r="186" spans="1:30" ht="14.25">
      <c r="A186">
        <v>580</v>
      </c>
      <c r="B186" s="121" t="s">
        <v>316</v>
      </c>
      <c r="C186" s="120">
        <v>11427</v>
      </c>
      <c r="D186" s="120">
        <v>0</v>
      </c>
      <c r="E186" s="120">
        <v>0</v>
      </c>
      <c r="F186" s="120">
        <v>23</v>
      </c>
      <c r="G186" s="123">
        <v>0</v>
      </c>
      <c r="H186" s="123">
        <v>3</v>
      </c>
      <c r="I186" s="123">
        <v>22</v>
      </c>
      <c r="J186" s="125">
        <v>0</v>
      </c>
      <c r="K186" s="125">
        <v>0</v>
      </c>
      <c r="L186" s="125">
        <v>0</v>
      </c>
      <c r="M186" s="127">
        <v>0</v>
      </c>
      <c r="N186" s="127">
        <v>0</v>
      </c>
      <c r="O186" s="127">
        <v>0</v>
      </c>
      <c r="P186" s="129">
        <v>0</v>
      </c>
      <c r="Q186" s="129">
        <v>0</v>
      </c>
      <c r="R186" s="129">
        <v>0</v>
      </c>
      <c r="S186" s="125">
        <v>42512</v>
      </c>
      <c r="T186" s="125">
        <v>1704</v>
      </c>
      <c r="U186" s="125">
        <v>23</v>
      </c>
      <c r="V186" s="136">
        <v>143</v>
      </c>
      <c r="W186" s="136">
        <v>22507</v>
      </c>
      <c r="X186" s="136">
        <v>461</v>
      </c>
      <c r="Y186" s="137">
        <v>0</v>
      </c>
      <c r="Z186" s="137">
        <v>2</v>
      </c>
      <c r="AA186" s="137">
        <v>19</v>
      </c>
      <c r="AB186" s="141">
        <v>0</v>
      </c>
      <c r="AC186" s="141">
        <v>0</v>
      </c>
      <c r="AD186" s="141">
        <v>0</v>
      </c>
    </row>
    <row r="187" spans="1:30" ht="14.25">
      <c r="A187">
        <v>581</v>
      </c>
      <c r="B187" s="121" t="s">
        <v>317</v>
      </c>
      <c r="C187" s="120">
        <v>14848</v>
      </c>
      <c r="D187" s="120">
        <v>0</v>
      </c>
      <c r="E187" s="120">
        <v>237</v>
      </c>
      <c r="F187" s="120">
        <v>581</v>
      </c>
      <c r="G187" s="123">
        <v>162</v>
      </c>
      <c r="H187" s="123">
        <v>10912</v>
      </c>
      <c r="I187" s="123">
        <v>0</v>
      </c>
      <c r="J187" s="125">
        <v>0</v>
      </c>
      <c r="K187" s="125">
        <v>0</v>
      </c>
      <c r="L187" s="125">
        <v>0</v>
      </c>
      <c r="M187" s="127">
        <v>0</v>
      </c>
      <c r="N187" s="127">
        <v>0</v>
      </c>
      <c r="O187" s="127">
        <v>0</v>
      </c>
      <c r="P187" s="129">
        <v>0</v>
      </c>
      <c r="Q187" s="129">
        <v>0</v>
      </c>
      <c r="R187" s="129">
        <v>0</v>
      </c>
      <c r="S187" s="125">
        <v>51544</v>
      </c>
      <c r="T187" s="125">
        <v>2189</v>
      </c>
      <c r="U187" s="125">
        <v>581</v>
      </c>
      <c r="V187" s="136">
        <v>211</v>
      </c>
      <c r="W187" s="136">
        <v>34336</v>
      </c>
      <c r="X187" s="136">
        <v>483</v>
      </c>
      <c r="Y187" s="137">
        <v>0</v>
      </c>
      <c r="Z187" s="137">
        <v>324</v>
      </c>
      <c r="AA187" s="137">
        <v>0</v>
      </c>
      <c r="AB187" s="141">
        <v>3</v>
      </c>
      <c r="AC187" s="141">
        <v>240</v>
      </c>
      <c r="AD187" s="141">
        <v>0</v>
      </c>
    </row>
    <row r="188" spans="1:30" ht="14.25">
      <c r="A188">
        <v>583</v>
      </c>
      <c r="B188" s="121" t="s">
        <v>318</v>
      </c>
      <c r="C188" s="120">
        <v>1777</v>
      </c>
      <c r="D188" s="120">
        <v>0</v>
      </c>
      <c r="E188" s="120">
        <v>0</v>
      </c>
      <c r="F188" s="120">
        <v>155</v>
      </c>
      <c r="G188" s="123">
        <v>65</v>
      </c>
      <c r="H188" s="123">
        <v>422</v>
      </c>
      <c r="I188" s="123">
        <v>0</v>
      </c>
      <c r="J188" s="125">
        <v>0</v>
      </c>
      <c r="K188" s="125">
        <v>0</v>
      </c>
      <c r="L188" s="125">
        <v>0</v>
      </c>
      <c r="M188" s="127">
        <v>0</v>
      </c>
      <c r="N188" s="127">
        <v>0</v>
      </c>
      <c r="O188" s="127">
        <v>0</v>
      </c>
      <c r="P188" s="129">
        <v>0</v>
      </c>
      <c r="Q188" s="129">
        <v>0</v>
      </c>
      <c r="R188" s="129">
        <v>0</v>
      </c>
      <c r="S188" s="125">
        <v>9678</v>
      </c>
      <c r="T188" s="125">
        <v>333</v>
      </c>
      <c r="U188" s="125">
        <v>155</v>
      </c>
      <c r="V188" s="136">
        <v>132</v>
      </c>
      <c r="W188" s="136">
        <v>5463</v>
      </c>
      <c r="X188" s="136">
        <v>199</v>
      </c>
      <c r="Y188" s="137">
        <v>0</v>
      </c>
      <c r="Z188" s="137">
        <v>33</v>
      </c>
      <c r="AA188" s="137">
        <v>2</v>
      </c>
      <c r="AB188" s="141">
        <v>2</v>
      </c>
      <c r="AC188" s="141">
        <v>87</v>
      </c>
      <c r="AD188" s="141">
        <v>3</v>
      </c>
    </row>
    <row r="189" spans="1:30" ht="14.25">
      <c r="A189">
        <v>584</v>
      </c>
      <c r="B189" s="121" t="s">
        <v>320</v>
      </c>
      <c r="C189" s="120">
        <v>6507</v>
      </c>
      <c r="D189" s="120">
        <v>0</v>
      </c>
      <c r="E189" s="120">
        <v>0</v>
      </c>
      <c r="F189" s="120">
        <v>0</v>
      </c>
      <c r="G189" s="123">
        <v>26</v>
      </c>
      <c r="H189" s="123">
        <v>1435</v>
      </c>
      <c r="I189" s="123">
        <v>0</v>
      </c>
      <c r="J189" s="125">
        <v>0</v>
      </c>
      <c r="K189" s="125">
        <v>0</v>
      </c>
      <c r="L189" s="125">
        <v>0</v>
      </c>
      <c r="M189" s="127">
        <v>0</v>
      </c>
      <c r="N189" s="127">
        <v>0</v>
      </c>
      <c r="O189" s="127">
        <v>0</v>
      </c>
      <c r="P189" s="129">
        <v>0</v>
      </c>
      <c r="Q189" s="129">
        <v>0</v>
      </c>
      <c r="R189" s="129">
        <v>0</v>
      </c>
      <c r="S189" s="125">
        <v>22934</v>
      </c>
      <c r="T189" s="125">
        <v>1142</v>
      </c>
      <c r="U189" s="125">
        <v>0</v>
      </c>
      <c r="V189" s="136">
        <v>95</v>
      </c>
      <c r="W189" s="136">
        <v>10891</v>
      </c>
      <c r="X189" s="136">
        <v>215</v>
      </c>
      <c r="Y189" s="137">
        <v>0</v>
      </c>
      <c r="Z189" s="137">
        <v>20</v>
      </c>
      <c r="AA189" s="137">
        <v>73</v>
      </c>
      <c r="AB189" s="141">
        <v>0</v>
      </c>
      <c r="AC189" s="141">
        <v>0</v>
      </c>
      <c r="AD189" s="141">
        <v>0</v>
      </c>
    </row>
    <row r="190" spans="1:30" ht="14.25">
      <c r="A190">
        <v>588</v>
      </c>
      <c r="B190" s="121" t="s">
        <v>321</v>
      </c>
      <c r="C190" s="120">
        <v>3350</v>
      </c>
      <c r="D190" s="120">
        <v>0</v>
      </c>
      <c r="E190" s="120">
        <v>68</v>
      </c>
      <c r="F190" s="120">
        <v>364</v>
      </c>
      <c r="G190" s="123">
        <v>1</v>
      </c>
      <c r="H190" s="123">
        <v>1031</v>
      </c>
      <c r="I190" s="123">
        <v>1</v>
      </c>
      <c r="J190" s="125">
        <v>0</v>
      </c>
      <c r="K190" s="125">
        <v>0</v>
      </c>
      <c r="L190" s="125">
        <v>0</v>
      </c>
      <c r="M190" s="127">
        <v>0</v>
      </c>
      <c r="N190" s="127">
        <v>0</v>
      </c>
      <c r="O190" s="127">
        <v>0</v>
      </c>
      <c r="P190" s="129">
        <v>0</v>
      </c>
      <c r="Q190" s="129">
        <v>0</v>
      </c>
      <c r="R190" s="129">
        <v>0</v>
      </c>
      <c r="S190" s="125">
        <v>14412</v>
      </c>
      <c r="T190" s="125">
        <v>685</v>
      </c>
      <c r="U190" s="125">
        <v>364</v>
      </c>
      <c r="V190" s="136">
        <v>183</v>
      </c>
      <c r="W190" s="136">
        <v>8259</v>
      </c>
      <c r="X190" s="136">
        <v>156</v>
      </c>
      <c r="Y190" s="137">
        <v>3</v>
      </c>
      <c r="Z190" s="137">
        <v>10</v>
      </c>
      <c r="AA190" s="137">
        <v>0</v>
      </c>
      <c r="AB190" s="141">
        <v>5</v>
      </c>
      <c r="AC190" s="141">
        <v>138</v>
      </c>
      <c r="AD190" s="141">
        <v>0</v>
      </c>
    </row>
    <row r="191" spans="1:30" ht="14.25">
      <c r="A191">
        <v>592</v>
      </c>
      <c r="B191" s="121" t="s">
        <v>322</v>
      </c>
      <c r="C191" s="120">
        <v>7040</v>
      </c>
      <c r="D191" s="120">
        <v>0</v>
      </c>
      <c r="E191" s="120">
        <v>0</v>
      </c>
      <c r="F191" s="120">
        <v>0</v>
      </c>
      <c r="G191" s="123">
        <v>108</v>
      </c>
      <c r="H191" s="123">
        <v>1280</v>
      </c>
      <c r="I191" s="123">
        <v>0</v>
      </c>
      <c r="J191" s="125">
        <v>0</v>
      </c>
      <c r="K191" s="125">
        <v>0</v>
      </c>
      <c r="L191" s="125">
        <v>0</v>
      </c>
      <c r="M191" s="127">
        <v>0</v>
      </c>
      <c r="N191" s="127">
        <v>0</v>
      </c>
      <c r="O191" s="127">
        <v>0</v>
      </c>
      <c r="P191" s="129">
        <v>0</v>
      </c>
      <c r="Q191" s="129">
        <v>0</v>
      </c>
      <c r="R191" s="129">
        <v>0</v>
      </c>
      <c r="S191" s="125">
        <v>29077</v>
      </c>
      <c r="T191" s="125">
        <v>1031</v>
      </c>
      <c r="U191" s="125">
        <v>0</v>
      </c>
      <c r="V191" s="136">
        <v>381</v>
      </c>
      <c r="W191" s="136">
        <v>13652</v>
      </c>
      <c r="X191" s="136">
        <v>342</v>
      </c>
      <c r="Y191" s="137">
        <v>0</v>
      </c>
      <c r="Z191" s="137">
        <v>19</v>
      </c>
      <c r="AA191" s="137">
        <v>0</v>
      </c>
      <c r="AB191" s="141">
        <v>0</v>
      </c>
      <c r="AC191" s="141">
        <v>0</v>
      </c>
      <c r="AD191" s="141">
        <v>0</v>
      </c>
    </row>
    <row r="192" spans="1:30" ht="14.25">
      <c r="A192">
        <v>593</v>
      </c>
      <c r="B192" s="121" t="s">
        <v>323</v>
      </c>
      <c r="C192" s="120">
        <v>39565</v>
      </c>
      <c r="D192" s="120">
        <v>0</v>
      </c>
      <c r="E192" s="120">
        <v>153</v>
      </c>
      <c r="F192" s="120">
        <v>0</v>
      </c>
      <c r="G192" s="123">
        <v>215</v>
      </c>
      <c r="H192" s="123">
        <v>12239</v>
      </c>
      <c r="I192" s="123">
        <v>0</v>
      </c>
      <c r="J192" s="125">
        <v>0</v>
      </c>
      <c r="K192" s="125">
        <v>0</v>
      </c>
      <c r="L192" s="125">
        <v>0</v>
      </c>
      <c r="M192" s="127">
        <v>0</v>
      </c>
      <c r="N192" s="127">
        <v>0</v>
      </c>
      <c r="O192" s="127">
        <v>0</v>
      </c>
      <c r="P192" s="129">
        <v>0</v>
      </c>
      <c r="Q192" s="129">
        <v>0</v>
      </c>
      <c r="R192" s="129">
        <v>0</v>
      </c>
      <c r="S192" s="125">
        <v>150996</v>
      </c>
      <c r="T192" s="125">
        <v>6286</v>
      </c>
      <c r="U192" s="125">
        <v>0</v>
      </c>
      <c r="V192" s="136">
        <v>1532</v>
      </c>
      <c r="W192" s="136">
        <v>92690</v>
      </c>
      <c r="X192" s="136">
        <v>1602</v>
      </c>
      <c r="Y192" s="137">
        <v>0</v>
      </c>
      <c r="Z192" s="137">
        <v>180</v>
      </c>
      <c r="AA192" s="137">
        <v>0</v>
      </c>
      <c r="AB192" s="141">
        <v>0</v>
      </c>
      <c r="AC192" s="141">
        <v>0</v>
      </c>
      <c r="AD192" s="141">
        <v>0</v>
      </c>
    </row>
    <row r="193" spans="1:30" ht="14.25">
      <c r="A193">
        <v>595</v>
      </c>
      <c r="B193" s="121" t="s">
        <v>324</v>
      </c>
      <c r="C193" s="120">
        <v>7674</v>
      </c>
      <c r="D193" s="120">
        <v>0</v>
      </c>
      <c r="E193" s="120">
        <v>16</v>
      </c>
      <c r="F193" s="120">
        <v>261</v>
      </c>
      <c r="G193" s="123">
        <v>68</v>
      </c>
      <c r="H193" s="123">
        <v>1936</v>
      </c>
      <c r="I193" s="123">
        <v>0</v>
      </c>
      <c r="J193" s="125">
        <v>0</v>
      </c>
      <c r="K193" s="125">
        <v>0</v>
      </c>
      <c r="L193" s="125">
        <v>0</v>
      </c>
      <c r="M193" s="127">
        <v>0</v>
      </c>
      <c r="N193" s="127">
        <v>0</v>
      </c>
      <c r="O193" s="127">
        <v>0</v>
      </c>
      <c r="P193" s="129">
        <v>0</v>
      </c>
      <c r="Q193" s="129">
        <v>3</v>
      </c>
      <c r="R193" s="129">
        <v>0</v>
      </c>
      <c r="S193" s="125">
        <v>40273</v>
      </c>
      <c r="T193" s="125">
        <v>1179</v>
      </c>
      <c r="U193" s="125">
        <v>261</v>
      </c>
      <c r="V193" s="136">
        <v>434</v>
      </c>
      <c r="W193" s="136">
        <v>24655</v>
      </c>
      <c r="X193" s="136">
        <v>397</v>
      </c>
      <c r="Y193" s="137">
        <v>0</v>
      </c>
      <c r="Z193" s="137">
        <v>36</v>
      </c>
      <c r="AA193" s="137">
        <v>0</v>
      </c>
      <c r="AB193" s="141">
        <v>0</v>
      </c>
      <c r="AC193" s="141">
        <v>111</v>
      </c>
      <c r="AD193" s="141">
        <v>0</v>
      </c>
    </row>
    <row r="194" spans="1:30" ht="14.25">
      <c r="A194">
        <v>598</v>
      </c>
      <c r="B194" s="121" t="s">
        <v>325</v>
      </c>
      <c r="C194" s="120">
        <v>120065</v>
      </c>
      <c r="D194" s="120">
        <v>0</v>
      </c>
      <c r="E194" s="120">
        <v>1179</v>
      </c>
      <c r="F194" s="120">
        <v>7714</v>
      </c>
      <c r="G194" s="123">
        <v>194</v>
      </c>
      <c r="H194" s="123">
        <v>71239</v>
      </c>
      <c r="I194" s="123">
        <v>429</v>
      </c>
      <c r="J194" s="125">
        <v>0</v>
      </c>
      <c r="K194" s="125">
        <v>0</v>
      </c>
      <c r="L194" s="125">
        <v>0</v>
      </c>
      <c r="M194" s="127">
        <v>0</v>
      </c>
      <c r="N194" s="127">
        <v>0</v>
      </c>
      <c r="O194" s="127">
        <v>0</v>
      </c>
      <c r="P194" s="129">
        <v>0</v>
      </c>
      <c r="Q194" s="129">
        <v>1</v>
      </c>
      <c r="R194" s="129">
        <v>0</v>
      </c>
      <c r="S194" s="125">
        <v>231167</v>
      </c>
      <c r="T194" s="125">
        <v>6965</v>
      </c>
      <c r="U194" s="125">
        <v>7714</v>
      </c>
      <c r="V194" s="136">
        <v>475</v>
      </c>
      <c r="W194" s="136">
        <v>135558</v>
      </c>
      <c r="X194" s="136">
        <v>2456</v>
      </c>
      <c r="Y194" s="137">
        <v>0</v>
      </c>
      <c r="Z194" s="137">
        <v>391</v>
      </c>
      <c r="AA194" s="137">
        <v>167</v>
      </c>
      <c r="AB194" s="141">
        <v>0</v>
      </c>
      <c r="AC194" s="141">
        <v>6437</v>
      </c>
      <c r="AD194" s="141">
        <v>0</v>
      </c>
    </row>
    <row r="195" spans="1:30" ht="14.25">
      <c r="A195">
        <v>599</v>
      </c>
      <c r="B195" s="121" t="s">
        <v>131</v>
      </c>
      <c r="C195" s="120">
        <v>24441</v>
      </c>
      <c r="D195" s="120">
        <v>0</v>
      </c>
      <c r="E195" s="120">
        <v>76</v>
      </c>
      <c r="F195" s="120">
        <v>379</v>
      </c>
      <c r="G195" s="123">
        <v>0</v>
      </c>
      <c r="H195" s="123">
        <v>484</v>
      </c>
      <c r="I195" s="123">
        <v>0</v>
      </c>
      <c r="J195" s="125">
        <v>0</v>
      </c>
      <c r="K195" s="125">
        <v>0</v>
      </c>
      <c r="L195" s="125">
        <v>0</v>
      </c>
      <c r="M195" s="127">
        <v>0</v>
      </c>
      <c r="N195" s="127">
        <v>0</v>
      </c>
      <c r="O195" s="127">
        <v>0</v>
      </c>
      <c r="P195" s="129">
        <v>0</v>
      </c>
      <c r="Q195" s="129">
        <v>0</v>
      </c>
      <c r="R195" s="129">
        <v>0</v>
      </c>
      <c r="S195" s="125">
        <v>83409</v>
      </c>
      <c r="T195" s="125">
        <v>1942</v>
      </c>
      <c r="U195" s="125">
        <v>376</v>
      </c>
      <c r="V195" s="136">
        <v>481</v>
      </c>
      <c r="W195" s="136">
        <v>32983</v>
      </c>
      <c r="X195" s="136">
        <v>727</v>
      </c>
      <c r="Y195" s="137">
        <v>0</v>
      </c>
      <c r="Z195" s="137">
        <v>0</v>
      </c>
      <c r="AA195" s="137">
        <v>13</v>
      </c>
      <c r="AB195" s="141">
        <v>0</v>
      </c>
      <c r="AC195" s="141">
        <v>0</v>
      </c>
      <c r="AD195" s="141">
        <v>0</v>
      </c>
    </row>
    <row r="196" spans="1:30" ht="14.25">
      <c r="A196">
        <v>601</v>
      </c>
      <c r="B196" s="121" t="s">
        <v>326</v>
      </c>
      <c r="C196" s="120">
        <v>16837</v>
      </c>
      <c r="D196" s="120">
        <v>0</v>
      </c>
      <c r="E196" s="120">
        <v>0</v>
      </c>
      <c r="F196" s="120">
        <v>0</v>
      </c>
      <c r="G196" s="123">
        <v>0</v>
      </c>
      <c r="H196" s="123">
        <v>60</v>
      </c>
      <c r="I196" s="123">
        <v>0</v>
      </c>
      <c r="J196" s="125">
        <v>0</v>
      </c>
      <c r="K196" s="125">
        <v>0</v>
      </c>
      <c r="L196" s="125">
        <v>0</v>
      </c>
      <c r="M196" s="127">
        <v>0</v>
      </c>
      <c r="N196" s="127">
        <v>0</v>
      </c>
      <c r="O196" s="127">
        <v>0</v>
      </c>
      <c r="P196" s="129">
        <v>0</v>
      </c>
      <c r="Q196" s="129">
        <v>0</v>
      </c>
      <c r="R196" s="129">
        <v>0</v>
      </c>
      <c r="S196" s="125">
        <v>43927</v>
      </c>
      <c r="T196" s="125">
        <v>1496</v>
      </c>
      <c r="U196" s="125">
        <v>0</v>
      </c>
      <c r="V196" s="136">
        <v>0</v>
      </c>
      <c r="W196" s="136">
        <v>16789</v>
      </c>
      <c r="X196" s="136">
        <v>345</v>
      </c>
      <c r="Y196" s="137">
        <v>0</v>
      </c>
      <c r="Z196" s="137">
        <v>47</v>
      </c>
      <c r="AA196" s="137">
        <v>0</v>
      </c>
      <c r="AB196" s="141">
        <v>0</v>
      </c>
      <c r="AC196" s="141">
        <v>0</v>
      </c>
      <c r="AD196" s="141">
        <v>0</v>
      </c>
    </row>
    <row r="197" spans="1:30" ht="14.25">
      <c r="A197">
        <v>604</v>
      </c>
      <c r="B197" s="121" t="s">
        <v>327</v>
      </c>
      <c r="C197" s="120">
        <v>46984</v>
      </c>
      <c r="D197" s="120">
        <v>0</v>
      </c>
      <c r="E197" s="120">
        <v>0</v>
      </c>
      <c r="F197" s="120">
        <v>1528</v>
      </c>
      <c r="G197" s="123">
        <v>352</v>
      </c>
      <c r="H197" s="123">
        <v>21147</v>
      </c>
      <c r="I197" s="123">
        <v>0</v>
      </c>
      <c r="J197" s="125">
        <v>0</v>
      </c>
      <c r="K197" s="125">
        <v>0</v>
      </c>
      <c r="L197" s="125">
        <v>0</v>
      </c>
      <c r="M197" s="127">
        <v>0</v>
      </c>
      <c r="N197" s="127">
        <v>0</v>
      </c>
      <c r="O197" s="127">
        <v>0</v>
      </c>
      <c r="P197" s="129">
        <v>0</v>
      </c>
      <c r="Q197" s="129">
        <v>0</v>
      </c>
      <c r="R197" s="129">
        <v>0</v>
      </c>
      <c r="S197" s="125">
        <v>131237</v>
      </c>
      <c r="T197" s="125">
        <v>6950</v>
      </c>
      <c r="U197" s="125">
        <v>1528</v>
      </c>
      <c r="V197" s="136">
        <v>1893</v>
      </c>
      <c r="W197" s="136">
        <v>66349</v>
      </c>
      <c r="X197" s="136">
        <v>1251</v>
      </c>
      <c r="Y197" s="137">
        <v>0</v>
      </c>
      <c r="Z197" s="137">
        <v>334</v>
      </c>
      <c r="AA197" s="137">
        <v>0</v>
      </c>
      <c r="AB197" s="141">
        <v>23</v>
      </c>
      <c r="AC197" s="141">
        <v>643</v>
      </c>
      <c r="AD197" s="141">
        <v>13</v>
      </c>
    </row>
    <row r="198" spans="1:30" ht="14.25">
      <c r="A198">
        <v>607</v>
      </c>
      <c r="B198" s="121" t="s">
        <v>328</v>
      </c>
      <c r="C198" s="120">
        <v>7221</v>
      </c>
      <c r="D198" s="120">
        <v>0</v>
      </c>
      <c r="E198" s="120">
        <v>0</v>
      </c>
      <c r="F198" s="120">
        <v>0</v>
      </c>
      <c r="G198" s="123">
        <v>0</v>
      </c>
      <c r="H198" s="123">
        <v>1927</v>
      </c>
      <c r="I198" s="123">
        <v>0</v>
      </c>
      <c r="J198" s="125">
        <v>0</v>
      </c>
      <c r="K198" s="125">
        <v>0</v>
      </c>
      <c r="L198" s="125">
        <v>0</v>
      </c>
      <c r="M198" s="127">
        <v>0</v>
      </c>
      <c r="N198" s="127">
        <v>0</v>
      </c>
      <c r="O198" s="127">
        <v>0</v>
      </c>
      <c r="P198" s="129">
        <v>0</v>
      </c>
      <c r="Q198" s="129">
        <v>0</v>
      </c>
      <c r="R198" s="129">
        <v>0</v>
      </c>
      <c r="S198" s="125">
        <v>32169</v>
      </c>
      <c r="T198" s="125">
        <v>1223</v>
      </c>
      <c r="U198" s="125">
        <v>0</v>
      </c>
      <c r="V198" s="136">
        <v>3</v>
      </c>
      <c r="W198" s="136">
        <v>18219</v>
      </c>
      <c r="X198" s="136">
        <v>364</v>
      </c>
      <c r="Y198" s="137">
        <v>0</v>
      </c>
      <c r="Z198" s="137">
        <v>116</v>
      </c>
      <c r="AA198" s="137">
        <v>0</v>
      </c>
      <c r="AB198" s="141">
        <v>0</v>
      </c>
      <c r="AC198" s="141">
        <v>0</v>
      </c>
      <c r="AD198" s="141">
        <v>0</v>
      </c>
    </row>
    <row r="199" spans="1:30" ht="14.25">
      <c r="A199">
        <v>608</v>
      </c>
      <c r="B199" s="121" t="s">
        <v>329</v>
      </c>
      <c r="C199" s="120">
        <v>2296</v>
      </c>
      <c r="D199" s="120">
        <v>0</v>
      </c>
      <c r="E199" s="120">
        <v>0</v>
      </c>
      <c r="F199" s="120">
        <v>548</v>
      </c>
      <c r="G199" s="123">
        <v>74</v>
      </c>
      <c r="H199" s="123">
        <v>85</v>
      </c>
      <c r="I199" s="123">
        <v>0</v>
      </c>
      <c r="J199" s="125">
        <v>0</v>
      </c>
      <c r="K199" s="125">
        <v>0</v>
      </c>
      <c r="L199" s="125">
        <v>0</v>
      </c>
      <c r="M199" s="127">
        <v>0</v>
      </c>
      <c r="N199" s="127">
        <v>0</v>
      </c>
      <c r="O199" s="127">
        <v>0</v>
      </c>
      <c r="P199" s="129">
        <v>0</v>
      </c>
      <c r="Q199" s="129">
        <v>0</v>
      </c>
      <c r="R199" s="129">
        <v>0</v>
      </c>
      <c r="S199" s="125">
        <v>16358</v>
      </c>
      <c r="T199" s="125">
        <v>401</v>
      </c>
      <c r="U199" s="125">
        <v>548</v>
      </c>
      <c r="V199" s="136">
        <v>173</v>
      </c>
      <c r="W199" s="136">
        <v>9127</v>
      </c>
      <c r="X199" s="136">
        <v>289</v>
      </c>
      <c r="Y199" s="137">
        <v>0</v>
      </c>
      <c r="Z199" s="137">
        <v>40</v>
      </c>
      <c r="AA199" s="137">
        <v>12</v>
      </c>
      <c r="AB199" s="141">
        <v>0</v>
      </c>
      <c r="AC199" s="141">
        <v>0</v>
      </c>
      <c r="AD199" s="141">
        <v>0</v>
      </c>
    </row>
    <row r="200" spans="1:30" ht="14.25">
      <c r="A200">
        <v>609</v>
      </c>
      <c r="B200" s="121" t="s">
        <v>330</v>
      </c>
      <c r="C200" s="120">
        <v>298865</v>
      </c>
      <c r="D200" s="120">
        <v>0</v>
      </c>
      <c r="E200" s="120">
        <v>15595</v>
      </c>
      <c r="F200" s="120">
        <v>2137</v>
      </c>
      <c r="G200" s="123">
        <v>473</v>
      </c>
      <c r="H200" s="123">
        <v>83220</v>
      </c>
      <c r="I200" s="123">
        <v>22228</v>
      </c>
      <c r="J200" s="125">
        <v>0</v>
      </c>
      <c r="K200" s="125">
        <v>0</v>
      </c>
      <c r="L200" s="125">
        <v>0</v>
      </c>
      <c r="M200" s="127">
        <v>0</v>
      </c>
      <c r="N200" s="127">
        <v>0</v>
      </c>
      <c r="O200" s="127">
        <v>1</v>
      </c>
      <c r="P200" s="129">
        <v>0</v>
      </c>
      <c r="Q200" s="129">
        <v>0</v>
      </c>
      <c r="R200" s="129">
        <v>0</v>
      </c>
      <c r="S200" s="125">
        <v>751545</v>
      </c>
      <c r="T200" s="125">
        <v>27977</v>
      </c>
      <c r="U200" s="125">
        <v>2137</v>
      </c>
      <c r="V200" s="136">
        <v>450</v>
      </c>
      <c r="W200" s="136">
        <v>368006</v>
      </c>
      <c r="X200" s="136">
        <v>28703</v>
      </c>
      <c r="Y200" s="137">
        <v>0</v>
      </c>
      <c r="Z200" s="137">
        <v>285</v>
      </c>
      <c r="AA200" s="137">
        <v>1261</v>
      </c>
      <c r="AB200" s="141">
        <v>0</v>
      </c>
      <c r="AC200" s="141">
        <v>0</v>
      </c>
      <c r="AD200" s="141">
        <v>0</v>
      </c>
    </row>
    <row r="201" spans="1:30" ht="14.25">
      <c r="A201">
        <v>611</v>
      </c>
      <c r="B201" s="121" t="s">
        <v>331</v>
      </c>
      <c r="C201" s="120">
        <v>5922</v>
      </c>
      <c r="D201" s="120">
        <v>0</v>
      </c>
      <c r="E201" s="120">
        <v>0</v>
      </c>
      <c r="F201" s="120">
        <v>101</v>
      </c>
      <c r="G201" s="123">
        <v>0</v>
      </c>
      <c r="H201" s="123">
        <v>120</v>
      </c>
      <c r="I201" s="123">
        <v>0</v>
      </c>
      <c r="J201" s="125">
        <v>0</v>
      </c>
      <c r="K201" s="125">
        <v>0</v>
      </c>
      <c r="L201" s="125">
        <v>0</v>
      </c>
      <c r="M201" s="127">
        <v>0</v>
      </c>
      <c r="N201" s="127">
        <v>0</v>
      </c>
      <c r="O201" s="127">
        <v>0</v>
      </c>
      <c r="P201" s="129">
        <v>0</v>
      </c>
      <c r="Q201" s="129">
        <v>26</v>
      </c>
      <c r="R201" s="129">
        <v>0</v>
      </c>
      <c r="S201" s="125">
        <v>28323</v>
      </c>
      <c r="T201" s="125">
        <v>1753</v>
      </c>
      <c r="U201" s="125">
        <v>101</v>
      </c>
      <c r="V201" s="136">
        <v>224</v>
      </c>
      <c r="W201" s="136">
        <v>11757</v>
      </c>
      <c r="X201" s="136">
        <v>382</v>
      </c>
      <c r="Y201" s="137">
        <v>0</v>
      </c>
      <c r="Z201" s="137">
        <v>2</v>
      </c>
      <c r="AA201" s="137">
        <v>0</v>
      </c>
      <c r="AB201" s="141">
        <v>0</v>
      </c>
      <c r="AC201" s="141">
        <v>0</v>
      </c>
      <c r="AD201" s="141">
        <v>0</v>
      </c>
    </row>
    <row r="202" spans="1:30" ht="14.25">
      <c r="A202">
        <v>614</v>
      </c>
      <c r="B202" s="121" t="s">
        <v>333</v>
      </c>
      <c r="C202" s="120">
        <v>11383</v>
      </c>
      <c r="D202" s="120">
        <v>0</v>
      </c>
      <c r="E202" s="120">
        <v>0</v>
      </c>
      <c r="F202" s="120">
        <v>0</v>
      </c>
      <c r="G202" s="123">
        <v>4</v>
      </c>
      <c r="H202" s="123">
        <v>2662</v>
      </c>
      <c r="I202" s="123">
        <v>7</v>
      </c>
      <c r="J202" s="125">
        <v>0</v>
      </c>
      <c r="K202" s="125">
        <v>0</v>
      </c>
      <c r="L202" s="125">
        <v>0</v>
      </c>
      <c r="M202" s="127">
        <v>0</v>
      </c>
      <c r="N202" s="127">
        <v>0</v>
      </c>
      <c r="O202" s="127">
        <v>0</v>
      </c>
      <c r="P202" s="129">
        <v>0</v>
      </c>
      <c r="Q202" s="129">
        <v>0</v>
      </c>
      <c r="R202" s="129">
        <v>0</v>
      </c>
      <c r="S202" s="125">
        <v>36705</v>
      </c>
      <c r="T202" s="125">
        <v>1078</v>
      </c>
      <c r="U202" s="125">
        <v>0</v>
      </c>
      <c r="V202" s="136">
        <v>154</v>
      </c>
      <c r="W202" s="136">
        <v>21088</v>
      </c>
      <c r="X202" s="136">
        <v>423</v>
      </c>
      <c r="Y202" s="137">
        <v>0</v>
      </c>
      <c r="Z202" s="137">
        <v>58</v>
      </c>
      <c r="AA202" s="137">
        <v>0</v>
      </c>
      <c r="AB202" s="141">
        <v>0</v>
      </c>
      <c r="AC202" s="141">
        <v>0</v>
      </c>
      <c r="AD202" s="141">
        <v>0</v>
      </c>
    </row>
    <row r="203" spans="1:30" ht="14.25">
      <c r="A203">
        <v>615</v>
      </c>
      <c r="B203" s="121" t="s">
        <v>334</v>
      </c>
      <c r="C203" s="120">
        <v>14915</v>
      </c>
      <c r="D203" s="120">
        <v>0</v>
      </c>
      <c r="E203" s="120">
        <v>40</v>
      </c>
      <c r="F203" s="120">
        <v>1230</v>
      </c>
      <c r="G203" s="123">
        <v>41</v>
      </c>
      <c r="H203" s="123">
        <v>910</v>
      </c>
      <c r="I203" s="123">
        <v>0</v>
      </c>
      <c r="J203" s="125">
        <v>0</v>
      </c>
      <c r="K203" s="125">
        <v>0</v>
      </c>
      <c r="L203" s="125">
        <v>0</v>
      </c>
      <c r="M203" s="127">
        <v>0</v>
      </c>
      <c r="N203" s="127">
        <v>0</v>
      </c>
      <c r="O203" s="127">
        <v>0</v>
      </c>
      <c r="P203" s="129">
        <v>0</v>
      </c>
      <c r="Q203" s="129">
        <v>0</v>
      </c>
      <c r="R203" s="129">
        <v>0</v>
      </c>
      <c r="S203" s="125">
        <v>70568</v>
      </c>
      <c r="T203" s="125">
        <v>3503</v>
      </c>
      <c r="U203" s="125">
        <v>1232</v>
      </c>
      <c r="V203" s="136">
        <v>382</v>
      </c>
      <c r="W203" s="136">
        <v>35528</v>
      </c>
      <c r="X203" s="136">
        <v>549</v>
      </c>
      <c r="Y203" s="137">
        <v>0</v>
      </c>
      <c r="Z203" s="137">
        <v>4</v>
      </c>
      <c r="AA203" s="137">
        <v>0</v>
      </c>
      <c r="AB203" s="141">
        <v>3</v>
      </c>
      <c r="AC203" s="141">
        <v>56</v>
      </c>
      <c r="AD203" s="141">
        <v>0</v>
      </c>
    </row>
    <row r="204" spans="1:30" ht="14.25">
      <c r="A204">
        <v>616</v>
      </c>
      <c r="B204" s="121" t="s">
        <v>335</v>
      </c>
      <c r="C204" s="120">
        <v>2653</v>
      </c>
      <c r="D204" s="120">
        <v>0</v>
      </c>
      <c r="E204" s="120">
        <v>0</v>
      </c>
      <c r="F204" s="120">
        <v>0</v>
      </c>
      <c r="G204" s="123">
        <v>0</v>
      </c>
      <c r="H204" s="123">
        <v>116</v>
      </c>
      <c r="I204" s="123">
        <v>44</v>
      </c>
      <c r="J204" s="125">
        <v>0</v>
      </c>
      <c r="K204" s="125">
        <v>0</v>
      </c>
      <c r="L204" s="125">
        <v>0</v>
      </c>
      <c r="M204" s="127">
        <v>0</v>
      </c>
      <c r="N204" s="127">
        <v>0</v>
      </c>
      <c r="O204" s="127">
        <v>0</v>
      </c>
      <c r="P204" s="129">
        <v>0</v>
      </c>
      <c r="Q204" s="129">
        <v>0</v>
      </c>
      <c r="R204" s="129">
        <v>0</v>
      </c>
      <c r="S204" s="125">
        <v>13179</v>
      </c>
      <c r="T204" s="125">
        <v>463</v>
      </c>
      <c r="U204" s="125">
        <v>0</v>
      </c>
      <c r="V204" s="136">
        <v>64</v>
      </c>
      <c r="W204" s="136">
        <v>6394</v>
      </c>
      <c r="X204" s="136">
        <v>256</v>
      </c>
      <c r="Y204" s="137">
        <v>0</v>
      </c>
      <c r="Z204" s="137">
        <v>0</v>
      </c>
      <c r="AA204" s="137">
        <v>9</v>
      </c>
      <c r="AB204" s="141">
        <v>0</v>
      </c>
      <c r="AC204" s="141">
        <v>0</v>
      </c>
      <c r="AD204" s="141">
        <v>0</v>
      </c>
    </row>
    <row r="205" spans="1:30" ht="14.25">
      <c r="A205">
        <v>619</v>
      </c>
      <c r="B205" s="121" t="s">
        <v>336</v>
      </c>
      <c r="C205" s="120">
        <v>4634</v>
      </c>
      <c r="D205" s="120">
        <v>0</v>
      </c>
      <c r="E205" s="120">
        <v>0</v>
      </c>
      <c r="F205" s="120">
        <v>187</v>
      </c>
      <c r="G205" s="123">
        <v>82</v>
      </c>
      <c r="H205" s="123">
        <v>225</v>
      </c>
      <c r="I205" s="123">
        <v>0</v>
      </c>
      <c r="J205" s="125">
        <v>0</v>
      </c>
      <c r="K205" s="125">
        <v>0</v>
      </c>
      <c r="L205" s="125">
        <v>0</v>
      </c>
      <c r="M205" s="127">
        <v>0</v>
      </c>
      <c r="N205" s="127">
        <v>0</v>
      </c>
      <c r="O205" s="127">
        <v>0</v>
      </c>
      <c r="P205" s="129">
        <v>0</v>
      </c>
      <c r="Q205" s="129">
        <v>0</v>
      </c>
      <c r="R205" s="129">
        <v>0</v>
      </c>
      <c r="S205" s="125">
        <v>23167</v>
      </c>
      <c r="T205" s="125">
        <v>771</v>
      </c>
      <c r="U205" s="125">
        <v>187</v>
      </c>
      <c r="V205" s="136">
        <v>303</v>
      </c>
      <c r="W205" s="136">
        <v>12324</v>
      </c>
      <c r="X205" s="136">
        <v>221</v>
      </c>
      <c r="Y205" s="137">
        <v>0</v>
      </c>
      <c r="Z205" s="137">
        <v>9</v>
      </c>
      <c r="AA205" s="137">
        <v>0</v>
      </c>
      <c r="AB205" s="141">
        <v>5</v>
      </c>
      <c r="AC205" s="141">
        <v>5</v>
      </c>
      <c r="AD205" s="141">
        <v>0</v>
      </c>
    </row>
    <row r="206" spans="1:30" ht="14.25">
      <c r="A206">
        <v>620</v>
      </c>
      <c r="B206" s="121" t="s">
        <v>337</v>
      </c>
      <c r="C206" s="120">
        <v>5245</v>
      </c>
      <c r="D206" s="120">
        <v>0</v>
      </c>
      <c r="E206" s="120">
        <v>0</v>
      </c>
      <c r="F206" s="120">
        <v>266</v>
      </c>
      <c r="G206" s="123">
        <v>23</v>
      </c>
      <c r="H206" s="123">
        <v>1971</v>
      </c>
      <c r="I206" s="123">
        <v>0</v>
      </c>
      <c r="J206" s="125">
        <v>0</v>
      </c>
      <c r="K206" s="125">
        <v>0</v>
      </c>
      <c r="L206" s="125">
        <v>0</v>
      </c>
      <c r="M206" s="127">
        <v>0</v>
      </c>
      <c r="N206" s="127">
        <v>0</v>
      </c>
      <c r="O206" s="127">
        <v>0</v>
      </c>
      <c r="P206" s="129">
        <v>0</v>
      </c>
      <c r="Q206" s="129">
        <v>0</v>
      </c>
      <c r="R206" s="129">
        <v>0</v>
      </c>
      <c r="S206" s="125">
        <v>26988</v>
      </c>
      <c r="T206" s="125">
        <v>998</v>
      </c>
      <c r="U206" s="125">
        <v>266</v>
      </c>
      <c r="V206" s="136">
        <v>149</v>
      </c>
      <c r="W206" s="136">
        <v>16372</v>
      </c>
      <c r="X206" s="136">
        <v>254</v>
      </c>
      <c r="Y206" s="137">
        <v>0</v>
      </c>
      <c r="Z206" s="137">
        <v>231</v>
      </c>
      <c r="AA206" s="137">
        <v>0</v>
      </c>
      <c r="AB206" s="141">
        <v>0</v>
      </c>
      <c r="AC206" s="141">
        <v>111</v>
      </c>
      <c r="AD206" s="141">
        <v>0</v>
      </c>
    </row>
    <row r="207" spans="1:30" ht="14.25">
      <c r="A207">
        <v>623</v>
      </c>
      <c r="B207" s="121" t="s">
        <v>338</v>
      </c>
      <c r="C207" s="120">
        <v>4286</v>
      </c>
      <c r="D207" s="120">
        <v>0</v>
      </c>
      <c r="E207" s="120">
        <v>0</v>
      </c>
      <c r="F207" s="120">
        <v>167</v>
      </c>
      <c r="G207" s="123">
        <v>23</v>
      </c>
      <c r="H207" s="123">
        <v>275</v>
      </c>
      <c r="I207" s="123">
        <v>53</v>
      </c>
      <c r="J207" s="125">
        <v>0</v>
      </c>
      <c r="K207" s="125">
        <v>0</v>
      </c>
      <c r="L207" s="125">
        <v>0</v>
      </c>
      <c r="M207" s="127">
        <v>0</v>
      </c>
      <c r="N207" s="127">
        <v>0</v>
      </c>
      <c r="O207" s="127">
        <v>0</v>
      </c>
      <c r="P207" s="129">
        <v>0</v>
      </c>
      <c r="Q207" s="129">
        <v>0</v>
      </c>
      <c r="R207" s="129">
        <v>0</v>
      </c>
      <c r="S207" s="125">
        <v>19379</v>
      </c>
      <c r="T207" s="125">
        <v>862</v>
      </c>
      <c r="U207" s="125">
        <v>167</v>
      </c>
      <c r="V207" s="136">
        <v>73</v>
      </c>
      <c r="W207" s="136">
        <v>10234</v>
      </c>
      <c r="X207" s="136">
        <v>245</v>
      </c>
      <c r="Y207" s="137">
        <v>0</v>
      </c>
      <c r="Z207" s="137">
        <v>0</v>
      </c>
      <c r="AA207" s="137">
        <v>6</v>
      </c>
      <c r="AB207" s="141">
        <v>0</v>
      </c>
      <c r="AC207" s="141">
        <v>0</v>
      </c>
      <c r="AD207" s="141">
        <v>0</v>
      </c>
    </row>
    <row r="208" spans="1:30" ht="14.25">
      <c r="A208">
        <v>624</v>
      </c>
      <c r="B208" s="121" t="s">
        <v>132</v>
      </c>
      <c r="C208" s="120">
        <v>5793</v>
      </c>
      <c r="D208" s="120">
        <v>0</v>
      </c>
      <c r="E208" s="120">
        <v>0</v>
      </c>
      <c r="F208" s="120">
        <v>0</v>
      </c>
      <c r="G208" s="123">
        <v>0</v>
      </c>
      <c r="H208" s="123">
        <v>1050</v>
      </c>
      <c r="I208" s="123">
        <v>0</v>
      </c>
      <c r="J208" s="125">
        <v>0</v>
      </c>
      <c r="K208" s="125">
        <v>0</v>
      </c>
      <c r="L208" s="125">
        <v>0</v>
      </c>
      <c r="M208" s="127">
        <v>0</v>
      </c>
      <c r="N208" s="127">
        <v>0</v>
      </c>
      <c r="O208" s="127">
        <v>0</v>
      </c>
      <c r="P208" s="129">
        <v>0</v>
      </c>
      <c r="Q208" s="129">
        <v>0</v>
      </c>
      <c r="R208" s="129">
        <v>0</v>
      </c>
      <c r="S208" s="125">
        <v>34113</v>
      </c>
      <c r="T208" s="125">
        <v>1327</v>
      </c>
      <c r="U208" s="125">
        <v>0</v>
      </c>
      <c r="V208" s="136">
        <v>373</v>
      </c>
      <c r="W208" s="136">
        <v>18699</v>
      </c>
      <c r="X208" s="136">
        <v>325</v>
      </c>
      <c r="Y208" s="137">
        <v>0</v>
      </c>
      <c r="Z208" s="137">
        <v>14</v>
      </c>
      <c r="AA208" s="137">
        <v>0</v>
      </c>
      <c r="AB208" s="141">
        <v>0</v>
      </c>
      <c r="AC208" s="141">
        <v>0</v>
      </c>
      <c r="AD208" s="141">
        <v>0</v>
      </c>
    </row>
    <row r="209" spans="1:30" ht="14.25">
      <c r="A209">
        <v>625</v>
      </c>
      <c r="B209" s="121" t="s">
        <v>339</v>
      </c>
      <c r="C209" s="120">
        <v>6867</v>
      </c>
      <c r="D209" s="120">
        <v>2</v>
      </c>
      <c r="E209" s="120">
        <v>0</v>
      </c>
      <c r="F209" s="120">
        <v>246</v>
      </c>
      <c r="G209" s="123">
        <v>85</v>
      </c>
      <c r="H209" s="123">
        <v>118</v>
      </c>
      <c r="I209" s="123">
        <v>0</v>
      </c>
      <c r="J209" s="125">
        <v>0</v>
      </c>
      <c r="K209" s="125">
        <v>0</v>
      </c>
      <c r="L209" s="125">
        <v>0</v>
      </c>
      <c r="M209" s="127">
        <v>0</v>
      </c>
      <c r="N209" s="127">
        <v>0</v>
      </c>
      <c r="O209" s="127">
        <v>0</v>
      </c>
      <c r="P209" s="129">
        <v>0</v>
      </c>
      <c r="Q209" s="129">
        <v>31</v>
      </c>
      <c r="R209" s="129">
        <v>0</v>
      </c>
      <c r="S209" s="125">
        <v>24219</v>
      </c>
      <c r="T209" s="125">
        <v>887</v>
      </c>
      <c r="U209" s="125">
        <v>264</v>
      </c>
      <c r="V209" s="136">
        <v>239</v>
      </c>
      <c r="W209" s="136">
        <v>10701</v>
      </c>
      <c r="X209" s="136">
        <v>279</v>
      </c>
      <c r="Y209" s="137">
        <v>0</v>
      </c>
      <c r="Z209" s="137">
        <v>0</v>
      </c>
      <c r="AA209" s="137">
        <v>0</v>
      </c>
      <c r="AB209" s="141">
        <v>1</v>
      </c>
      <c r="AC209" s="141">
        <v>1</v>
      </c>
      <c r="AD209" s="141">
        <v>0</v>
      </c>
    </row>
    <row r="210" spans="1:30" ht="14.25">
      <c r="A210">
        <v>626</v>
      </c>
      <c r="B210" s="121" t="s">
        <v>133</v>
      </c>
      <c r="C210" s="120">
        <v>6153</v>
      </c>
      <c r="D210" s="120">
        <v>0</v>
      </c>
      <c r="E210" s="120">
        <v>0</v>
      </c>
      <c r="F210" s="120">
        <v>0</v>
      </c>
      <c r="G210" s="123">
        <v>0</v>
      </c>
      <c r="H210" s="123">
        <v>10</v>
      </c>
      <c r="I210" s="123">
        <v>0</v>
      </c>
      <c r="J210" s="125">
        <v>0</v>
      </c>
      <c r="K210" s="125">
        <v>0</v>
      </c>
      <c r="L210" s="125">
        <v>0</v>
      </c>
      <c r="M210" s="127">
        <v>0</v>
      </c>
      <c r="N210" s="127">
        <v>0</v>
      </c>
      <c r="O210" s="127">
        <v>0</v>
      </c>
      <c r="P210" s="129">
        <v>0</v>
      </c>
      <c r="Q210" s="129">
        <v>0</v>
      </c>
      <c r="R210" s="129">
        <v>0</v>
      </c>
      <c r="S210" s="125">
        <v>44812</v>
      </c>
      <c r="T210" s="125">
        <v>1195</v>
      </c>
      <c r="U210" s="125">
        <v>0</v>
      </c>
      <c r="V210" s="136">
        <v>554</v>
      </c>
      <c r="W210" s="136">
        <v>25394</v>
      </c>
      <c r="X210" s="136">
        <v>494</v>
      </c>
      <c r="Y210" s="137">
        <v>0</v>
      </c>
      <c r="Z210" s="137">
        <v>0</v>
      </c>
      <c r="AA210" s="137">
        <v>0</v>
      </c>
      <c r="AB210" s="141">
        <v>0</v>
      </c>
      <c r="AC210" s="141">
        <v>0</v>
      </c>
      <c r="AD210" s="141">
        <v>0</v>
      </c>
    </row>
    <row r="211" spans="1:30" ht="14.25">
      <c r="A211">
        <v>630</v>
      </c>
      <c r="B211" s="121" t="s">
        <v>340</v>
      </c>
      <c r="C211" s="120">
        <v>2538</v>
      </c>
      <c r="D211" s="120">
        <v>0</v>
      </c>
      <c r="E211" s="120">
        <v>0</v>
      </c>
      <c r="F211" s="120">
        <v>0</v>
      </c>
      <c r="G211" s="123">
        <v>0</v>
      </c>
      <c r="H211" s="123">
        <v>628</v>
      </c>
      <c r="I211" s="123">
        <v>36</v>
      </c>
      <c r="J211" s="125">
        <v>0</v>
      </c>
      <c r="K211" s="125">
        <v>0</v>
      </c>
      <c r="L211" s="125">
        <v>0</v>
      </c>
      <c r="M211" s="127">
        <v>0</v>
      </c>
      <c r="N211" s="127">
        <v>0</v>
      </c>
      <c r="O211" s="127">
        <v>0</v>
      </c>
      <c r="P211" s="129">
        <v>0</v>
      </c>
      <c r="Q211" s="129">
        <v>0</v>
      </c>
      <c r="R211" s="129">
        <v>0</v>
      </c>
      <c r="S211" s="125">
        <v>11823</v>
      </c>
      <c r="T211" s="125">
        <v>962</v>
      </c>
      <c r="U211" s="125">
        <v>0</v>
      </c>
      <c r="V211" s="136">
        <v>33</v>
      </c>
      <c r="W211" s="136">
        <v>6247</v>
      </c>
      <c r="X211" s="136">
        <v>198</v>
      </c>
      <c r="Y211" s="137">
        <v>0</v>
      </c>
      <c r="Z211" s="137">
        <v>243</v>
      </c>
      <c r="AA211" s="137">
        <v>24</v>
      </c>
      <c r="AB211" s="141">
        <v>0</v>
      </c>
      <c r="AC211" s="141">
        <v>0</v>
      </c>
      <c r="AD211" s="141">
        <v>0</v>
      </c>
    </row>
    <row r="212" spans="1:30" ht="14.25">
      <c r="A212">
        <v>631</v>
      </c>
      <c r="B212" s="121" t="s">
        <v>341</v>
      </c>
      <c r="C212" s="120">
        <v>1694</v>
      </c>
      <c r="D212" s="120">
        <v>0</v>
      </c>
      <c r="E212" s="120">
        <v>0</v>
      </c>
      <c r="F212" s="120">
        <v>0</v>
      </c>
      <c r="G212" s="123">
        <v>0</v>
      </c>
      <c r="H212" s="123">
        <v>368</v>
      </c>
      <c r="I212" s="123">
        <v>0</v>
      </c>
      <c r="J212" s="125">
        <v>0</v>
      </c>
      <c r="K212" s="125">
        <v>0</v>
      </c>
      <c r="L212" s="125">
        <v>0</v>
      </c>
      <c r="M212" s="127">
        <v>0</v>
      </c>
      <c r="N212" s="127">
        <v>0</v>
      </c>
      <c r="O212" s="127">
        <v>0</v>
      </c>
      <c r="P212" s="129">
        <v>0</v>
      </c>
      <c r="Q212" s="129">
        <v>0</v>
      </c>
      <c r="R212" s="129">
        <v>0</v>
      </c>
      <c r="S212" s="125">
        <v>12593</v>
      </c>
      <c r="T212" s="125">
        <v>410</v>
      </c>
      <c r="U212" s="125">
        <v>0</v>
      </c>
      <c r="V212" s="136">
        <v>0</v>
      </c>
      <c r="W212" s="136">
        <v>7109</v>
      </c>
      <c r="X212" s="136">
        <v>158</v>
      </c>
      <c r="Y212" s="137">
        <v>0</v>
      </c>
      <c r="Z212" s="137">
        <v>0</v>
      </c>
      <c r="AA212" s="137">
        <v>0</v>
      </c>
      <c r="AB212" s="141">
        <v>0</v>
      </c>
      <c r="AC212" s="141">
        <v>0</v>
      </c>
      <c r="AD212" s="141">
        <v>0</v>
      </c>
    </row>
    <row r="213" spans="1:30" ht="14.25">
      <c r="A213">
        <v>635</v>
      </c>
      <c r="B213" s="121" t="s">
        <v>342</v>
      </c>
      <c r="C213" s="120">
        <v>8749</v>
      </c>
      <c r="D213" s="120">
        <v>0</v>
      </c>
      <c r="E213" s="120">
        <v>0</v>
      </c>
      <c r="F213" s="120">
        <v>0</v>
      </c>
      <c r="G213" s="123">
        <v>73</v>
      </c>
      <c r="H213" s="123">
        <v>415</v>
      </c>
      <c r="I213" s="123">
        <v>0</v>
      </c>
      <c r="J213" s="125">
        <v>0</v>
      </c>
      <c r="K213" s="125">
        <v>0</v>
      </c>
      <c r="L213" s="125">
        <v>0</v>
      </c>
      <c r="M213" s="127">
        <v>0</v>
      </c>
      <c r="N213" s="127">
        <v>0</v>
      </c>
      <c r="O213" s="127">
        <v>0</v>
      </c>
      <c r="P213" s="129">
        <v>0</v>
      </c>
      <c r="Q213" s="129">
        <v>0</v>
      </c>
      <c r="R213" s="129">
        <v>0</v>
      </c>
      <c r="S213" s="125">
        <v>45228</v>
      </c>
      <c r="T213" s="125">
        <v>2154</v>
      </c>
      <c r="U213" s="125">
        <v>0</v>
      </c>
      <c r="V213" s="136">
        <v>449</v>
      </c>
      <c r="W213" s="136">
        <v>23838</v>
      </c>
      <c r="X213" s="136">
        <v>462</v>
      </c>
      <c r="Y213" s="137">
        <v>0</v>
      </c>
      <c r="Z213" s="137">
        <v>0</v>
      </c>
      <c r="AA213" s="137">
        <v>0</v>
      </c>
      <c r="AB213" s="141">
        <v>0</v>
      </c>
      <c r="AC213" s="141">
        <v>0</v>
      </c>
      <c r="AD213" s="141">
        <v>0</v>
      </c>
    </row>
    <row r="214" spans="1:30" ht="14.25">
      <c r="A214">
        <v>636</v>
      </c>
      <c r="B214" s="121" t="s">
        <v>343</v>
      </c>
      <c r="C214" s="120">
        <v>14720</v>
      </c>
      <c r="D214" s="120">
        <v>0</v>
      </c>
      <c r="E214" s="120">
        <v>0</v>
      </c>
      <c r="F214" s="120">
        <v>795</v>
      </c>
      <c r="G214" s="123">
        <v>117</v>
      </c>
      <c r="H214" s="123">
        <v>2722</v>
      </c>
      <c r="I214" s="123">
        <v>0</v>
      </c>
      <c r="J214" s="125">
        <v>0</v>
      </c>
      <c r="K214" s="125">
        <v>0</v>
      </c>
      <c r="L214" s="125">
        <v>0</v>
      </c>
      <c r="M214" s="127">
        <v>0</v>
      </c>
      <c r="N214" s="127">
        <v>0</v>
      </c>
      <c r="O214" s="127">
        <v>0</v>
      </c>
      <c r="P214" s="129">
        <v>0</v>
      </c>
      <c r="Q214" s="129">
        <v>0</v>
      </c>
      <c r="R214" s="129">
        <v>0</v>
      </c>
      <c r="S214" s="125">
        <v>61553</v>
      </c>
      <c r="T214" s="125">
        <v>1957</v>
      </c>
      <c r="U214" s="125">
        <v>795</v>
      </c>
      <c r="V214" s="136">
        <v>285</v>
      </c>
      <c r="W214" s="136">
        <v>31753</v>
      </c>
      <c r="X214" s="136">
        <v>617</v>
      </c>
      <c r="Y214" s="137">
        <v>0</v>
      </c>
      <c r="Z214" s="137">
        <v>25</v>
      </c>
      <c r="AA214" s="137">
        <v>0</v>
      </c>
      <c r="AB214" s="141">
        <v>6</v>
      </c>
      <c r="AC214" s="141">
        <v>161</v>
      </c>
      <c r="AD214" s="141">
        <v>0</v>
      </c>
    </row>
    <row r="215" spans="1:30" ht="14.25">
      <c r="A215">
        <v>638</v>
      </c>
      <c r="B215" s="121" t="s">
        <v>332</v>
      </c>
      <c r="C215" s="120">
        <v>115123</v>
      </c>
      <c r="D215" s="120">
        <v>0</v>
      </c>
      <c r="E215" s="120">
        <v>1340</v>
      </c>
      <c r="F215" s="120">
        <v>793</v>
      </c>
      <c r="G215" s="123">
        <v>333</v>
      </c>
      <c r="H215" s="123">
        <v>24791</v>
      </c>
      <c r="I215" s="123">
        <v>5497</v>
      </c>
      <c r="J215" s="125">
        <v>0</v>
      </c>
      <c r="K215" s="125">
        <v>0</v>
      </c>
      <c r="L215" s="125">
        <v>0</v>
      </c>
      <c r="M215" s="127">
        <v>0</v>
      </c>
      <c r="N215" s="127">
        <v>0</v>
      </c>
      <c r="O215" s="127">
        <v>0</v>
      </c>
      <c r="P215" s="129">
        <v>0</v>
      </c>
      <c r="Q215" s="129">
        <v>0</v>
      </c>
      <c r="R215" s="129">
        <v>0</v>
      </c>
      <c r="S215" s="125">
        <v>362837</v>
      </c>
      <c r="T215" s="125">
        <v>24294</v>
      </c>
      <c r="U215" s="125">
        <v>793</v>
      </c>
      <c r="V215" s="136">
        <v>5725</v>
      </c>
      <c r="W215" s="136">
        <v>172073</v>
      </c>
      <c r="X215" s="136">
        <v>9121</v>
      </c>
      <c r="Y215" s="137">
        <v>20</v>
      </c>
      <c r="Z215" s="137">
        <v>664</v>
      </c>
      <c r="AA215" s="137">
        <v>737</v>
      </c>
      <c r="AB215" s="141">
        <v>15</v>
      </c>
      <c r="AC215" s="141">
        <v>301</v>
      </c>
      <c r="AD215" s="141">
        <v>23</v>
      </c>
    </row>
    <row r="216" spans="1:30" ht="14.25">
      <c r="A216">
        <v>678</v>
      </c>
      <c r="B216" s="121" t="s">
        <v>344</v>
      </c>
      <c r="C216" s="120">
        <v>29825</v>
      </c>
      <c r="D216" s="120">
        <v>0</v>
      </c>
      <c r="E216" s="120">
        <v>392</v>
      </c>
      <c r="F216" s="120">
        <v>3846</v>
      </c>
      <c r="G216" s="123">
        <v>605</v>
      </c>
      <c r="H216" s="123">
        <v>772</v>
      </c>
      <c r="I216" s="123">
        <v>0</v>
      </c>
      <c r="J216" s="125">
        <v>0</v>
      </c>
      <c r="K216" s="125">
        <v>0</v>
      </c>
      <c r="L216" s="125">
        <v>0</v>
      </c>
      <c r="M216" s="127">
        <v>0</v>
      </c>
      <c r="N216" s="127">
        <v>0</v>
      </c>
      <c r="O216" s="127">
        <v>0</v>
      </c>
      <c r="P216" s="129">
        <v>0</v>
      </c>
      <c r="Q216" s="129">
        <v>134</v>
      </c>
      <c r="R216" s="129">
        <v>0</v>
      </c>
      <c r="S216" s="125">
        <v>163251</v>
      </c>
      <c r="T216" s="125">
        <v>6719</v>
      </c>
      <c r="U216" s="125">
        <v>3846</v>
      </c>
      <c r="V216" s="136">
        <v>2500</v>
      </c>
      <c r="W216" s="136">
        <v>83815</v>
      </c>
      <c r="X216" s="136">
        <v>2525</v>
      </c>
      <c r="Y216" s="137">
        <v>0</v>
      </c>
      <c r="Z216" s="137">
        <v>0</v>
      </c>
      <c r="AA216" s="137">
        <v>0</v>
      </c>
      <c r="AB216" s="141">
        <v>0</v>
      </c>
      <c r="AC216" s="141">
        <v>22</v>
      </c>
      <c r="AD216" s="141">
        <v>0</v>
      </c>
    </row>
    <row r="217" spans="1:30" ht="14.25">
      <c r="A217">
        <v>680</v>
      </c>
      <c r="B217" s="121" t="s">
        <v>345</v>
      </c>
      <c r="C217" s="120">
        <v>71111</v>
      </c>
      <c r="D217" s="120">
        <v>0</v>
      </c>
      <c r="E217" s="120">
        <v>0</v>
      </c>
      <c r="F217" s="120">
        <v>0</v>
      </c>
      <c r="G217" s="123">
        <v>239</v>
      </c>
      <c r="H217" s="123">
        <v>29613</v>
      </c>
      <c r="I217" s="123">
        <v>0</v>
      </c>
      <c r="J217" s="125">
        <v>0</v>
      </c>
      <c r="K217" s="125">
        <v>0</v>
      </c>
      <c r="L217" s="125">
        <v>0</v>
      </c>
      <c r="M217" s="127">
        <v>0</v>
      </c>
      <c r="N217" s="127">
        <v>0</v>
      </c>
      <c r="O217" s="127">
        <v>0</v>
      </c>
      <c r="P217" s="129">
        <v>0</v>
      </c>
      <c r="Q217" s="129">
        <v>0</v>
      </c>
      <c r="R217" s="129">
        <v>0</v>
      </c>
      <c r="S217" s="125">
        <v>189170</v>
      </c>
      <c r="T217" s="125">
        <v>8921</v>
      </c>
      <c r="U217" s="125">
        <v>0</v>
      </c>
      <c r="V217" s="136">
        <v>1723</v>
      </c>
      <c r="W217" s="136">
        <v>106596</v>
      </c>
      <c r="X217" s="136">
        <v>1724</v>
      </c>
      <c r="Y217" s="137">
        <v>0</v>
      </c>
      <c r="Z217" s="137">
        <v>234</v>
      </c>
      <c r="AA217" s="137">
        <v>0</v>
      </c>
      <c r="AB217" s="141">
        <v>0</v>
      </c>
      <c r="AC217" s="141">
        <v>0</v>
      </c>
      <c r="AD217" s="141">
        <v>0</v>
      </c>
    </row>
    <row r="218" spans="1:30" ht="14.25">
      <c r="A218">
        <v>681</v>
      </c>
      <c r="B218" s="121" t="s">
        <v>346</v>
      </c>
      <c r="C218" s="120">
        <v>9355</v>
      </c>
      <c r="D218" s="120">
        <v>0</v>
      </c>
      <c r="E218" s="120">
        <v>6</v>
      </c>
      <c r="F218" s="120">
        <v>0</v>
      </c>
      <c r="G218" s="123">
        <v>21</v>
      </c>
      <c r="H218" s="123">
        <v>2075</v>
      </c>
      <c r="I218" s="123">
        <v>28</v>
      </c>
      <c r="J218" s="125">
        <v>0</v>
      </c>
      <c r="K218" s="125">
        <v>0</v>
      </c>
      <c r="L218" s="125">
        <v>0</v>
      </c>
      <c r="M218" s="127">
        <v>0</v>
      </c>
      <c r="N218" s="127">
        <v>6</v>
      </c>
      <c r="O218" s="127">
        <v>0</v>
      </c>
      <c r="P218" s="129">
        <v>0</v>
      </c>
      <c r="Q218" s="129">
        <v>0</v>
      </c>
      <c r="R218" s="129">
        <v>0</v>
      </c>
      <c r="S218" s="125">
        <v>32756</v>
      </c>
      <c r="T218" s="125">
        <v>983</v>
      </c>
      <c r="U218" s="125">
        <v>0</v>
      </c>
      <c r="V218" s="136">
        <v>265</v>
      </c>
      <c r="W218" s="136">
        <v>17439</v>
      </c>
      <c r="X218" s="136">
        <v>330</v>
      </c>
      <c r="Y218" s="137">
        <v>0</v>
      </c>
      <c r="Z218" s="137">
        <v>243</v>
      </c>
      <c r="AA218" s="137">
        <v>7</v>
      </c>
      <c r="AB218" s="141">
        <v>0</v>
      </c>
      <c r="AC218" s="141">
        <v>0</v>
      </c>
      <c r="AD218" s="141">
        <v>0</v>
      </c>
    </row>
    <row r="219" spans="1:30" ht="14.25">
      <c r="A219">
        <v>683</v>
      </c>
      <c r="B219" s="121" t="s">
        <v>347</v>
      </c>
      <c r="C219" s="120">
        <v>8620</v>
      </c>
      <c r="D219" s="120">
        <v>0</v>
      </c>
      <c r="E219" s="120">
        <v>0</v>
      </c>
      <c r="F219" s="120">
        <v>0</v>
      </c>
      <c r="G219" s="123">
        <v>76</v>
      </c>
      <c r="H219" s="123">
        <v>2923</v>
      </c>
      <c r="I219" s="123">
        <v>0</v>
      </c>
      <c r="J219" s="125">
        <v>0</v>
      </c>
      <c r="K219" s="125">
        <v>0</v>
      </c>
      <c r="L219" s="125">
        <v>0</v>
      </c>
      <c r="M219" s="127">
        <v>0</v>
      </c>
      <c r="N219" s="127">
        <v>0</v>
      </c>
      <c r="O219" s="127">
        <v>0</v>
      </c>
      <c r="P219" s="129">
        <v>0</v>
      </c>
      <c r="Q219" s="129">
        <v>0</v>
      </c>
      <c r="R219" s="129">
        <v>0</v>
      </c>
      <c r="S219" s="125">
        <v>37390</v>
      </c>
      <c r="T219" s="125">
        <v>1302</v>
      </c>
      <c r="U219" s="125">
        <v>0</v>
      </c>
      <c r="V219" s="136">
        <v>683</v>
      </c>
      <c r="W219" s="136">
        <v>19992</v>
      </c>
      <c r="X219" s="136">
        <v>365</v>
      </c>
      <c r="Y219" s="137">
        <v>0</v>
      </c>
      <c r="Z219" s="137">
        <v>237</v>
      </c>
      <c r="AA219" s="137">
        <v>0</v>
      </c>
      <c r="AB219" s="141">
        <v>0</v>
      </c>
      <c r="AC219" s="141">
        <v>0</v>
      </c>
      <c r="AD219" s="141">
        <v>0</v>
      </c>
    </row>
    <row r="220" spans="1:30" ht="14.25">
      <c r="A220">
        <v>684</v>
      </c>
      <c r="B220" s="121" t="s">
        <v>348</v>
      </c>
      <c r="C220" s="120">
        <v>90895</v>
      </c>
      <c r="D220" s="120">
        <v>-6</v>
      </c>
      <c r="E220" s="120">
        <v>24643</v>
      </c>
      <c r="F220" s="120">
        <v>4630</v>
      </c>
      <c r="G220" s="123">
        <v>313</v>
      </c>
      <c r="H220" s="123">
        <v>20051</v>
      </c>
      <c r="I220" s="123">
        <v>0</v>
      </c>
      <c r="J220" s="125">
        <v>0</v>
      </c>
      <c r="K220" s="125">
        <v>0</v>
      </c>
      <c r="L220" s="125">
        <v>0</v>
      </c>
      <c r="M220" s="127">
        <v>0</v>
      </c>
      <c r="N220" s="127">
        <v>636</v>
      </c>
      <c r="O220" s="127">
        <v>87</v>
      </c>
      <c r="P220" s="129">
        <v>0</v>
      </c>
      <c r="Q220" s="129">
        <v>458</v>
      </c>
      <c r="R220" s="129">
        <v>0</v>
      </c>
      <c r="S220" s="125">
        <v>316882</v>
      </c>
      <c r="T220" s="125">
        <v>20594</v>
      </c>
      <c r="U220" s="125">
        <v>4630</v>
      </c>
      <c r="V220" s="136">
        <v>3787</v>
      </c>
      <c r="W220" s="136">
        <v>150918</v>
      </c>
      <c r="X220" s="136">
        <v>3568</v>
      </c>
      <c r="Y220" s="137">
        <v>3</v>
      </c>
      <c r="Z220" s="137">
        <v>475</v>
      </c>
      <c r="AA220" s="137">
        <v>0</v>
      </c>
      <c r="AB220" s="141">
        <v>23</v>
      </c>
      <c r="AC220" s="141">
        <v>2181</v>
      </c>
      <c r="AD220" s="141">
        <v>0</v>
      </c>
    </row>
    <row r="221" spans="1:30" ht="14.25">
      <c r="A221">
        <v>686</v>
      </c>
      <c r="B221" s="121" t="s">
        <v>349</v>
      </c>
      <c r="C221" s="120">
        <v>4235</v>
      </c>
      <c r="D221" s="120">
        <v>0</v>
      </c>
      <c r="E221" s="120">
        <v>0</v>
      </c>
      <c r="F221" s="120">
        <v>308</v>
      </c>
      <c r="G221" s="123">
        <v>17</v>
      </c>
      <c r="H221" s="123">
        <v>1321</v>
      </c>
      <c r="I221" s="123">
        <v>40</v>
      </c>
      <c r="J221" s="125">
        <v>0</v>
      </c>
      <c r="K221" s="125">
        <v>0</v>
      </c>
      <c r="L221" s="125">
        <v>0</v>
      </c>
      <c r="M221" s="127">
        <v>0</v>
      </c>
      <c r="N221" s="127">
        <v>0</v>
      </c>
      <c r="O221" s="127">
        <v>0</v>
      </c>
      <c r="P221" s="129">
        <v>0</v>
      </c>
      <c r="Q221" s="129">
        <v>0</v>
      </c>
      <c r="R221" s="129">
        <v>0</v>
      </c>
      <c r="S221" s="125">
        <v>25187</v>
      </c>
      <c r="T221" s="125">
        <v>777</v>
      </c>
      <c r="U221" s="125">
        <v>311</v>
      </c>
      <c r="V221" s="136">
        <v>210</v>
      </c>
      <c r="W221" s="136">
        <v>14823</v>
      </c>
      <c r="X221" s="136">
        <v>351</v>
      </c>
      <c r="Y221" s="137">
        <v>0</v>
      </c>
      <c r="Z221" s="137">
        <v>109</v>
      </c>
      <c r="AA221" s="137">
        <v>8</v>
      </c>
      <c r="AB221" s="141">
        <v>0</v>
      </c>
      <c r="AC221" s="141">
        <v>118</v>
      </c>
      <c r="AD221" s="141">
        <v>1</v>
      </c>
    </row>
    <row r="222" spans="1:30" ht="14.25">
      <c r="A222">
        <v>687</v>
      </c>
      <c r="B222" s="121" t="s">
        <v>350</v>
      </c>
      <c r="C222" s="120">
        <v>3969</v>
      </c>
      <c r="D222" s="120">
        <v>0</v>
      </c>
      <c r="E222" s="120">
        <v>0</v>
      </c>
      <c r="F222" s="120">
        <v>0</v>
      </c>
      <c r="G222" s="123">
        <v>21</v>
      </c>
      <c r="H222" s="123">
        <v>1231</v>
      </c>
      <c r="I222" s="123">
        <v>45</v>
      </c>
      <c r="J222" s="125">
        <v>0</v>
      </c>
      <c r="K222" s="125">
        <v>0</v>
      </c>
      <c r="L222" s="125">
        <v>0</v>
      </c>
      <c r="M222" s="127">
        <v>0</v>
      </c>
      <c r="N222" s="127">
        <v>0</v>
      </c>
      <c r="O222" s="127">
        <v>0</v>
      </c>
      <c r="P222" s="129">
        <v>0</v>
      </c>
      <c r="Q222" s="129">
        <v>0</v>
      </c>
      <c r="R222" s="129">
        <v>0</v>
      </c>
      <c r="S222" s="125">
        <v>16818</v>
      </c>
      <c r="T222" s="125">
        <v>908</v>
      </c>
      <c r="U222" s="125">
        <v>0</v>
      </c>
      <c r="V222" s="136">
        <v>186</v>
      </c>
      <c r="W222" s="136">
        <v>9645</v>
      </c>
      <c r="X222" s="136">
        <v>288</v>
      </c>
      <c r="Y222" s="137">
        <v>0</v>
      </c>
      <c r="Z222" s="137">
        <v>259</v>
      </c>
      <c r="AA222" s="137">
        <v>15</v>
      </c>
      <c r="AB222" s="141">
        <v>0</v>
      </c>
      <c r="AC222" s="141">
        <v>0</v>
      </c>
      <c r="AD222" s="141">
        <v>0</v>
      </c>
    </row>
    <row r="223" spans="1:30" ht="14.25">
      <c r="A223">
        <v>689</v>
      </c>
      <c r="B223" s="121" t="s">
        <v>351</v>
      </c>
      <c r="C223" s="120">
        <v>4729</v>
      </c>
      <c r="D223" s="120">
        <v>0</v>
      </c>
      <c r="E223" s="120">
        <v>0</v>
      </c>
      <c r="F223" s="120">
        <v>0</v>
      </c>
      <c r="G223" s="123">
        <v>4</v>
      </c>
      <c r="H223" s="123">
        <v>426</v>
      </c>
      <c r="I223" s="123">
        <v>4</v>
      </c>
      <c r="J223" s="125">
        <v>0</v>
      </c>
      <c r="K223" s="125">
        <v>0</v>
      </c>
      <c r="L223" s="125">
        <v>0</v>
      </c>
      <c r="M223" s="127">
        <v>0</v>
      </c>
      <c r="N223" s="127">
        <v>0</v>
      </c>
      <c r="O223" s="127">
        <v>0</v>
      </c>
      <c r="P223" s="129">
        <v>0</v>
      </c>
      <c r="Q223" s="129">
        <v>0</v>
      </c>
      <c r="R223" s="129">
        <v>0</v>
      </c>
      <c r="S223" s="125">
        <v>25813</v>
      </c>
      <c r="T223" s="125">
        <v>1470</v>
      </c>
      <c r="U223" s="125">
        <v>0</v>
      </c>
      <c r="V223" s="136">
        <v>108</v>
      </c>
      <c r="W223" s="136">
        <v>14843</v>
      </c>
      <c r="X223" s="136">
        <v>308</v>
      </c>
      <c r="Y223" s="137">
        <v>0</v>
      </c>
      <c r="Z223" s="137">
        <v>0</v>
      </c>
      <c r="AA223" s="137">
        <v>58</v>
      </c>
      <c r="AB223" s="141">
        <v>0</v>
      </c>
      <c r="AC223" s="141">
        <v>0</v>
      </c>
      <c r="AD223" s="141">
        <v>0</v>
      </c>
    </row>
    <row r="224" spans="1:30" ht="14.25">
      <c r="A224">
        <v>691</v>
      </c>
      <c r="B224" s="121" t="s">
        <v>352</v>
      </c>
      <c r="C224" s="120">
        <v>10013</v>
      </c>
      <c r="D224" s="120">
        <v>0</v>
      </c>
      <c r="E224" s="120">
        <v>0</v>
      </c>
      <c r="F224" s="120">
        <v>0</v>
      </c>
      <c r="G224" s="123">
        <v>3</v>
      </c>
      <c r="H224" s="123">
        <v>57</v>
      </c>
      <c r="I224" s="123">
        <v>0</v>
      </c>
      <c r="J224" s="125">
        <v>0</v>
      </c>
      <c r="K224" s="125">
        <v>0</v>
      </c>
      <c r="L224" s="125">
        <v>0</v>
      </c>
      <c r="M224" s="127">
        <v>0</v>
      </c>
      <c r="N224" s="127">
        <v>0</v>
      </c>
      <c r="O224" s="127">
        <v>0</v>
      </c>
      <c r="P224" s="129">
        <v>0</v>
      </c>
      <c r="Q224" s="129">
        <v>0</v>
      </c>
      <c r="R224" s="129">
        <v>0</v>
      </c>
      <c r="S224" s="125">
        <v>28137</v>
      </c>
      <c r="T224" s="125">
        <v>1197</v>
      </c>
      <c r="U224" s="125">
        <v>0</v>
      </c>
      <c r="V224" s="136">
        <v>336</v>
      </c>
      <c r="W224" s="136">
        <v>11236</v>
      </c>
      <c r="X224" s="136">
        <v>225</v>
      </c>
      <c r="Y224" s="137">
        <v>0</v>
      </c>
      <c r="Z224" s="137">
        <v>0</v>
      </c>
      <c r="AA224" s="137">
        <v>0</v>
      </c>
      <c r="AB224" s="141">
        <v>0</v>
      </c>
      <c r="AC224" s="141">
        <v>0</v>
      </c>
      <c r="AD224" s="141">
        <v>0</v>
      </c>
    </row>
    <row r="225" spans="1:30" ht="14.25">
      <c r="A225">
        <v>694</v>
      </c>
      <c r="B225" s="121" t="s">
        <v>353</v>
      </c>
      <c r="C225" s="120">
        <v>52287</v>
      </c>
      <c r="D225" s="120">
        <v>0</v>
      </c>
      <c r="E225" s="120">
        <v>0</v>
      </c>
      <c r="F225" s="120">
        <v>3472</v>
      </c>
      <c r="G225" s="123">
        <v>330</v>
      </c>
      <c r="H225" s="123">
        <v>7537</v>
      </c>
      <c r="I225" s="123">
        <v>1</v>
      </c>
      <c r="J225" s="125">
        <v>0</v>
      </c>
      <c r="K225" s="125">
        <v>0</v>
      </c>
      <c r="L225" s="125">
        <v>0</v>
      </c>
      <c r="M225" s="127">
        <v>0</v>
      </c>
      <c r="N225" s="127">
        <v>0</v>
      </c>
      <c r="O225" s="127">
        <v>0</v>
      </c>
      <c r="P225" s="129">
        <v>0</v>
      </c>
      <c r="Q225" s="129">
        <v>0</v>
      </c>
      <c r="R225" s="129">
        <v>0</v>
      </c>
      <c r="S225" s="125">
        <v>199055</v>
      </c>
      <c r="T225" s="125">
        <v>8525</v>
      </c>
      <c r="U225" s="125">
        <v>3472</v>
      </c>
      <c r="V225" s="136">
        <v>3458</v>
      </c>
      <c r="W225" s="136">
        <v>103885</v>
      </c>
      <c r="X225" s="136">
        <v>2124</v>
      </c>
      <c r="Y225" s="137">
        <v>7</v>
      </c>
      <c r="Z225" s="137">
        <v>49</v>
      </c>
      <c r="AA225" s="137">
        <v>0</v>
      </c>
      <c r="AB225" s="141">
        <v>62</v>
      </c>
      <c r="AC225" s="141">
        <v>1863</v>
      </c>
      <c r="AD225" s="141">
        <v>38</v>
      </c>
    </row>
    <row r="226" spans="1:30" ht="14.25">
      <c r="A226">
        <v>697</v>
      </c>
      <c r="B226" s="121" t="s">
        <v>354</v>
      </c>
      <c r="C226" s="120">
        <v>4923</v>
      </c>
      <c r="D226" s="120">
        <v>0</v>
      </c>
      <c r="E226" s="120">
        <v>0</v>
      </c>
      <c r="F226" s="120">
        <v>73</v>
      </c>
      <c r="G226" s="123">
        <v>0</v>
      </c>
      <c r="H226" s="123">
        <v>3</v>
      </c>
      <c r="I226" s="123">
        <v>0</v>
      </c>
      <c r="J226" s="125">
        <v>0</v>
      </c>
      <c r="K226" s="125">
        <v>0</v>
      </c>
      <c r="L226" s="125">
        <v>0</v>
      </c>
      <c r="M226" s="127">
        <v>0</v>
      </c>
      <c r="N226" s="127">
        <v>0</v>
      </c>
      <c r="O226" s="127">
        <v>0</v>
      </c>
      <c r="P226" s="129">
        <v>0</v>
      </c>
      <c r="Q226" s="129">
        <v>0</v>
      </c>
      <c r="R226" s="129">
        <v>0</v>
      </c>
      <c r="S226" s="125">
        <v>15266</v>
      </c>
      <c r="T226" s="125">
        <v>559</v>
      </c>
      <c r="U226" s="125">
        <v>73</v>
      </c>
      <c r="V226" s="136">
        <v>117</v>
      </c>
      <c r="W226" s="136">
        <v>7174</v>
      </c>
      <c r="X226" s="136">
        <v>130</v>
      </c>
      <c r="Y226" s="137">
        <v>0</v>
      </c>
      <c r="Z226" s="137">
        <v>0</v>
      </c>
      <c r="AA226" s="137">
        <v>0</v>
      </c>
      <c r="AB226" s="141">
        <v>0</v>
      </c>
      <c r="AC226" s="141">
        <v>0</v>
      </c>
      <c r="AD226" s="141">
        <v>0</v>
      </c>
    </row>
    <row r="227" spans="1:30" ht="14.25">
      <c r="A227">
        <v>698</v>
      </c>
      <c r="B227" s="121" t="s">
        <v>355</v>
      </c>
      <c r="C227" s="120">
        <v>110836</v>
      </c>
      <c r="D227" s="120">
        <v>0</v>
      </c>
      <c r="E227" s="120">
        <v>6006</v>
      </c>
      <c r="F227" s="120">
        <v>0</v>
      </c>
      <c r="G227" s="123">
        <v>1061</v>
      </c>
      <c r="H227" s="123">
        <v>29691</v>
      </c>
      <c r="I227" s="123">
        <v>59</v>
      </c>
      <c r="J227" s="125">
        <v>0</v>
      </c>
      <c r="K227" s="125">
        <v>0</v>
      </c>
      <c r="L227" s="125">
        <v>0</v>
      </c>
      <c r="M227" s="127">
        <v>0</v>
      </c>
      <c r="N227" s="127">
        <v>0</v>
      </c>
      <c r="O227" s="127">
        <v>0</v>
      </c>
      <c r="P227" s="129">
        <v>0</v>
      </c>
      <c r="Q227" s="129">
        <v>0</v>
      </c>
      <c r="R227" s="129">
        <v>0</v>
      </c>
      <c r="S227" s="125">
        <v>455921</v>
      </c>
      <c r="T227" s="125">
        <v>20152</v>
      </c>
      <c r="U227" s="125">
        <v>0</v>
      </c>
      <c r="V227" s="136">
        <v>7790</v>
      </c>
      <c r="W227" s="136">
        <v>237745</v>
      </c>
      <c r="X227" s="136">
        <v>4630</v>
      </c>
      <c r="Y227" s="137">
        <v>0</v>
      </c>
      <c r="Z227" s="137">
        <v>26</v>
      </c>
      <c r="AA227" s="137">
        <v>0</v>
      </c>
      <c r="AB227" s="141">
        <v>0</v>
      </c>
      <c r="AC227" s="141">
        <v>0</v>
      </c>
      <c r="AD227" s="141">
        <v>0</v>
      </c>
    </row>
    <row r="228" spans="1:30" ht="14.25">
      <c r="A228">
        <v>700</v>
      </c>
      <c r="B228" s="121" t="s">
        <v>356</v>
      </c>
      <c r="C228" s="120">
        <v>9058</v>
      </c>
      <c r="D228" s="120">
        <v>0</v>
      </c>
      <c r="E228" s="120">
        <v>0</v>
      </c>
      <c r="F228" s="120">
        <v>0</v>
      </c>
      <c r="G228" s="123">
        <v>0</v>
      </c>
      <c r="H228" s="123">
        <v>37</v>
      </c>
      <c r="I228" s="123">
        <v>0</v>
      </c>
      <c r="J228" s="125">
        <v>0</v>
      </c>
      <c r="K228" s="125">
        <v>0</v>
      </c>
      <c r="L228" s="125">
        <v>0</v>
      </c>
      <c r="M228" s="127">
        <v>0</v>
      </c>
      <c r="N228" s="127">
        <v>0</v>
      </c>
      <c r="O228" s="127">
        <v>0</v>
      </c>
      <c r="P228" s="129">
        <v>0</v>
      </c>
      <c r="Q228" s="129">
        <v>0</v>
      </c>
      <c r="R228" s="129">
        <v>0</v>
      </c>
      <c r="S228" s="125">
        <v>40358</v>
      </c>
      <c r="T228" s="125">
        <v>2842</v>
      </c>
      <c r="U228" s="125">
        <v>0</v>
      </c>
      <c r="V228" s="136">
        <v>134</v>
      </c>
      <c r="W228" s="136">
        <v>20166</v>
      </c>
      <c r="X228" s="136">
        <v>0</v>
      </c>
      <c r="Y228" s="137">
        <v>0</v>
      </c>
      <c r="Z228" s="137">
        <v>0</v>
      </c>
      <c r="AA228" s="137">
        <v>0</v>
      </c>
      <c r="AB228" s="141">
        <v>0</v>
      </c>
      <c r="AC228" s="141">
        <v>0</v>
      </c>
      <c r="AD228" s="141">
        <v>0</v>
      </c>
    </row>
    <row r="229" spans="1:30" ht="14.25">
      <c r="A229">
        <v>702</v>
      </c>
      <c r="B229" s="121" t="s">
        <v>357</v>
      </c>
      <c r="C229" s="120">
        <v>5667</v>
      </c>
      <c r="D229" s="120">
        <v>0</v>
      </c>
      <c r="E229" s="120">
        <v>0</v>
      </c>
      <c r="F229" s="120">
        <v>834</v>
      </c>
      <c r="G229" s="123">
        <v>105</v>
      </c>
      <c r="H229" s="123">
        <v>205</v>
      </c>
      <c r="I229" s="123">
        <v>0</v>
      </c>
      <c r="J229" s="125">
        <v>0</v>
      </c>
      <c r="K229" s="125">
        <v>0</v>
      </c>
      <c r="L229" s="125">
        <v>0</v>
      </c>
      <c r="M229" s="127">
        <v>0</v>
      </c>
      <c r="N229" s="127">
        <v>0</v>
      </c>
      <c r="O229" s="127">
        <v>0</v>
      </c>
      <c r="P229" s="129">
        <v>0</v>
      </c>
      <c r="Q229" s="129">
        <v>0</v>
      </c>
      <c r="R229" s="129">
        <v>0</v>
      </c>
      <c r="S229" s="125">
        <v>34302</v>
      </c>
      <c r="T229" s="125">
        <v>1257</v>
      </c>
      <c r="U229" s="125">
        <v>834</v>
      </c>
      <c r="V229" s="136">
        <v>188</v>
      </c>
      <c r="W229" s="136">
        <v>20783</v>
      </c>
      <c r="X229" s="136">
        <v>347</v>
      </c>
      <c r="Y229" s="137">
        <v>0</v>
      </c>
      <c r="Z229" s="137">
        <v>4</v>
      </c>
      <c r="AA229" s="137">
        <v>0</v>
      </c>
      <c r="AB229" s="141">
        <v>0</v>
      </c>
      <c r="AC229" s="141">
        <v>47</v>
      </c>
      <c r="AD229" s="141">
        <v>0</v>
      </c>
    </row>
    <row r="230" spans="1:30" ht="14.25">
      <c r="A230">
        <v>704</v>
      </c>
      <c r="B230" s="121" t="s">
        <v>358</v>
      </c>
      <c r="C230" s="120">
        <v>7960</v>
      </c>
      <c r="D230" s="120">
        <v>0</v>
      </c>
      <c r="E230" s="120">
        <v>0</v>
      </c>
      <c r="F230" s="120">
        <v>379</v>
      </c>
      <c r="G230" s="123">
        <v>0</v>
      </c>
      <c r="H230" s="123">
        <v>6</v>
      </c>
      <c r="I230" s="123">
        <v>41</v>
      </c>
      <c r="J230" s="125">
        <v>0</v>
      </c>
      <c r="K230" s="125">
        <v>0</v>
      </c>
      <c r="L230" s="125">
        <v>0</v>
      </c>
      <c r="M230" s="127">
        <v>0</v>
      </c>
      <c r="N230" s="127">
        <v>0</v>
      </c>
      <c r="O230" s="127">
        <v>0</v>
      </c>
      <c r="P230" s="129">
        <v>0</v>
      </c>
      <c r="Q230" s="129">
        <v>0</v>
      </c>
      <c r="R230" s="129">
        <v>0</v>
      </c>
      <c r="S230" s="125">
        <v>34267</v>
      </c>
      <c r="T230" s="125">
        <v>1557</v>
      </c>
      <c r="U230" s="125">
        <v>377</v>
      </c>
      <c r="V230" s="136">
        <v>19</v>
      </c>
      <c r="W230" s="136">
        <v>14886</v>
      </c>
      <c r="X230" s="136">
        <v>493</v>
      </c>
      <c r="Y230" s="137">
        <v>0</v>
      </c>
      <c r="Z230" s="137">
        <v>0</v>
      </c>
      <c r="AA230" s="137">
        <v>0</v>
      </c>
      <c r="AB230" s="141">
        <v>0</v>
      </c>
      <c r="AC230" s="141">
        <v>4</v>
      </c>
      <c r="AD230" s="141">
        <v>0</v>
      </c>
    </row>
    <row r="231" spans="1:30" ht="14.25">
      <c r="A231">
        <v>707</v>
      </c>
      <c r="B231" s="121" t="s">
        <v>359</v>
      </c>
      <c r="C231" s="120">
        <v>3537</v>
      </c>
      <c r="D231" s="120">
        <v>0</v>
      </c>
      <c r="E231" s="120">
        <v>0</v>
      </c>
      <c r="F231" s="120">
        <v>0</v>
      </c>
      <c r="G231" s="123">
        <v>96</v>
      </c>
      <c r="H231" s="123">
        <v>1063</v>
      </c>
      <c r="I231" s="123">
        <v>21</v>
      </c>
      <c r="J231" s="125">
        <v>0</v>
      </c>
      <c r="K231" s="125">
        <v>0</v>
      </c>
      <c r="L231" s="125">
        <v>0</v>
      </c>
      <c r="M231" s="127">
        <v>0</v>
      </c>
      <c r="N231" s="127">
        <v>0</v>
      </c>
      <c r="O231" s="127">
        <v>0</v>
      </c>
      <c r="P231" s="129">
        <v>0</v>
      </c>
      <c r="Q231" s="129">
        <v>0</v>
      </c>
      <c r="R231" s="129">
        <v>0</v>
      </c>
      <c r="S231" s="125">
        <v>19204</v>
      </c>
      <c r="T231" s="125">
        <v>517</v>
      </c>
      <c r="U231" s="125">
        <v>0</v>
      </c>
      <c r="V231" s="136">
        <v>344</v>
      </c>
      <c r="W231" s="136">
        <v>12221</v>
      </c>
      <c r="X231" s="136">
        <v>212</v>
      </c>
      <c r="Y231" s="137">
        <v>0</v>
      </c>
      <c r="Z231" s="137">
        <v>1</v>
      </c>
      <c r="AA231" s="137">
        <v>0</v>
      </c>
      <c r="AB231" s="141">
        <v>0</v>
      </c>
      <c r="AC231" s="141">
        <v>0</v>
      </c>
      <c r="AD231" s="141">
        <v>0</v>
      </c>
    </row>
    <row r="232" spans="1:30" ht="14.25">
      <c r="A232">
        <v>710</v>
      </c>
      <c r="B232" s="121" t="s">
        <v>134</v>
      </c>
      <c r="C232" s="120">
        <v>53819</v>
      </c>
      <c r="D232" s="120">
        <v>0</v>
      </c>
      <c r="E232" s="120">
        <v>130</v>
      </c>
      <c r="F232" s="120">
        <v>0</v>
      </c>
      <c r="G232" s="123">
        <v>510</v>
      </c>
      <c r="H232" s="123">
        <v>13370</v>
      </c>
      <c r="I232" s="123">
        <v>0</v>
      </c>
      <c r="J232" s="125">
        <v>0</v>
      </c>
      <c r="K232" s="125">
        <v>0</v>
      </c>
      <c r="L232" s="125">
        <v>0</v>
      </c>
      <c r="M232" s="127">
        <v>0</v>
      </c>
      <c r="N232" s="127">
        <v>0</v>
      </c>
      <c r="O232" s="127">
        <v>0</v>
      </c>
      <c r="P232" s="129">
        <v>0</v>
      </c>
      <c r="Q232" s="129">
        <v>0</v>
      </c>
      <c r="R232" s="129">
        <v>0</v>
      </c>
      <c r="S232" s="125">
        <v>217165</v>
      </c>
      <c r="T232" s="125">
        <v>5919</v>
      </c>
      <c r="U232" s="125">
        <v>0</v>
      </c>
      <c r="V232" s="136">
        <v>3331</v>
      </c>
      <c r="W232" s="136">
        <v>116822</v>
      </c>
      <c r="X232" s="136">
        <v>1838</v>
      </c>
      <c r="Y232" s="137">
        <v>0</v>
      </c>
      <c r="Z232" s="137">
        <v>3</v>
      </c>
      <c r="AA232" s="137">
        <v>0</v>
      </c>
      <c r="AB232" s="141">
        <v>0</v>
      </c>
      <c r="AC232" s="141">
        <v>0</v>
      </c>
      <c r="AD232" s="141">
        <v>0</v>
      </c>
    </row>
    <row r="233" spans="1:30" ht="14.25">
      <c r="A233">
        <v>729</v>
      </c>
      <c r="B233" s="121" t="s">
        <v>360</v>
      </c>
      <c r="C233" s="120">
        <v>15963</v>
      </c>
      <c r="D233" s="120">
        <v>0</v>
      </c>
      <c r="E233" s="120">
        <v>0</v>
      </c>
      <c r="F233" s="120">
        <v>925</v>
      </c>
      <c r="G233" s="123">
        <v>0</v>
      </c>
      <c r="H233" s="123">
        <v>316</v>
      </c>
      <c r="I233" s="123">
        <v>0</v>
      </c>
      <c r="J233" s="125">
        <v>0</v>
      </c>
      <c r="K233" s="125">
        <v>0</v>
      </c>
      <c r="L233" s="125">
        <v>0</v>
      </c>
      <c r="M233" s="127">
        <v>0</v>
      </c>
      <c r="N233" s="127">
        <v>0</v>
      </c>
      <c r="O233" s="127">
        <v>0</v>
      </c>
      <c r="P233" s="129">
        <v>0</v>
      </c>
      <c r="Q233" s="129">
        <v>0</v>
      </c>
      <c r="R233" s="129">
        <v>0</v>
      </c>
      <c r="S233" s="125">
        <v>72887</v>
      </c>
      <c r="T233" s="125">
        <v>4304</v>
      </c>
      <c r="U233" s="125">
        <v>926</v>
      </c>
      <c r="V233" s="136">
        <v>797</v>
      </c>
      <c r="W233" s="136">
        <v>39294</v>
      </c>
      <c r="X233" s="136">
        <v>838</v>
      </c>
      <c r="Y233" s="137">
        <v>0</v>
      </c>
      <c r="Z233" s="137">
        <v>0</v>
      </c>
      <c r="AA233" s="137">
        <v>0</v>
      </c>
      <c r="AB233" s="141">
        <v>0</v>
      </c>
      <c r="AC233" s="141">
        <v>0</v>
      </c>
      <c r="AD233" s="141">
        <v>19</v>
      </c>
    </row>
    <row r="234" spans="1:30" ht="14.25">
      <c r="A234">
        <v>732</v>
      </c>
      <c r="B234" s="121" t="s">
        <v>361</v>
      </c>
      <c r="C234" s="120">
        <v>7052</v>
      </c>
      <c r="D234" s="120">
        <v>0</v>
      </c>
      <c r="E234" s="120">
        <v>0</v>
      </c>
      <c r="F234" s="120">
        <v>4376</v>
      </c>
      <c r="G234" s="123">
        <v>13</v>
      </c>
      <c r="H234" s="123">
        <v>3128</v>
      </c>
      <c r="I234" s="123">
        <v>0</v>
      </c>
      <c r="J234" s="125">
        <v>0</v>
      </c>
      <c r="K234" s="125">
        <v>0</v>
      </c>
      <c r="L234" s="125">
        <v>0</v>
      </c>
      <c r="M234" s="127">
        <v>0</v>
      </c>
      <c r="N234" s="127">
        <v>0</v>
      </c>
      <c r="O234" s="127">
        <v>0</v>
      </c>
      <c r="P234" s="129">
        <v>0</v>
      </c>
      <c r="Q234" s="129">
        <v>911</v>
      </c>
      <c r="R234" s="129">
        <v>0</v>
      </c>
      <c r="S234" s="125">
        <v>36755</v>
      </c>
      <c r="T234" s="125">
        <v>1297</v>
      </c>
      <c r="U234" s="125">
        <v>4376</v>
      </c>
      <c r="V234" s="136">
        <v>149</v>
      </c>
      <c r="W234" s="136">
        <v>22092</v>
      </c>
      <c r="X234" s="136">
        <v>350</v>
      </c>
      <c r="Y234" s="137">
        <v>0</v>
      </c>
      <c r="Z234" s="137">
        <v>155</v>
      </c>
      <c r="AA234" s="137">
        <v>0</v>
      </c>
      <c r="AB234" s="141">
        <v>0</v>
      </c>
      <c r="AC234" s="141">
        <v>2683</v>
      </c>
      <c r="AD234" s="141">
        <v>0</v>
      </c>
    </row>
    <row r="235" spans="1:30" ht="14.25">
      <c r="A235">
        <v>734</v>
      </c>
      <c r="B235" s="121" t="s">
        <v>362</v>
      </c>
      <c r="C235" s="120">
        <v>92418</v>
      </c>
      <c r="D235" s="120">
        <v>0</v>
      </c>
      <c r="E235" s="120">
        <v>0</v>
      </c>
      <c r="F235" s="120">
        <v>4760</v>
      </c>
      <c r="G235" s="123">
        <v>461</v>
      </c>
      <c r="H235" s="123">
        <v>24178</v>
      </c>
      <c r="I235" s="123">
        <v>0</v>
      </c>
      <c r="J235" s="125">
        <v>0</v>
      </c>
      <c r="K235" s="125">
        <v>0</v>
      </c>
      <c r="L235" s="125">
        <v>0</v>
      </c>
      <c r="M235" s="127">
        <v>0</v>
      </c>
      <c r="N235" s="127">
        <v>0</v>
      </c>
      <c r="O235" s="127">
        <v>0</v>
      </c>
      <c r="P235" s="129">
        <v>0</v>
      </c>
      <c r="Q235" s="129">
        <v>1010</v>
      </c>
      <c r="R235" s="129">
        <v>0</v>
      </c>
      <c r="S235" s="125">
        <v>372315</v>
      </c>
      <c r="T235" s="125">
        <v>15320</v>
      </c>
      <c r="U235" s="125">
        <v>4762</v>
      </c>
      <c r="V235" s="136">
        <v>1725</v>
      </c>
      <c r="W235" s="136">
        <v>204371</v>
      </c>
      <c r="X235" s="136">
        <v>3915</v>
      </c>
      <c r="Y235" s="137">
        <v>0</v>
      </c>
      <c r="Z235" s="137">
        <v>594</v>
      </c>
      <c r="AA235" s="137">
        <v>0</v>
      </c>
      <c r="AB235" s="141">
        <v>32</v>
      </c>
      <c r="AC235" s="141">
        <v>2264</v>
      </c>
      <c r="AD235" s="141">
        <v>1</v>
      </c>
    </row>
    <row r="236" spans="1:30" ht="14.25">
      <c r="A236">
        <v>738</v>
      </c>
      <c r="B236" s="121" t="s">
        <v>363</v>
      </c>
      <c r="C236" s="120">
        <v>2871</v>
      </c>
      <c r="D236" s="120">
        <v>0</v>
      </c>
      <c r="E236" s="120">
        <v>0</v>
      </c>
      <c r="F236" s="120">
        <v>176</v>
      </c>
      <c r="G236" s="123">
        <v>21</v>
      </c>
      <c r="H236" s="123">
        <v>636</v>
      </c>
      <c r="I236" s="123">
        <v>0</v>
      </c>
      <c r="J236" s="125">
        <v>0</v>
      </c>
      <c r="K236" s="125">
        <v>0</v>
      </c>
      <c r="L236" s="125">
        <v>0</v>
      </c>
      <c r="M236" s="127">
        <v>0</v>
      </c>
      <c r="N236" s="127">
        <v>0</v>
      </c>
      <c r="O236" s="127">
        <v>0</v>
      </c>
      <c r="P236" s="129">
        <v>0</v>
      </c>
      <c r="Q236" s="129">
        <v>0</v>
      </c>
      <c r="R236" s="129">
        <v>0</v>
      </c>
      <c r="S236" s="125">
        <v>18471</v>
      </c>
      <c r="T236" s="125">
        <v>360</v>
      </c>
      <c r="U236" s="125">
        <v>175</v>
      </c>
      <c r="V236" s="136">
        <v>157</v>
      </c>
      <c r="W236" s="136">
        <v>9981</v>
      </c>
      <c r="X236" s="136">
        <v>218</v>
      </c>
      <c r="Y236" s="137">
        <v>0</v>
      </c>
      <c r="Z236" s="137">
        <v>0</v>
      </c>
      <c r="AA236" s="137">
        <v>0</v>
      </c>
      <c r="AB236" s="141">
        <v>1</v>
      </c>
      <c r="AC236" s="141">
        <v>59</v>
      </c>
      <c r="AD236" s="141">
        <v>1</v>
      </c>
    </row>
    <row r="237" spans="1:30" ht="14.25">
      <c r="A237">
        <v>739</v>
      </c>
      <c r="B237" s="121" t="s">
        <v>364</v>
      </c>
      <c r="C237" s="120">
        <v>7595</v>
      </c>
      <c r="D237" s="120">
        <v>0</v>
      </c>
      <c r="E237" s="120">
        <v>76</v>
      </c>
      <c r="F237" s="120">
        <v>1144</v>
      </c>
      <c r="G237" s="123">
        <v>22</v>
      </c>
      <c r="H237" s="123">
        <v>376</v>
      </c>
      <c r="I237" s="123">
        <v>0</v>
      </c>
      <c r="J237" s="125">
        <v>0</v>
      </c>
      <c r="K237" s="125">
        <v>0</v>
      </c>
      <c r="L237" s="125">
        <v>0</v>
      </c>
      <c r="M237" s="127">
        <v>0</v>
      </c>
      <c r="N237" s="127">
        <v>0</v>
      </c>
      <c r="O237" s="127">
        <v>0</v>
      </c>
      <c r="P237" s="129">
        <v>0</v>
      </c>
      <c r="Q237" s="129">
        <v>0</v>
      </c>
      <c r="R237" s="129">
        <v>0</v>
      </c>
      <c r="S237" s="125">
        <v>30408</v>
      </c>
      <c r="T237" s="125">
        <v>1099</v>
      </c>
      <c r="U237" s="125">
        <v>1144</v>
      </c>
      <c r="V237" s="136">
        <v>174</v>
      </c>
      <c r="W237" s="136">
        <v>16245</v>
      </c>
      <c r="X237" s="136">
        <v>279</v>
      </c>
      <c r="Y237" s="137">
        <v>0</v>
      </c>
      <c r="Z237" s="137">
        <v>0</v>
      </c>
      <c r="AA237" s="137">
        <v>0</v>
      </c>
      <c r="AB237" s="141">
        <v>0</v>
      </c>
      <c r="AC237" s="141">
        <v>0</v>
      </c>
      <c r="AD237" s="141">
        <v>17</v>
      </c>
    </row>
    <row r="238" spans="1:30" ht="14.25">
      <c r="A238">
        <v>740</v>
      </c>
      <c r="B238" s="121" t="s">
        <v>365</v>
      </c>
      <c r="C238" s="120">
        <v>53478</v>
      </c>
      <c r="D238" s="120">
        <v>0</v>
      </c>
      <c r="E238" s="120">
        <v>0</v>
      </c>
      <c r="F238" s="120">
        <v>0</v>
      </c>
      <c r="G238" s="123">
        <v>1137</v>
      </c>
      <c r="H238" s="123">
        <v>5407</v>
      </c>
      <c r="I238" s="123">
        <v>1</v>
      </c>
      <c r="J238" s="125">
        <v>0</v>
      </c>
      <c r="K238" s="125">
        <v>0</v>
      </c>
      <c r="L238" s="125">
        <v>0</v>
      </c>
      <c r="M238" s="127">
        <v>0</v>
      </c>
      <c r="N238" s="127">
        <v>0</v>
      </c>
      <c r="O238" s="127">
        <v>0</v>
      </c>
      <c r="P238" s="129">
        <v>0</v>
      </c>
      <c r="Q238" s="129">
        <v>0</v>
      </c>
      <c r="R238" s="129">
        <v>0</v>
      </c>
      <c r="S238" s="125">
        <v>255267</v>
      </c>
      <c r="T238" s="125">
        <v>8926</v>
      </c>
      <c r="U238" s="125">
        <v>0</v>
      </c>
      <c r="V238" s="136">
        <v>3972</v>
      </c>
      <c r="W238" s="136">
        <v>148435</v>
      </c>
      <c r="X238" s="136">
        <v>3082</v>
      </c>
      <c r="Y238" s="137">
        <v>0</v>
      </c>
      <c r="Z238" s="137">
        <v>15</v>
      </c>
      <c r="AA238" s="137">
        <v>0</v>
      </c>
      <c r="AB238" s="141">
        <v>0</v>
      </c>
      <c r="AC238" s="141">
        <v>0</v>
      </c>
      <c r="AD238" s="141">
        <v>0</v>
      </c>
    </row>
    <row r="239" spans="1:30" ht="14.25">
      <c r="A239">
        <v>742</v>
      </c>
      <c r="B239" s="121" t="s">
        <v>366</v>
      </c>
      <c r="C239" s="120">
        <v>1629</v>
      </c>
      <c r="D239" s="120">
        <v>0</v>
      </c>
      <c r="E239" s="120">
        <v>0</v>
      </c>
      <c r="F239" s="120">
        <v>1132</v>
      </c>
      <c r="G239" s="123">
        <v>26</v>
      </c>
      <c r="H239" s="123">
        <v>370</v>
      </c>
      <c r="I239" s="123">
        <v>0</v>
      </c>
      <c r="J239" s="125">
        <v>0</v>
      </c>
      <c r="K239" s="125">
        <v>0</v>
      </c>
      <c r="L239" s="125">
        <v>0</v>
      </c>
      <c r="M239" s="127">
        <v>0</v>
      </c>
      <c r="N239" s="127">
        <v>0</v>
      </c>
      <c r="O239" s="127">
        <v>0</v>
      </c>
      <c r="P239" s="129">
        <v>0</v>
      </c>
      <c r="Q239" s="129">
        <v>11</v>
      </c>
      <c r="R239" s="129">
        <v>0</v>
      </c>
      <c r="S239" s="125">
        <v>9520</v>
      </c>
      <c r="T239" s="125">
        <v>249</v>
      </c>
      <c r="U239" s="125">
        <v>1134</v>
      </c>
      <c r="V239" s="136">
        <v>224</v>
      </c>
      <c r="W239" s="136">
        <v>5266</v>
      </c>
      <c r="X239" s="136">
        <v>176</v>
      </c>
      <c r="Y239" s="137">
        <v>0</v>
      </c>
      <c r="Z239" s="137">
        <v>63</v>
      </c>
      <c r="AA239" s="137">
        <v>0</v>
      </c>
      <c r="AB239" s="141">
        <v>12</v>
      </c>
      <c r="AC239" s="141">
        <v>234</v>
      </c>
      <c r="AD239" s="141">
        <v>0</v>
      </c>
    </row>
    <row r="240" spans="1:30" ht="14.25">
      <c r="A240">
        <v>743</v>
      </c>
      <c r="B240" s="121" t="s">
        <v>367</v>
      </c>
      <c r="C240" s="120">
        <v>107994</v>
      </c>
      <c r="D240" s="120">
        <v>0</v>
      </c>
      <c r="E240" s="120">
        <v>0</v>
      </c>
      <c r="F240" s="120">
        <v>0</v>
      </c>
      <c r="G240" s="123">
        <v>155</v>
      </c>
      <c r="H240" s="123">
        <v>27698</v>
      </c>
      <c r="I240" s="123">
        <v>11539</v>
      </c>
      <c r="J240" s="125">
        <v>0</v>
      </c>
      <c r="K240" s="125">
        <v>0</v>
      </c>
      <c r="L240" s="125">
        <v>0</v>
      </c>
      <c r="M240" s="127">
        <v>0</v>
      </c>
      <c r="N240" s="127">
        <v>0</v>
      </c>
      <c r="O240" s="127">
        <v>0</v>
      </c>
      <c r="P240" s="129">
        <v>0</v>
      </c>
      <c r="Q240" s="129">
        <v>0</v>
      </c>
      <c r="R240" s="129">
        <v>0</v>
      </c>
      <c r="S240" s="125">
        <v>427394</v>
      </c>
      <c r="T240" s="125">
        <v>17151</v>
      </c>
      <c r="U240" s="125">
        <v>0</v>
      </c>
      <c r="V240" s="136">
        <v>384</v>
      </c>
      <c r="W240" s="136">
        <v>213082</v>
      </c>
      <c r="X240" s="136">
        <v>15909</v>
      </c>
      <c r="Y240" s="137">
        <v>0</v>
      </c>
      <c r="Z240" s="137">
        <v>736</v>
      </c>
      <c r="AA240" s="137">
        <v>907</v>
      </c>
      <c r="AB240" s="141">
        <v>0</v>
      </c>
      <c r="AC240" s="141">
        <v>0</v>
      </c>
      <c r="AD240" s="141">
        <v>0</v>
      </c>
    </row>
    <row r="241" spans="1:30" ht="14.25">
      <c r="A241">
        <v>746</v>
      </c>
      <c r="B241" s="121" t="s">
        <v>368</v>
      </c>
      <c r="C241" s="120">
        <v>6485</v>
      </c>
      <c r="D241" s="120">
        <v>0</v>
      </c>
      <c r="E241" s="120">
        <v>0</v>
      </c>
      <c r="F241" s="120">
        <v>0</v>
      </c>
      <c r="G241" s="123">
        <v>0</v>
      </c>
      <c r="H241" s="123">
        <v>0</v>
      </c>
      <c r="I241" s="123">
        <v>0</v>
      </c>
      <c r="J241" s="125">
        <v>0</v>
      </c>
      <c r="K241" s="125">
        <v>0</v>
      </c>
      <c r="L241" s="125">
        <v>0</v>
      </c>
      <c r="M241" s="127">
        <v>0</v>
      </c>
      <c r="N241" s="127">
        <v>0</v>
      </c>
      <c r="O241" s="127">
        <v>0</v>
      </c>
      <c r="P241" s="129">
        <v>0</v>
      </c>
      <c r="Q241" s="129">
        <v>0</v>
      </c>
      <c r="R241" s="129">
        <v>0</v>
      </c>
      <c r="S241" s="125">
        <v>38057</v>
      </c>
      <c r="T241" s="125">
        <v>664</v>
      </c>
      <c r="U241" s="125">
        <v>2</v>
      </c>
      <c r="V241" s="136">
        <v>180</v>
      </c>
      <c r="W241" s="136">
        <v>19167</v>
      </c>
      <c r="X241" s="136">
        <v>437</v>
      </c>
      <c r="Y241" s="137">
        <v>0</v>
      </c>
      <c r="Z241" s="137">
        <v>0</v>
      </c>
      <c r="AA241" s="137">
        <v>0</v>
      </c>
      <c r="AB241" s="141">
        <v>0</v>
      </c>
      <c r="AC241" s="141">
        <v>0</v>
      </c>
      <c r="AD241" s="141">
        <v>0</v>
      </c>
    </row>
    <row r="242" spans="1:30" ht="14.25">
      <c r="A242">
        <v>747</v>
      </c>
      <c r="B242" s="121" t="s">
        <v>369</v>
      </c>
      <c r="C242" s="120">
        <v>1824</v>
      </c>
      <c r="D242" s="120">
        <v>0</v>
      </c>
      <c r="E242" s="120">
        <v>0</v>
      </c>
      <c r="F242" s="120">
        <v>539</v>
      </c>
      <c r="G242" s="123">
        <v>25</v>
      </c>
      <c r="H242" s="123">
        <v>59</v>
      </c>
      <c r="I242" s="123">
        <v>6</v>
      </c>
      <c r="J242" s="125">
        <v>0</v>
      </c>
      <c r="K242" s="125">
        <v>0</v>
      </c>
      <c r="L242" s="125">
        <v>0</v>
      </c>
      <c r="M242" s="127">
        <v>0</v>
      </c>
      <c r="N242" s="127">
        <v>0</v>
      </c>
      <c r="O242" s="127">
        <v>0</v>
      </c>
      <c r="P242" s="129">
        <v>0</v>
      </c>
      <c r="Q242" s="129">
        <v>0</v>
      </c>
      <c r="R242" s="129">
        <v>0</v>
      </c>
      <c r="S242" s="125">
        <v>11582</v>
      </c>
      <c r="T242" s="125">
        <v>574</v>
      </c>
      <c r="U242" s="125">
        <v>539</v>
      </c>
      <c r="V242" s="136">
        <v>74</v>
      </c>
      <c r="W242" s="136">
        <v>6588</v>
      </c>
      <c r="X242" s="136">
        <v>204</v>
      </c>
      <c r="Y242" s="137">
        <v>0</v>
      </c>
      <c r="Z242" s="137">
        <v>0</v>
      </c>
      <c r="AA242" s="137">
        <v>0</v>
      </c>
      <c r="AB242" s="141">
        <v>0</v>
      </c>
      <c r="AC242" s="141">
        <v>0</v>
      </c>
      <c r="AD242" s="141">
        <v>20</v>
      </c>
    </row>
    <row r="243" spans="1:30" ht="14.25">
      <c r="A243">
        <v>748</v>
      </c>
      <c r="B243" s="121" t="s">
        <v>370</v>
      </c>
      <c r="C243" s="120">
        <v>6892</v>
      </c>
      <c r="D243" s="120">
        <v>0</v>
      </c>
      <c r="E243" s="120">
        <v>0</v>
      </c>
      <c r="F243" s="120">
        <v>100</v>
      </c>
      <c r="G243" s="123">
        <v>116</v>
      </c>
      <c r="H243" s="123">
        <v>171</v>
      </c>
      <c r="I243" s="123">
        <v>0</v>
      </c>
      <c r="J243" s="125">
        <v>0</v>
      </c>
      <c r="K243" s="125">
        <v>0</v>
      </c>
      <c r="L243" s="125">
        <v>0</v>
      </c>
      <c r="M243" s="127">
        <v>0</v>
      </c>
      <c r="N243" s="127">
        <v>0</v>
      </c>
      <c r="O243" s="127">
        <v>0</v>
      </c>
      <c r="P243" s="129">
        <v>0</v>
      </c>
      <c r="Q243" s="129">
        <v>49</v>
      </c>
      <c r="R243" s="129">
        <v>0</v>
      </c>
      <c r="S243" s="125">
        <v>39322</v>
      </c>
      <c r="T243" s="125">
        <v>1037</v>
      </c>
      <c r="U243" s="125">
        <v>100</v>
      </c>
      <c r="V243" s="136">
        <v>477</v>
      </c>
      <c r="W243" s="136">
        <v>18556</v>
      </c>
      <c r="X243" s="136">
        <v>443</v>
      </c>
      <c r="Y243" s="137">
        <v>0</v>
      </c>
      <c r="Z243" s="137">
        <v>0</v>
      </c>
      <c r="AA243" s="137">
        <v>0</v>
      </c>
      <c r="AB243" s="141">
        <v>0</v>
      </c>
      <c r="AC243" s="141">
        <v>0</v>
      </c>
      <c r="AD243" s="141">
        <v>0</v>
      </c>
    </row>
    <row r="244" spans="1:30" ht="14.25">
      <c r="A244">
        <v>749</v>
      </c>
      <c r="B244" s="121" t="s">
        <v>371</v>
      </c>
      <c r="C244" s="120">
        <v>37310</v>
      </c>
      <c r="D244" s="120">
        <v>0</v>
      </c>
      <c r="E244" s="120">
        <v>175</v>
      </c>
      <c r="F244" s="120">
        <v>2511</v>
      </c>
      <c r="G244" s="123">
        <v>700</v>
      </c>
      <c r="H244" s="123">
        <v>8341</v>
      </c>
      <c r="I244" s="123">
        <v>0</v>
      </c>
      <c r="J244" s="125">
        <v>0</v>
      </c>
      <c r="K244" s="125">
        <v>0</v>
      </c>
      <c r="L244" s="125">
        <v>0</v>
      </c>
      <c r="M244" s="127">
        <v>0</v>
      </c>
      <c r="N244" s="127">
        <v>0</v>
      </c>
      <c r="O244" s="127">
        <v>0</v>
      </c>
      <c r="P244" s="129">
        <v>0</v>
      </c>
      <c r="Q244" s="129">
        <v>72</v>
      </c>
      <c r="R244" s="129">
        <v>0</v>
      </c>
      <c r="S244" s="125">
        <v>143272</v>
      </c>
      <c r="T244" s="125">
        <v>5894</v>
      </c>
      <c r="U244" s="125">
        <v>2511</v>
      </c>
      <c r="V244" s="136">
        <v>2126</v>
      </c>
      <c r="W244" s="136">
        <v>69386</v>
      </c>
      <c r="X244" s="136">
        <v>1535</v>
      </c>
      <c r="Y244" s="137">
        <v>0</v>
      </c>
      <c r="Z244" s="137">
        <v>306</v>
      </c>
      <c r="AA244" s="137">
        <v>0</v>
      </c>
      <c r="AB244" s="141">
        <v>15</v>
      </c>
      <c r="AC244" s="141">
        <v>2250</v>
      </c>
      <c r="AD244" s="141">
        <v>0</v>
      </c>
    </row>
    <row r="245" spans="1:30" ht="14.25">
      <c r="A245">
        <v>751</v>
      </c>
      <c r="B245" s="121" t="s">
        <v>372</v>
      </c>
      <c r="C245" s="120">
        <v>4099</v>
      </c>
      <c r="D245" s="120">
        <v>0</v>
      </c>
      <c r="E245" s="120">
        <v>0</v>
      </c>
      <c r="F245" s="120">
        <v>0</v>
      </c>
      <c r="G245" s="123">
        <v>0</v>
      </c>
      <c r="H245" s="123">
        <v>32</v>
      </c>
      <c r="I245" s="123">
        <v>84</v>
      </c>
      <c r="J245" s="125">
        <v>0</v>
      </c>
      <c r="K245" s="125">
        <v>0</v>
      </c>
      <c r="L245" s="125">
        <v>0</v>
      </c>
      <c r="M245" s="127">
        <v>0</v>
      </c>
      <c r="N245" s="127">
        <v>0</v>
      </c>
      <c r="O245" s="127">
        <v>0</v>
      </c>
      <c r="P245" s="129">
        <v>0</v>
      </c>
      <c r="Q245" s="129">
        <v>0</v>
      </c>
      <c r="R245" s="129">
        <v>0</v>
      </c>
      <c r="S245" s="125">
        <v>24057</v>
      </c>
      <c r="T245" s="125">
        <v>817</v>
      </c>
      <c r="U245" s="125">
        <v>0</v>
      </c>
      <c r="V245" s="136">
        <v>110</v>
      </c>
      <c r="W245" s="136">
        <v>12564</v>
      </c>
      <c r="X245" s="136">
        <v>376</v>
      </c>
      <c r="Y245" s="137">
        <v>0</v>
      </c>
      <c r="Z245" s="137">
        <v>0</v>
      </c>
      <c r="AA245" s="137">
        <v>14</v>
      </c>
      <c r="AB245" s="141">
        <v>0</v>
      </c>
      <c r="AC245" s="141">
        <v>0</v>
      </c>
      <c r="AD245" s="141">
        <v>0</v>
      </c>
    </row>
    <row r="246" spans="1:30" ht="14.25">
      <c r="A246">
        <v>753</v>
      </c>
      <c r="B246" s="121" t="s">
        <v>373</v>
      </c>
      <c r="C246" s="120">
        <v>50146</v>
      </c>
      <c r="D246" s="120">
        <v>0</v>
      </c>
      <c r="E246" s="120">
        <v>0</v>
      </c>
      <c r="F246" s="120">
        <v>0</v>
      </c>
      <c r="G246" s="123">
        <v>2</v>
      </c>
      <c r="H246" s="123">
        <v>5316</v>
      </c>
      <c r="I246" s="123">
        <v>0</v>
      </c>
      <c r="J246" s="125">
        <v>0</v>
      </c>
      <c r="K246" s="125">
        <v>0</v>
      </c>
      <c r="L246" s="125">
        <v>0</v>
      </c>
      <c r="M246" s="127">
        <v>0</v>
      </c>
      <c r="N246" s="127">
        <v>0</v>
      </c>
      <c r="O246" s="127">
        <v>0</v>
      </c>
      <c r="P246" s="129">
        <v>0</v>
      </c>
      <c r="Q246" s="129">
        <v>0</v>
      </c>
      <c r="R246" s="129">
        <v>0</v>
      </c>
      <c r="S246" s="125">
        <v>136253</v>
      </c>
      <c r="T246" s="125">
        <v>8312</v>
      </c>
      <c r="U246" s="125">
        <v>0</v>
      </c>
      <c r="V246" s="136">
        <v>159</v>
      </c>
      <c r="W246" s="136">
        <v>55777</v>
      </c>
      <c r="X246" s="136">
        <v>2291</v>
      </c>
      <c r="Y246" s="137">
        <v>0</v>
      </c>
      <c r="Z246" s="137">
        <v>32</v>
      </c>
      <c r="AA246" s="137">
        <v>0</v>
      </c>
      <c r="AB246" s="141">
        <v>0</v>
      </c>
      <c r="AC246" s="141">
        <v>0</v>
      </c>
      <c r="AD246" s="141">
        <v>0</v>
      </c>
    </row>
    <row r="247" spans="1:30" ht="14.25">
      <c r="A247">
        <v>755</v>
      </c>
      <c r="B247" s="121" t="s">
        <v>374</v>
      </c>
      <c r="C247" s="120">
        <v>9095</v>
      </c>
      <c r="D247" s="120">
        <v>0</v>
      </c>
      <c r="E247" s="120">
        <v>0</v>
      </c>
      <c r="F247" s="120">
        <v>0</v>
      </c>
      <c r="G247" s="123">
        <v>0</v>
      </c>
      <c r="H247" s="123">
        <v>1454</v>
      </c>
      <c r="I247" s="123">
        <v>0</v>
      </c>
      <c r="J247" s="125">
        <v>0</v>
      </c>
      <c r="K247" s="125">
        <v>0</v>
      </c>
      <c r="L247" s="125">
        <v>0</v>
      </c>
      <c r="M247" s="127">
        <v>0</v>
      </c>
      <c r="N247" s="127">
        <v>0</v>
      </c>
      <c r="O247" s="127">
        <v>0</v>
      </c>
      <c r="P247" s="129">
        <v>0</v>
      </c>
      <c r="Q247" s="129">
        <v>0</v>
      </c>
      <c r="R247" s="129">
        <v>0</v>
      </c>
      <c r="S247" s="125">
        <v>40155</v>
      </c>
      <c r="T247" s="125">
        <v>1921</v>
      </c>
      <c r="U247" s="125">
        <v>0</v>
      </c>
      <c r="V247" s="136">
        <v>154</v>
      </c>
      <c r="W247" s="136">
        <v>18053</v>
      </c>
      <c r="X247" s="136">
        <v>396</v>
      </c>
      <c r="Y247" s="137">
        <v>0</v>
      </c>
      <c r="Z247" s="137">
        <v>26</v>
      </c>
      <c r="AA247" s="137">
        <v>1</v>
      </c>
      <c r="AB247" s="141">
        <v>0</v>
      </c>
      <c r="AC247" s="141">
        <v>0</v>
      </c>
      <c r="AD247" s="141">
        <v>0</v>
      </c>
    </row>
    <row r="248" spans="1:30" ht="14.25">
      <c r="A248">
        <v>758</v>
      </c>
      <c r="B248" s="121" t="s">
        <v>375</v>
      </c>
      <c r="C248" s="120">
        <v>15304</v>
      </c>
      <c r="D248" s="120">
        <v>0</v>
      </c>
      <c r="E248" s="120">
        <v>0</v>
      </c>
      <c r="F248" s="120">
        <v>1542</v>
      </c>
      <c r="G248" s="123">
        <v>256</v>
      </c>
      <c r="H248" s="123">
        <v>5121</v>
      </c>
      <c r="I248" s="123">
        <v>0</v>
      </c>
      <c r="J248" s="125">
        <v>0</v>
      </c>
      <c r="K248" s="125">
        <v>0</v>
      </c>
      <c r="L248" s="125">
        <v>0</v>
      </c>
      <c r="M248" s="127">
        <v>0</v>
      </c>
      <c r="N248" s="127">
        <v>0</v>
      </c>
      <c r="O248" s="127">
        <v>0</v>
      </c>
      <c r="P248" s="129">
        <v>0</v>
      </c>
      <c r="Q248" s="129">
        <v>0</v>
      </c>
      <c r="R248" s="129">
        <v>0</v>
      </c>
      <c r="S248" s="125">
        <v>73273</v>
      </c>
      <c r="T248" s="125">
        <v>3660</v>
      </c>
      <c r="U248" s="125">
        <v>1465</v>
      </c>
      <c r="V248" s="136">
        <v>1138</v>
      </c>
      <c r="W248" s="136">
        <v>39263</v>
      </c>
      <c r="X248" s="136">
        <v>727</v>
      </c>
      <c r="Y248" s="137">
        <v>0</v>
      </c>
      <c r="Z248" s="137">
        <v>151</v>
      </c>
      <c r="AA248" s="137">
        <v>102</v>
      </c>
      <c r="AB248" s="141">
        <v>24</v>
      </c>
      <c r="AC248" s="141">
        <v>815</v>
      </c>
      <c r="AD248" s="141">
        <v>15</v>
      </c>
    </row>
    <row r="249" spans="1:30" ht="14.25">
      <c r="A249">
        <v>759</v>
      </c>
      <c r="B249" s="121" t="s">
        <v>376</v>
      </c>
      <c r="C249" s="120">
        <v>15643</v>
      </c>
      <c r="D249" s="120">
        <v>0</v>
      </c>
      <c r="E249" s="120">
        <v>0</v>
      </c>
      <c r="F249" s="120">
        <v>0</v>
      </c>
      <c r="G249" s="123">
        <v>0</v>
      </c>
      <c r="H249" s="123">
        <v>11</v>
      </c>
      <c r="I249" s="123">
        <v>0</v>
      </c>
      <c r="J249" s="125">
        <v>0</v>
      </c>
      <c r="K249" s="125">
        <v>0</v>
      </c>
      <c r="L249" s="125">
        <v>0</v>
      </c>
      <c r="M249" s="127">
        <v>0</v>
      </c>
      <c r="N249" s="127">
        <v>0</v>
      </c>
      <c r="O249" s="127">
        <v>0</v>
      </c>
      <c r="P249" s="129">
        <v>0</v>
      </c>
      <c r="Q249" s="129">
        <v>0</v>
      </c>
      <c r="R249" s="129">
        <v>0</v>
      </c>
      <c r="S249" s="125">
        <v>28868</v>
      </c>
      <c r="T249" s="125">
        <v>507</v>
      </c>
      <c r="U249" s="125">
        <v>0</v>
      </c>
      <c r="V249" s="136">
        <v>75</v>
      </c>
      <c r="W249" s="136">
        <v>8947</v>
      </c>
      <c r="X249" s="136">
        <v>191</v>
      </c>
      <c r="Y249" s="137">
        <v>0</v>
      </c>
      <c r="Z249" s="137">
        <v>0</v>
      </c>
      <c r="AA249" s="137">
        <v>0</v>
      </c>
      <c r="AB249" s="141">
        <v>0</v>
      </c>
      <c r="AC249" s="141">
        <v>0</v>
      </c>
      <c r="AD249" s="141">
        <v>0</v>
      </c>
    </row>
    <row r="250" spans="1:30" ht="14.25">
      <c r="A250">
        <v>761</v>
      </c>
      <c r="B250" s="121" t="s">
        <v>377</v>
      </c>
      <c r="C250" s="120">
        <v>17452</v>
      </c>
      <c r="D250" s="120">
        <v>0</v>
      </c>
      <c r="E250" s="120">
        <v>0</v>
      </c>
      <c r="F250" s="120">
        <v>0</v>
      </c>
      <c r="G250" s="123">
        <v>242</v>
      </c>
      <c r="H250" s="123">
        <v>5243</v>
      </c>
      <c r="I250" s="123">
        <v>20</v>
      </c>
      <c r="J250" s="125">
        <v>0</v>
      </c>
      <c r="K250" s="125">
        <v>0</v>
      </c>
      <c r="L250" s="125">
        <v>0</v>
      </c>
      <c r="M250" s="127">
        <v>0</v>
      </c>
      <c r="N250" s="127">
        <v>0</v>
      </c>
      <c r="O250" s="127">
        <v>0</v>
      </c>
      <c r="P250" s="129">
        <v>0</v>
      </c>
      <c r="Q250" s="129">
        <v>0</v>
      </c>
      <c r="R250" s="129">
        <v>0</v>
      </c>
      <c r="S250" s="125">
        <v>65923</v>
      </c>
      <c r="T250" s="125">
        <v>2442</v>
      </c>
      <c r="U250" s="125">
        <v>0</v>
      </c>
      <c r="V250" s="136">
        <v>503</v>
      </c>
      <c r="W250" s="136">
        <v>37144</v>
      </c>
      <c r="X250" s="136">
        <v>656</v>
      </c>
      <c r="Y250" s="137">
        <v>1</v>
      </c>
      <c r="Z250" s="137">
        <v>95</v>
      </c>
      <c r="AA250" s="137">
        <v>0</v>
      </c>
      <c r="AB250" s="141">
        <v>0</v>
      </c>
      <c r="AC250" s="141">
        <v>0</v>
      </c>
      <c r="AD250" s="141">
        <v>0</v>
      </c>
    </row>
    <row r="251" spans="1:30" ht="14.25">
      <c r="A251">
        <v>762</v>
      </c>
      <c r="B251" s="121" t="s">
        <v>378</v>
      </c>
      <c r="C251" s="120">
        <v>5518</v>
      </c>
      <c r="D251" s="120">
        <v>0</v>
      </c>
      <c r="E251" s="120">
        <v>29</v>
      </c>
      <c r="F251" s="120">
        <v>243</v>
      </c>
      <c r="G251" s="123">
        <v>161</v>
      </c>
      <c r="H251" s="123">
        <v>296</v>
      </c>
      <c r="I251" s="123">
        <v>0</v>
      </c>
      <c r="J251" s="125">
        <v>0</v>
      </c>
      <c r="K251" s="125">
        <v>0</v>
      </c>
      <c r="L251" s="125">
        <v>0</v>
      </c>
      <c r="M251" s="127">
        <v>13</v>
      </c>
      <c r="N251" s="127">
        <v>13</v>
      </c>
      <c r="O251" s="127">
        <v>0</v>
      </c>
      <c r="P251" s="129">
        <v>0</v>
      </c>
      <c r="Q251" s="129">
        <v>0</v>
      </c>
      <c r="R251" s="129">
        <v>0</v>
      </c>
      <c r="S251" s="125">
        <v>31794</v>
      </c>
      <c r="T251" s="125">
        <v>1804</v>
      </c>
      <c r="U251" s="125">
        <v>243</v>
      </c>
      <c r="V251" s="136">
        <v>793</v>
      </c>
      <c r="W251" s="136">
        <v>18433</v>
      </c>
      <c r="X251" s="136">
        <v>372</v>
      </c>
      <c r="Y251" s="137">
        <v>0</v>
      </c>
      <c r="Z251" s="137">
        <v>0</v>
      </c>
      <c r="AA251" s="137">
        <v>0</v>
      </c>
      <c r="AB251" s="141">
        <v>10</v>
      </c>
      <c r="AC251" s="141">
        <v>10</v>
      </c>
      <c r="AD251" s="141">
        <v>0</v>
      </c>
    </row>
    <row r="252" spans="1:30" ht="14.25">
      <c r="A252">
        <v>765</v>
      </c>
      <c r="B252" s="121" t="s">
        <v>379</v>
      </c>
      <c r="C252" s="120">
        <v>15238</v>
      </c>
      <c r="D252" s="120">
        <v>0</v>
      </c>
      <c r="E252" s="120">
        <v>0</v>
      </c>
      <c r="F252" s="120">
        <v>433</v>
      </c>
      <c r="G252" s="123">
        <v>0</v>
      </c>
      <c r="H252" s="123">
        <v>19</v>
      </c>
      <c r="I252" s="123">
        <v>0</v>
      </c>
      <c r="J252" s="125">
        <v>0</v>
      </c>
      <c r="K252" s="125">
        <v>0</v>
      </c>
      <c r="L252" s="125">
        <v>0</v>
      </c>
      <c r="M252" s="127">
        <v>0</v>
      </c>
      <c r="N252" s="127">
        <v>0</v>
      </c>
      <c r="O252" s="127">
        <v>0</v>
      </c>
      <c r="P252" s="129">
        <v>0</v>
      </c>
      <c r="Q252" s="129">
        <v>0</v>
      </c>
      <c r="R252" s="129">
        <v>0</v>
      </c>
      <c r="S252" s="125">
        <v>80647</v>
      </c>
      <c r="T252" s="125">
        <v>2583</v>
      </c>
      <c r="U252" s="125">
        <v>433</v>
      </c>
      <c r="V252" s="136">
        <v>130</v>
      </c>
      <c r="W252" s="136">
        <v>37348</v>
      </c>
      <c r="X252" s="136">
        <v>931</v>
      </c>
      <c r="Y252" s="137">
        <v>0</v>
      </c>
      <c r="Z252" s="137">
        <v>0</v>
      </c>
      <c r="AA252" s="137">
        <v>0</v>
      </c>
      <c r="AB252" s="141">
        <v>0</v>
      </c>
      <c r="AC252" s="141">
        <v>0</v>
      </c>
      <c r="AD252" s="141">
        <v>12</v>
      </c>
    </row>
    <row r="253" spans="1:30" ht="14.25">
      <c r="A253">
        <v>768</v>
      </c>
      <c r="B253" s="121" t="s">
        <v>380</v>
      </c>
      <c r="C253" s="120">
        <v>3026</v>
      </c>
      <c r="D253" s="120">
        <v>0</v>
      </c>
      <c r="E253" s="120">
        <v>0</v>
      </c>
      <c r="F253" s="120">
        <v>0</v>
      </c>
      <c r="G253" s="123">
        <v>4</v>
      </c>
      <c r="H253" s="123">
        <v>948</v>
      </c>
      <c r="I253" s="123">
        <v>41</v>
      </c>
      <c r="J253" s="125">
        <v>0</v>
      </c>
      <c r="K253" s="125">
        <v>0</v>
      </c>
      <c r="L253" s="125">
        <v>0</v>
      </c>
      <c r="M253" s="127">
        <v>0</v>
      </c>
      <c r="N253" s="127">
        <v>0</v>
      </c>
      <c r="O253" s="127">
        <v>0</v>
      </c>
      <c r="P253" s="129">
        <v>0</v>
      </c>
      <c r="Q253" s="129">
        <v>0</v>
      </c>
      <c r="R253" s="129">
        <v>0</v>
      </c>
      <c r="S253" s="125">
        <v>21917</v>
      </c>
      <c r="T253" s="125">
        <v>416</v>
      </c>
      <c r="U253" s="125">
        <v>0</v>
      </c>
      <c r="V253" s="136">
        <v>151</v>
      </c>
      <c r="W253" s="136">
        <v>14104</v>
      </c>
      <c r="X253" s="136">
        <v>279</v>
      </c>
      <c r="Y253" s="137">
        <v>0</v>
      </c>
      <c r="Z253" s="137">
        <v>78</v>
      </c>
      <c r="AA253" s="137">
        <v>1</v>
      </c>
      <c r="AB253" s="141">
        <v>0</v>
      </c>
      <c r="AC253" s="141">
        <v>0</v>
      </c>
      <c r="AD253" s="141">
        <v>0</v>
      </c>
    </row>
    <row r="254" spans="1:30" ht="14.25">
      <c r="A254">
        <v>777</v>
      </c>
      <c r="B254" s="121" t="s">
        <v>381</v>
      </c>
      <c r="C254" s="120">
        <v>13101</v>
      </c>
      <c r="D254" s="120">
        <v>0</v>
      </c>
      <c r="E254" s="120">
        <v>0</v>
      </c>
      <c r="F254" s="120">
        <v>0</v>
      </c>
      <c r="G254" s="123">
        <v>0</v>
      </c>
      <c r="H254" s="123">
        <v>267</v>
      </c>
      <c r="I254" s="123">
        <v>0</v>
      </c>
      <c r="J254" s="125">
        <v>0</v>
      </c>
      <c r="K254" s="125">
        <v>0</v>
      </c>
      <c r="L254" s="125">
        <v>0</v>
      </c>
      <c r="M254" s="127">
        <v>0</v>
      </c>
      <c r="N254" s="127">
        <v>0</v>
      </c>
      <c r="O254" s="127">
        <v>0</v>
      </c>
      <c r="P254" s="129">
        <v>0</v>
      </c>
      <c r="Q254" s="129">
        <v>0</v>
      </c>
      <c r="R254" s="129">
        <v>0</v>
      </c>
      <c r="S254" s="125">
        <v>70815</v>
      </c>
      <c r="T254" s="125">
        <v>3220</v>
      </c>
      <c r="U254" s="125">
        <v>0</v>
      </c>
      <c r="V254" s="136">
        <v>133</v>
      </c>
      <c r="W254" s="136">
        <v>39698</v>
      </c>
      <c r="X254" s="136">
        <v>733</v>
      </c>
      <c r="Y254" s="137">
        <v>0</v>
      </c>
      <c r="Z254" s="137">
        <v>0</v>
      </c>
      <c r="AA254" s="137">
        <v>0</v>
      </c>
      <c r="AB254" s="141">
        <v>0</v>
      </c>
      <c r="AC254" s="141">
        <v>0</v>
      </c>
      <c r="AD254" s="141">
        <v>0</v>
      </c>
    </row>
    <row r="255" spans="1:30" ht="14.25">
      <c r="A255">
        <v>778</v>
      </c>
      <c r="B255" s="121" t="s">
        <v>382</v>
      </c>
      <c r="C255" s="120">
        <v>10457</v>
      </c>
      <c r="D255" s="120">
        <v>0</v>
      </c>
      <c r="E255" s="120">
        <v>67</v>
      </c>
      <c r="F255" s="120">
        <v>657</v>
      </c>
      <c r="G255" s="123">
        <v>31</v>
      </c>
      <c r="H255" s="123">
        <v>2952</v>
      </c>
      <c r="I255" s="123">
        <v>0</v>
      </c>
      <c r="J255" s="125">
        <v>0</v>
      </c>
      <c r="K255" s="125">
        <v>0</v>
      </c>
      <c r="L255" s="125">
        <v>0</v>
      </c>
      <c r="M255" s="127">
        <v>0</v>
      </c>
      <c r="N255" s="127">
        <v>0</v>
      </c>
      <c r="O255" s="127">
        <v>0</v>
      </c>
      <c r="P255" s="129">
        <v>0</v>
      </c>
      <c r="Q255" s="129">
        <v>26</v>
      </c>
      <c r="R255" s="129">
        <v>0</v>
      </c>
      <c r="S255" s="125">
        <v>54115</v>
      </c>
      <c r="T255" s="125">
        <v>3060</v>
      </c>
      <c r="U255" s="125">
        <v>657</v>
      </c>
      <c r="V255" s="136">
        <v>74</v>
      </c>
      <c r="W255" s="136">
        <v>33299</v>
      </c>
      <c r="X255" s="136">
        <v>581</v>
      </c>
      <c r="Y255" s="137">
        <v>0</v>
      </c>
      <c r="Z255" s="137">
        <v>158</v>
      </c>
      <c r="AA255" s="137">
        <v>0</v>
      </c>
      <c r="AB255" s="141">
        <v>1</v>
      </c>
      <c r="AC255" s="141">
        <v>316</v>
      </c>
      <c r="AD255" s="141">
        <v>0</v>
      </c>
    </row>
    <row r="256" spans="1:30" ht="14.25">
      <c r="A256">
        <v>781</v>
      </c>
      <c r="B256" s="121" t="s">
        <v>383</v>
      </c>
      <c r="C256" s="120">
        <v>11426</v>
      </c>
      <c r="D256" s="120">
        <v>0</v>
      </c>
      <c r="E256" s="120">
        <v>3</v>
      </c>
      <c r="F256" s="120">
        <v>281</v>
      </c>
      <c r="G256" s="123">
        <v>0</v>
      </c>
      <c r="H256" s="123">
        <v>0</v>
      </c>
      <c r="I256" s="123">
        <v>0</v>
      </c>
      <c r="J256" s="125">
        <v>0</v>
      </c>
      <c r="K256" s="125">
        <v>0</v>
      </c>
      <c r="L256" s="125">
        <v>0</v>
      </c>
      <c r="M256" s="127">
        <v>0</v>
      </c>
      <c r="N256" s="127">
        <v>0</v>
      </c>
      <c r="O256" s="127">
        <v>0</v>
      </c>
      <c r="P256" s="129">
        <v>0</v>
      </c>
      <c r="Q256" s="129">
        <v>0</v>
      </c>
      <c r="R256" s="129">
        <v>0</v>
      </c>
      <c r="S256" s="125">
        <v>35229</v>
      </c>
      <c r="T256" s="125">
        <v>929</v>
      </c>
      <c r="U256" s="125">
        <v>275</v>
      </c>
      <c r="V256" s="136">
        <v>496</v>
      </c>
      <c r="W256" s="136">
        <v>16010</v>
      </c>
      <c r="X256" s="136">
        <v>282</v>
      </c>
      <c r="Y256" s="137">
        <v>0</v>
      </c>
      <c r="Z256" s="137">
        <v>0</v>
      </c>
      <c r="AA256" s="137">
        <v>0</v>
      </c>
      <c r="AB256" s="141">
        <v>2</v>
      </c>
      <c r="AC256" s="141">
        <v>89</v>
      </c>
      <c r="AD256" s="141">
        <v>0</v>
      </c>
    </row>
    <row r="257" spans="1:30" ht="14.25">
      <c r="A257">
        <v>783</v>
      </c>
      <c r="B257" s="121" t="s">
        <v>384</v>
      </c>
      <c r="C257" s="120">
        <v>5965</v>
      </c>
      <c r="D257" s="120">
        <v>0</v>
      </c>
      <c r="E257" s="120">
        <v>0</v>
      </c>
      <c r="F257" s="120">
        <v>2267</v>
      </c>
      <c r="G257" s="123">
        <v>51</v>
      </c>
      <c r="H257" s="123">
        <v>1654</v>
      </c>
      <c r="I257" s="123">
        <v>0</v>
      </c>
      <c r="J257" s="125">
        <v>0</v>
      </c>
      <c r="K257" s="125">
        <v>0</v>
      </c>
      <c r="L257" s="125">
        <v>0</v>
      </c>
      <c r="M257" s="127">
        <v>0</v>
      </c>
      <c r="N257" s="127">
        <v>0</v>
      </c>
      <c r="O257" s="127">
        <v>0</v>
      </c>
      <c r="P257" s="129">
        <v>27</v>
      </c>
      <c r="Q257" s="129">
        <v>182</v>
      </c>
      <c r="R257" s="129">
        <v>0</v>
      </c>
      <c r="S257" s="125">
        <v>30209</v>
      </c>
      <c r="T257" s="125">
        <v>1514</v>
      </c>
      <c r="U257" s="125">
        <v>2267</v>
      </c>
      <c r="V257" s="136">
        <v>239</v>
      </c>
      <c r="W257" s="136">
        <v>17508</v>
      </c>
      <c r="X257" s="136">
        <v>468</v>
      </c>
      <c r="Y257" s="137">
        <v>0</v>
      </c>
      <c r="Z257" s="137">
        <v>15</v>
      </c>
      <c r="AA257" s="137">
        <v>0</v>
      </c>
      <c r="AB257" s="141">
        <v>20</v>
      </c>
      <c r="AC257" s="141">
        <v>451</v>
      </c>
      <c r="AD257" s="141">
        <v>19</v>
      </c>
    </row>
    <row r="258" spans="1:30" ht="14.25">
      <c r="A258">
        <v>785</v>
      </c>
      <c r="B258" s="121" t="s">
        <v>408</v>
      </c>
      <c r="C258" s="120">
        <v>5122</v>
      </c>
      <c r="D258" s="120">
        <v>0</v>
      </c>
      <c r="E258" s="120">
        <v>45</v>
      </c>
      <c r="F258" s="120">
        <v>690</v>
      </c>
      <c r="G258" s="123">
        <v>65</v>
      </c>
      <c r="H258" s="123">
        <v>158</v>
      </c>
      <c r="I258" s="123">
        <v>0</v>
      </c>
      <c r="J258" s="125">
        <v>0</v>
      </c>
      <c r="K258" s="125">
        <v>0</v>
      </c>
      <c r="L258" s="125">
        <v>0</v>
      </c>
      <c r="M258" s="127">
        <v>0</v>
      </c>
      <c r="N258" s="127">
        <v>0</v>
      </c>
      <c r="O258" s="127">
        <v>0</v>
      </c>
      <c r="P258" s="129">
        <v>0</v>
      </c>
      <c r="Q258" s="129">
        <v>0</v>
      </c>
      <c r="R258" s="129">
        <v>0</v>
      </c>
      <c r="S258" s="125">
        <v>27261</v>
      </c>
      <c r="T258" s="125">
        <v>1449</v>
      </c>
      <c r="U258" s="125">
        <v>690</v>
      </c>
      <c r="V258" s="136">
        <v>255</v>
      </c>
      <c r="W258" s="136">
        <v>14036</v>
      </c>
      <c r="X258" s="136">
        <v>258</v>
      </c>
      <c r="Y258" s="137">
        <v>0</v>
      </c>
      <c r="Z258" s="137">
        <v>0</v>
      </c>
      <c r="AA258" s="137">
        <v>15</v>
      </c>
      <c r="AB258" s="141">
        <v>0</v>
      </c>
      <c r="AC258" s="141">
        <v>0</v>
      </c>
      <c r="AD258" s="141">
        <v>5</v>
      </c>
    </row>
    <row r="259" spans="1:30" ht="14.25">
      <c r="A259">
        <v>790</v>
      </c>
      <c r="B259" s="121" t="s">
        <v>135</v>
      </c>
      <c r="C259" s="120">
        <v>57556</v>
      </c>
      <c r="D259" s="120">
        <v>0</v>
      </c>
      <c r="E259" s="120">
        <v>477</v>
      </c>
      <c r="F259" s="120">
        <v>0</v>
      </c>
      <c r="G259" s="123">
        <v>692</v>
      </c>
      <c r="H259" s="123">
        <v>22530</v>
      </c>
      <c r="I259" s="123">
        <v>0</v>
      </c>
      <c r="J259" s="125">
        <v>0</v>
      </c>
      <c r="K259" s="125">
        <v>0</v>
      </c>
      <c r="L259" s="125">
        <v>0</v>
      </c>
      <c r="M259" s="127">
        <v>0</v>
      </c>
      <c r="N259" s="127">
        <v>0</v>
      </c>
      <c r="O259" s="127">
        <v>0</v>
      </c>
      <c r="P259" s="129">
        <v>0</v>
      </c>
      <c r="Q259" s="129">
        <v>0</v>
      </c>
      <c r="R259" s="129">
        <v>0</v>
      </c>
      <c r="S259" s="125">
        <v>191792</v>
      </c>
      <c r="T259" s="125">
        <v>7231</v>
      </c>
      <c r="U259" s="125">
        <v>0</v>
      </c>
      <c r="V259" s="136">
        <v>1247</v>
      </c>
      <c r="W259" s="136">
        <v>112485</v>
      </c>
      <c r="X259" s="136">
        <v>1844</v>
      </c>
      <c r="Y259" s="137">
        <v>0</v>
      </c>
      <c r="Z259" s="137">
        <v>96</v>
      </c>
      <c r="AA259" s="137">
        <v>0</v>
      </c>
      <c r="AB259" s="141">
        <v>0</v>
      </c>
      <c r="AC259" s="141">
        <v>0</v>
      </c>
      <c r="AD259" s="141">
        <v>0</v>
      </c>
    </row>
    <row r="260" spans="1:30" ht="14.25">
      <c r="A260">
        <v>791</v>
      </c>
      <c r="B260" s="121" t="s">
        <v>136</v>
      </c>
      <c r="C260" s="120">
        <v>11442</v>
      </c>
      <c r="D260" s="120">
        <v>0</v>
      </c>
      <c r="E260" s="120">
        <v>0</v>
      </c>
      <c r="F260" s="120">
        <v>0</v>
      </c>
      <c r="G260" s="123">
        <v>0</v>
      </c>
      <c r="H260" s="123">
        <v>68</v>
      </c>
      <c r="I260" s="123">
        <v>0</v>
      </c>
      <c r="J260" s="125">
        <v>0</v>
      </c>
      <c r="K260" s="125">
        <v>0</v>
      </c>
      <c r="L260" s="125">
        <v>0</v>
      </c>
      <c r="M260" s="127">
        <v>0</v>
      </c>
      <c r="N260" s="127">
        <v>0</v>
      </c>
      <c r="O260" s="127">
        <v>0</v>
      </c>
      <c r="P260" s="129">
        <v>0</v>
      </c>
      <c r="Q260" s="129">
        <v>0</v>
      </c>
      <c r="R260" s="129">
        <v>0</v>
      </c>
      <c r="S260" s="125">
        <v>50399</v>
      </c>
      <c r="T260" s="125">
        <v>1248</v>
      </c>
      <c r="U260" s="125">
        <v>0</v>
      </c>
      <c r="V260" s="136">
        <v>77</v>
      </c>
      <c r="W260" s="136">
        <v>26456</v>
      </c>
      <c r="X260" s="136">
        <v>626</v>
      </c>
      <c r="Y260" s="137">
        <v>0</v>
      </c>
      <c r="Z260" s="137">
        <v>4</v>
      </c>
      <c r="AA260" s="137">
        <v>0</v>
      </c>
      <c r="AB260" s="141">
        <v>0</v>
      </c>
      <c r="AC260" s="141">
        <v>0</v>
      </c>
      <c r="AD260" s="141">
        <v>0</v>
      </c>
    </row>
    <row r="261" spans="1:30" ht="14.25">
      <c r="A261">
        <v>831</v>
      </c>
      <c r="B261" s="121" t="s">
        <v>385</v>
      </c>
      <c r="C261" s="120">
        <v>4147</v>
      </c>
      <c r="D261" s="120">
        <v>0</v>
      </c>
      <c r="E261" s="120">
        <v>0</v>
      </c>
      <c r="F261" s="120">
        <v>0</v>
      </c>
      <c r="G261" s="123">
        <v>0</v>
      </c>
      <c r="H261" s="123">
        <v>428</v>
      </c>
      <c r="I261" s="123">
        <v>0</v>
      </c>
      <c r="J261" s="125">
        <v>0</v>
      </c>
      <c r="K261" s="125">
        <v>0</v>
      </c>
      <c r="L261" s="125">
        <v>0</v>
      </c>
      <c r="M261" s="127">
        <v>0</v>
      </c>
      <c r="N261" s="127">
        <v>0</v>
      </c>
      <c r="O261" s="127">
        <v>0</v>
      </c>
      <c r="P261" s="129">
        <v>0</v>
      </c>
      <c r="Q261" s="129">
        <v>0</v>
      </c>
      <c r="R261" s="129">
        <v>0</v>
      </c>
      <c r="S261" s="125">
        <v>27463</v>
      </c>
      <c r="T261" s="125">
        <v>1563</v>
      </c>
      <c r="U261" s="125">
        <v>0</v>
      </c>
      <c r="V261" s="136">
        <v>115</v>
      </c>
      <c r="W261" s="136">
        <v>13525</v>
      </c>
      <c r="X261" s="136">
        <v>378</v>
      </c>
      <c r="Y261" s="137">
        <v>0</v>
      </c>
      <c r="Z261" s="137">
        <v>0</v>
      </c>
      <c r="AA261" s="137">
        <v>0</v>
      </c>
      <c r="AB261" s="141">
        <v>0</v>
      </c>
      <c r="AC261" s="141">
        <v>0</v>
      </c>
      <c r="AD261" s="141">
        <v>0</v>
      </c>
    </row>
    <row r="262" spans="1:30" ht="14.25">
      <c r="A262">
        <v>832</v>
      </c>
      <c r="B262" s="121" t="s">
        <v>386</v>
      </c>
      <c r="C262" s="120">
        <v>8655</v>
      </c>
      <c r="D262" s="120">
        <v>0</v>
      </c>
      <c r="E262" s="120">
        <v>0</v>
      </c>
      <c r="F262" s="120">
        <v>733</v>
      </c>
      <c r="G262" s="123">
        <v>13</v>
      </c>
      <c r="H262" s="123">
        <v>2177</v>
      </c>
      <c r="I262" s="123">
        <v>66</v>
      </c>
      <c r="J262" s="125">
        <v>0</v>
      </c>
      <c r="K262" s="125">
        <v>0</v>
      </c>
      <c r="L262" s="125">
        <v>0</v>
      </c>
      <c r="M262" s="127">
        <v>0</v>
      </c>
      <c r="N262" s="127">
        <v>0</v>
      </c>
      <c r="O262" s="127">
        <v>0</v>
      </c>
      <c r="P262" s="129">
        <v>0</v>
      </c>
      <c r="Q262" s="129">
        <v>0</v>
      </c>
      <c r="R262" s="129">
        <v>0</v>
      </c>
      <c r="S262" s="125">
        <v>36171</v>
      </c>
      <c r="T262" s="125">
        <v>2005</v>
      </c>
      <c r="U262" s="125">
        <v>733</v>
      </c>
      <c r="V262" s="136">
        <v>239</v>
      </c>
      <c r="W262" s="136">
        <v>18591</v>
      </c>
      <c r="X262" s="136">
        <v>316</v>
      </c>
      <c r="Y262" s="137">
        <v>0</v>
      </c>
      <c r="Z262" s="137">
        <v>104</v>
      </c>
      <c r="AA262" s="137">
        <v>0</v>
      </c>
      <c r="AB262" s="141">
        <v>1</v>
      </c>
      <c r="AC262" s="141">
        <v>312</v>
      </c>
      <c r="AD262" s="141">
        <v>10</v>
      </c>
    </row>
    <row r="263" spans="1:30" ht="14.25">
      <c r="A263">
        <v>833</v>
      </c>
      <c r="B263" s="121" t="s">
        <v>387</v>
      </c>
      <c r="C263" s="120">
        <v>2901</v>
      </c>
      <c r="D263" s="120">
        <v>0</v>
      </c>
      <c r="E263" s="120">
        <v>0</v>
      </c>
      <c r="F263" s="120">
        <v>0</v>
      </c>
      <c r="G263" s="123">
        <v>0</v>
      </c>
      <c r="H263" s="123">
        <v>579</v>
      </c>
      <c r="I263" s="123">
        <v>0</v>
      </c>
      <c r="J263" s="125">
        <v>0</v>
      </c>
      <c r="K263" s="125">
        <v>0</v>
      </c>
      <c r="L263" s="125">
        <v>0</v>
      </c>
      <c r="M263" s="127">
        <v>0</v>
      </c>
      <c r="N263" s="127">
        <v>0</v>
      </c>
      <c r="O263" s="127">
        <v>0</v>
      </c>
      <c r="P263" s="129">
        <v>0</v>
      </c>
      <c r="Q263" s="129">
        <v>0</v>
      </c>
      <c r="R263" s="129">
        <v>0</v>
      </c>
      <c r="S263" s="125">
        <v>12088</v>
      </c>
      <c r="T263" s="125">
        <v>694</v>
      </c>
      <c r="U263" s="125">
        <v>0</v>
      </c>
      <c r="V263" s="136">
        <v>1</v>
      </c>
      <c r="W263" s="136">
        <v>6213</v>
      </c>
      <c r="X263" s="136">
        <v>126</v>
      </c>
      <c r="Y263" s="137">
        <v>0</v>
      </c>
      <c r="Z263" s="137">
        <v>28</v>
      </c>
      <c r="AA263" s="137">
        <v>0</v>
      </c>
      <c r="AB263" s="141">
        <v>0</v>
      </c>
      <c r="AC263" s="141">
        <v>0</v>
      </c>
      <c r="AD263" s="141">
        <v>0</v>
      </c>
    </row>
    <row r="264" spans="1:30" ht="14.25">
      <c r="A264">
        <v>834</v>
      </c>
      <c r="B264" s="121" t="s">
        <v>388</v>
      </c>
      <c r="C264" s="120">
        <v>6633</v>
      </c>
      <c r="D264" s="120">
        <v>0</v>
      </c>
      <c r="E264" s="120">
        <v>0</v>
      </c>
      <c r="F264" s="120">
        <v>282</v>
      </c>
      <c r="G264" s="123">
        <v>123</v>
      </c>
      <c r="H264" s="123">
        <v>123</v>
      </c>
      <c r="I264" s="123">
        <v>0</v>
      </c>
      <c r="J264" s="125">
        <v>0</v>
      </c>
      <c r="K264" s="125">
        <v>0</v>
      </c>
      <c r="L264" s="125">
        <v>0</v>
      </c>
      <c r="M264" s="127">
        <v>0</v>
      </c>
      <c r="N264" s="127">
        <v>0</v>
      </c>
      <c r="O264" s="127">
        <v>0</v>
      </c>
      <c r="P264" s="129">
        <v>0</v>
      </c>
      <c r="Q264" s="129">
        <v>0</v>
      </c>
      <c r="R264" s="129">
        <v>0</v>
      </c>
      <c r="S264" s="125">
        <v>38347</v>
      </c>
      <c r="T264" s="125">
        <v>2003</v>
      </c>
      <c r="U264" s="125">
        <v>283</v>
      </c>
      <c r="V264" s="136">
        <v>538</v>
      </c>
      <c r="W264" s="136">
        <v>19336</v>
      </c>
      <c r="X264" s="136">
        <v>344</v>
      </c>
      <c r="Y264" s="137">
        <v>0</v>
      </c>
      <c r="Z264" s="137">
        <v>12</v>
      </c>
      <c r="AA264" s="137">
        <v>0</v>
      </c>
      <c r="AB264" s="141">
        <v>0</v>
      </c>
      <c r="AC264" s="141">
        <v>0</v>
      </c>
      <c r="AD264" s="141">
        <v>0</v>
      </c>
    </row>
    <row r="265" spans="1:30" ht="14.25">
      <c r="A265">
        <v>837</v>
      </c>
      <c r="B265" s="121" t="s">
        <v>389</v>
      </c>
      <c r="C265" s="120">
        <v>760039</v>
      </c>
      <c r="D265" s="120">
        <v>-156</v>
      </c>
      <c r="E265" s="120">
        <v>22457</v>
      </c>
      <c r="F265" s="120">
        <v>0</v>
      </c>
      <c r="G265" s="123">
        <v>1712</v>
      </c>
      <c r="H265" s="123">
        <v>161296</v>
      </c>
      <c r="I265" s="123">
        <v>20476</v>
      </c>
      <c r="J265" s="125">
        <v>0</v>
      </c>
      <c r="K265" s="125">
        <v>0</v>
      </c>
      <c r="L265" s="125">
        <v>0</v>
      </c>
      <c r="M265" s="127">
        <v>0</v>
      </c>
      <c r="N265" s="127">
        <v>0</v>
      </c>
      <c r="O265" s="127">
        <v>0</v>
      </c>
      <c r="P265" s="129">
        <v>0</v>
      </c>
      <c r="Q265" s="129">
        <v>0</v>
      </c>
      <c r="R265" s="129">
        <v>0</v>
      </c>
      <c r="S265" s="125">
        <v>1905780</v>
      </c>
      <c r="T265" s="125">
        <v>103136</v>
      </c>
      <c r="U265" s="125">
        <v>0</v>
      </c>
      <c r="V265" s="136">
        <v>38270</v>
      </c>
      <c r="W265" s="136">
        <v>883128</v>
      </c>
      <c r="X265" s="136">
        <v>35038</v>
      </c>
      <c r="Y265" s="137">
        <v>0</v>
      </c>
      <c r="Z265" s="137">
        <v>4079</v>
      </c>
      <c r="AA265" s="137">
        <v>1565</v>
      </c>
      <c r="AB265" s="141">
        <v>0</v>
      </c>
      <c r="AC265" s="141">
        <v>0</v>
      </c>
      <c r="AD265" s="141">
        <v>0</v>
      </c>
    </row>
    <row r="266" spans="1:30" ht="14.25">
      <c r="A266">
        <v>844</v>
      </c>
      <c r="B266" s="121" t="s">
        <v>390</v>
      </c>
      <c r="C266" s="120">
        <v>3631</v>
      </c>
      <c r="D266" s="120">
        <v>0</v>
      </c>
      <c r="E266" s="120">
        <v>0</v>
      </c>
      <c r="F266" s="120">
        <v>297</v>
      </c>
      <c r="G266" s="123">
        <v>3</v>
      </c>
      <c r="H266" s="123">
        <v>2043</v>
      </c>
      <c r="I266" s="123">
        <v>15</v>
      </c>
      <c r="J266" s="125">
        <v>0</v>
      </c>
      <c r="K266" s="125">
        <v>0</v>
      </c>
      <c r="L266" s="125">
        <v>0</v>
      </c>
      <c r="M266" s="127">
        <v>0</v>
      </c>
      <c r="N266" s="127">
        <v>0</v>
      </c>
      <c r="O266" s="127">
        <v>0</v>
      </c>
      <c r="P266" s="129">
        <v>0</v>
      </c>
      <c r="Q266" s="129">
        <v>0</v>
      </c>
      <c r="R266" s="129">
        <v>0</v>
      </c>
      <c r="S266" s="125">
        <v>14317</v>
      </c>
      <c r="T266" s="125">
        <v>403</v>
      </c>
      <c r="U266" s="125">
        <v>295</v>
      </c>
      <c r="V266" s="136">
        <v>143</v>
      </c>
      <c r="W266" s="136">
        <v>9531</v>
      </c>
      <c r="X266" s="136">
        <v>150</v>
      </c>
      <c r="Y266" s="137">
        <v>0</v>
      </c>
      <c r="Z266" s="137">
        <v>26</v>
      </c>
      <c r="AA266" s="137">
        <v>3</v>
      </c>
      <c r="AB266" s="141">
        <v>3</v>
      </c>
      <c r="AC266" s="141">
        <v>141</v>
      </c>
      <c r="AD266" s="141">
        <v>0</v>
      </c>
    </row>
    <row r="267" spans="1:30" ht="14.25">
      <c r="A267">
        <v>845</v>
      </c>
      <c r="B267" s="121" t="s">
        <v>391</v>
      </c>
      <c r="C267" s="120">
        <v>8112</v>
      </c>
      <c r="D267" s="120">
        <v>0</v>
      </c>
      <c r="E267" s="120">
        <v>0</v>
      </c>
      <c r="F267" s="120">
        <v>2586</v>
      </c>
      <c r="G267" s="123">
        <v>15</v>
      </c>
      <c r="H267" s="123">
        <v>1661</v>
      </c>
      <c r="I267" s="123">
        <v>0</v>
      </c>
      <c r="J267" s="125">
        <v>0</v>
      </c>
      <c r="K267" s="125">
        <v>0</v>
      </c>
      <c r="L267" s="125">
        <v>0</v>
      </c>
      <c r="M267" s="127">
        <v>0</v>
      </c>
      <c r="N267" s="127">
        <v>0</v>
      </c>
      <c r="O267" s="127">
        <v>0</v>
      </c>
      <c r="P267" s="129">
        <v>0</v>
      </c>
      <c r="Q267" s="129">
        <v>0</v>
      </c>
      <c r="R267" s="129">
        <v>0</v>
      </c>
      <c r="S267" s="125">
        <v>29331</v>
      </c>
      <c r="T267" s="125">
        <v>1330</v>
      </c>
      <c r="U267" s="125">
        <v>2586</v>
      </c>
      <c r="V267" s="136">
        <v>40</v>
      </c>
      <c r="W267" s="136">
        <v>14373</v>
      </c>
      <c r="X267" s="136">
        <v>303</v>
      </c>
      <c r="Y267" s="137">
        <v>0</v>
      </c>
      <c r="Z267" s="137">
        <v>34</v>
      </c>
      <c r="AA267" s="137">
        <v>0</v>
      </c>
      <c r="AB267" s="141">
        <v>1</v>
      </c>
      <c r="AC267" s="141">
        <v>1111</v>
      </c>
      <c r="AD267" s="141">
        <v>0</v>
      </c>
    </row>
    <row r="268" spans="1:30" ht="14.25">
      <c r="A268">
        <v>846</v>
      </c>
      <c r="B268" s="121" t="s">
        <v>392</v>
      </c>
      <c r="C268" s="120">
        <v>8233</v>
      </c>
      <c r="D268" s="120">
        <v>0</v>
      </c>
      <c r="E268" s="120">
        <v>0</v>
      </c>
      <c r="F268" s="120">
        <v>680</v>
      </c>
      <c r="G268" s="123">
        <v>0</v>
      </c>
      <c r="H268" s="123">
        <v>151</v>
      </c>
      <c r="I268" s="123">
        <v>0</v>
      </c>
      <c r="J268" s="125">
        <v>0</v>
      </c>
      <c r="K268" s="125">
        <v>0</v>
      </c>
      <c r="L268" s="125">
        <v>0</v>
      </c>
      <c r="M268" s="127">
        <v>0</v>
      </c>
      <c r="N268" s="127">
        <v>0</v>
      </c>
      <c r="O268" s="127">
        <v>0</v>
      </c>
      <c r="P268" s="129">
        <v>0</v>
      </c>
      <c r="Q268" s="129">
        <v>0</v>
      </c>
      <c r="R268" s="129">
        <v>0</v>
      </c>
      <c r="S268" s="125">
        <v>41705</v>
      </c>
      <c r="T268" s="125">
        <v>1515</v>
      </c>
      <c r="U268" s="125">
        <v>680</v>
      </c>
      <c r="V268" s="136">
        <v>78</v>
      </c>
      <c r="W268" s="136">
        <v>22741</v>
      </c>
      <c r="X268" s="136">
        <v>509</v>
      </c>
      <c r="Y268" s="137">
        <v>0</v>
      </c>
      <c r="Z268" s="137">
        <v>0</v>
      </c>
      <c r="AA268" s="137">
        <v>0</v>
      </c>
      <c r="AB268" s="141">
        <v>0</v>
      </c>
      <c r="AC268" s="141">
        <v>0</v>
      </c>
      <c r="AD268" s="141">
        <v>13</v>
      </c>
    </row>
    <row r="269" spans="1:30" ht="14.25">
      <c r="A269">
        <v>848</v>
      </c>
      <c r="B269" s="121" t="s">
        <v>393</v>
      </c>
      <c r="C269" s="120">
        <v>12305</v>
      </c>
      <c r="D269" s="120">
        <v>0</v>
      </c>
      <c r="E269" s="120">
        <v>0</v>
      </c>
      <c r="F269" s="120">
        <v>0</v>
      </c>
      <c r="G269" s="123">
        <v>50</v>
      </c>
      <c r="H269" s="123">
        <v>2184</v>
      </c>
      <c r="I269" s="123">
        <v>0</v>
      </c>
      <c r="J269" s="125">
        <v>0</v>
      </c>
      <c r="K269" s="125">
        <v>0</v>
      </c>
      <c r="L269" s="125">
        <v>0</v>
      </c>
      <c r="M269" s="127">
        <v>0</v>
      </c>
      <c r="N269" s="127">
        <v>0</v>
      </c>
      <c r="O269" s="127">
        <v>0</v>
      </c>
      <c r="P269" s="129">
        <v>0</v>
      </c>
      <c r="Q269" s="129">
        <v>0</v>
      </c>
      <c r="R269" s="129">
        <v>0</v>
      </c>
      <c r="S269" s="125">
        <v>40934</v>
      </c>
      <c r="T269" s="125">
        <v>840</v>
      </c>
      <c r="U269" s="125">
        <v>0</v>
      </c>
      <c r="V269" s="136">
        <v>430</v>
      </c>
      <c r="W269" s="136">
        <v>20799</v>
      </c>
      <c r="X269" s="136">
        <v>379</v>
      </c>
      <c r="Y269" s="137">
        <v>0</v>
      </c>
      <c r="Z269" s="137">
        <v>3</v>
      </c>
      <c r="AA269" s="137">
        <v>0</v>
      </c>
      <c r="AB269" s="141">
        <v>0</v>
      </c>
      <c r="AC269" s="141">
        <v>0</v>
      </c>
      <c r="AD269" s="141">
        <v>0</v>
      </c>
    </row>
    <row r="270" spans="1:30" ht="14.25">
      <c r="A270">
        <v>849</v>
      </c>
      <c r="B270" s="121" t="s">
        <v>394</v>
      </c>
      <c r="C270" s="120">
        <v>12699</v>
      </c>
      <c r="D270" s="120">
        <v>0</v>
      </c>
      <c r="E270" s="120">
        <v>0</v>
      </c>
      <c r="F270" s="120">
        <v>0</v>
      </c>
      <c r="G270" s="123">
        <v>0</v>
      </c>
      <c r="H270" s="123">
        <v>0</v>
      </c>
      <c r="I270" s="123">
        <v>2</v>
      </c>
      <c r="J270" s="125">
        <v>0</v>
      </c>
      <c r="K270" s="125">
        <v>0</v>
      </c>
      <c r="L270" s="125">
        <v>0</v>
      </c>
      <c r="M270" s="127">
        <v>0</v>
      </c>
      <c r="N270" s="127">
        <v>0</v>
      </c>
      <c r="O270" s="127">
        <v>0</v>
      </c>
      <c r="P270" s="129">
        <v>0</v>
      </c>
      <c r="Q270" s="129">
        <v>0</v>
      </c>
      <c r="R270" s="129">
        <v>0</v>
      </c>
      <c r="S270" s="125">
        <v>30513</v>
      </c>
      <c r="T270" s="125">
        <v>1971</v>
      </c>
      <c r="U270" s="125">
        <v>0</v>
      </c>
      <c r="V270" s="136">
        <v>54</v>
      </c>
      <c r="W270" s="136">
        <v>11252</v>
      </c>
      <c r="X270" s="136">
        <v>244</v>
      </c>
      <c r="Y270" s="137">
        <v>0</v>
      </c>
      <c r="Z270" s="137">
        <v>27</v>
      </c>
      <c r="AA270" s="137">
        <v>31</v>
      </c>
      <c r="AB270" s="141">
        <v>0</v>
      </c>
      <c r="AC270" s="141">
        <v>0</v>
      </c>
      <c r="AD270" s="141">
        <v>0</v>
      </c>
    </row>
    <row r="271" spans="1:30" ht="14.25">
      <c r="A271">
        <v>850</v>
      </c>
      <c r="B271" s="121" t="s">
        <v>395</v>
      </c>
      <c r="C271" s="120">
        <v>3863</v>
      </c>
      <c r="D271" s="120">
        <v>0</v>
      </c>
      <c r="E271" s="120">
        <v>0</v>
      </c>
      <c r="F271" s="120">
        <v>0</v>
      </c>
      <c r="G271" s="123">
        <v>0</v>
      </c>
      <c r="H271" s="123">
        <v>618</v>
      </c>
      <c r="I271" s="123">
        <v>0</v>
      </c>
      <c r="J271" s="125">
        <v>0</v>
      </c>
      <c r="K271" s="125">
        <v>0</v>
      </c>
      <c r="L271" s="125">
        <v>0</v>
      </c>
      <c r="M271" s="127">
        <v>0</v>
      </c>
      <c r="N271" s="127">
        <v>0</v>
      </c>
      <c r="O271" s="127">
        <v>0</v>
      </c>
      <c r="P271" s="129">
        <v>0</v>
      </c>
      <c r="Q271" s="129">
        <v>0</v>
      </c>
      <c r="R271" s="129">
        <v>0</v>
      </c>
      <c r="S271" s="125">
        <v>17040</v>
      </c>
      <c r="T271" s="125">
        <v>495</v>
      </c>
      <c r="U271" s="125">
        <v>0</v>
      </c>
      <c r="V271" s="136">
        <v>30</v>
      </c>
      <c r="W271" s="136">
        <v>8118</v>
      </c>
      <c r="X271" s="136">
        <v>197</v>
      </c>
      <c r="Y271" s="137">
        <v>0</v>
      </c>
      <c r="Z271" s="137">
        <v>22</v>
      </c>
      <c r="AA271" s="137">
        <v>0</v>
      </c>
      <c r="AB271" s="141">
        <v>0</v>
      </c>
      <c r="AC271" s="141">
        <v>0</v>
      </c>
      <c r="AD271" s="141">
        <v>0</v>
      </c>
    </row>
    <row r="272" spans="1:30" ht="14.25">
      <c r="A272">
        <v>851</v>
      </c>
      <c r="B272" s="121" t="s">
        <v>396</v>
      </c>
      <c r="C272" s="120">
        <v>33566</v>
      </c>
      <c r="D272" s="120">
        <v>0</v>
      </c>
      <c r="E272" s="120">
        <v>0</v>
      </c>
      <c r="F272" s="120">
        <v>0</v>
      </c>
      <c r="G272" s="123">
        <v>81</v>
      </c>
      <c r="H272" s="123">
        <v>10797</v>
      </c>
      <c r="I272" s="123">
        <v>0</v>
      </c>
      <c r="J272" s="125">
        <v>0</v>
      </c>
      <c r="K272" s="125">
        <v>0</v>
      </c>
      <c r="L272" s="125">
        <v>0</v>
      </c>
      <c r="M272" s="127">
        <v>0</v>
      </c>
      <c r="N272" s="127">
        <v>0</v>
      </c>
      <c r="O272" s="127">
        <v>0</v>
      </c>
      <c r="P272" s="129">
        <v>0</v>
      </c>
      <c r="Q272" s="129">
        <v>0</v>
      </c>
      <c r="R272" s="129">
        <v>0</v>
      </c>
      <c r="S272" s="125">
        <v>147187</v>
      </c>
      <c r="T272" s="125">
        <v>5415</v>
      </c>
      <c r="U272" s="125">
        <v>0</v>
      </c>
      <c r="V272" s="136">
        <v>2022</v>
      </c>
      <c r="W272" s="136">
        <v>80684</v>
      </c>
      <c r="X272" s="136">
        <v>2192</v>
      </c>
      <c r="Y272" s="137">
        <v>0</v>
      </c>
      <c r="Z272" s="137">
        <v>60</v>
      </c>
      <c r="AA272" s="137">
        <v>0</v>
      </c>
      <c r="AB272" s="141">
        <v>0</v>
      </c>
      <c r="AC272" s="141">
        <v>0</v>
      </c>
      <c r="AD272" s="141">
        <v>0</v>
      </c>
    </row>
    <row r="273" spans="1:30" ht="14.25">
      <c r="A273">
        <v>853</v>
      </c>
      <c r="B273" s="121" t="s">
        <v>397</v>
      </c>
      <c r="C273" s="120">
        <v>510413</v>
      </c>
      <c r="D273" s="120">
        <v>0</v>
      </c>
      <c r="E273" s="120">
        <v>3856</v>
      </c>
      <c r="F273" s="120">
        <v>2310</v>
      </c>
      <c r="G273" s="123">
        <v>1862</v>
      </c>
      <c r="H273" s="123">
        <v>97730</v>
      </c>
      <c r="I273" s="123">
        <v>29315</v>
      </c>
      <c r="J273" s="125">
        <v>0</v>
      </c>
      <c r="K273" s="125">
        <v>0</v>
      </c>
      <c r="L273" s="125">
        <v>0</v>
      </c>
      <c r="M273" s="127">
        <v>0</v>
      </c>
      <c r="N273" s="127">
        <v>206</v>
      </c>
      <c r="O273" s="127">
        <v>0</v>
      </c>
      <c r="P273" s="129">
        <v>0</v>
      </c>
      <c r="Q273" s="129">
        <v>0</v>
      </c>
      <c r="R273" s="129">
        <v>0</v>
      </c>
      <c r="S273" s="125">
        <v>1475757</v>
      </c>
      <c r="T273" s="125">
        <v>62705</v>
      </c>
      <c r="U273" s="125">
        <v>2310</v>
      </c>
      <c r="V273" s="136">
        <v>31723</v>
      </c>
      <c r="W273" s="136">
        <v>708956</v>
      </c>
      <c r="X273" s="136">
        <v>41071</v>
      </c>
      <c r="Y273" s="137">
        <v>0</v>
      </c>
      <c r="Z273" s="137">
        <v>372</v>
      </c>
      <c r="AA273" s="137">
        <v>1607</v>
      </c>
      <c r="AB273" s="141">
        <v>0</v>
      </c>
      <c r="AC273" s="141">
        <v>0</v>
      </c>
      <c r="AD273" s="141">
        <v>0</v>
      </c>
    </row>
    <row r="274" spans="1:30" ht="14.25">
      <c r="A274">
        <v>854</v>
      </c>
      <c r="B274" s="121" t="s">
        <v>319</v>
      </c>
      <c r="C274" s="120">
        <v>4372</v>
      </c>
      <c r="D274" s="120">
        <v>0</v>
      </c>
      <c r="E274" s="120">
        <v>0</v>
      </c>
      <c r="F274" s="120">
        <v>2163</v>
      </c>
      <c r="G274" s="123">
        <v>0</v>
      </c>
      <c r="H274" s="123">
        <v>2532</v>
      </c>
      <c r="I274" s="123">
        <v>0</v>
      </c>
      <c r="J274" s="125">
        <v>0</v>
      </c>
      <c r="K274" s="125">
        <v>0</v>
      </c>
      <c r="L274" s="125">
        <v>0</v>
      </c>
      <c r="M274" s="127">
        <v>0</v>
      </c>
      <c r="N274" s="127">
        <v>0</v>
      </c>
      <c r="O274" s="127">
        <v>0</v>
      </c>
      <c r="P274" s="129">
        <v>0</v>
      </c>
      <c r="Q274" s="129">
        <v>344</v>
      </c>
      <c r="R274" s="129">
        <v>0</v>
      </c>
      <c r="S274" s="125">
        <v>30030</v>
      </c>
      <c r="T274" s="125">
        <v>1142</v>
      </c>
      <c r="U274" s="125">
        <v>2163</v>
      </c>
      <c r="V274" s="136">
        <v>135</v>
      </c>
      <c r="W274" s="136">
        <v>20337</v>
      </c>
      <c r="X274" s="136">
        <v>381</v>
      </c>
      <c r="Y274" s="137">
        <v>0</v>
      </c>
      <c r="Z274" s="137">
        <v>327</v>
      </c>
      <c r="AA274" s="137">
        <v>0</v>
      </c>
      <c r="AB274" s="141">
        <v>0</v>
      </c>
      <c r="AC274" s="141">
        <v>1050</v>
      </c>
      <c r="AD274" s="141">
        <v>6</v>
      </c>
    </row>
    <row r="275" spans="1:30" ht="14.25">
      <c r="A275">
        <v>857</v>
      </c>
      <c r="B275" s="121" t="s">
        <v>398</v>
      </c>
      <c r="C275" s="120">
        <v>4806</v>
      </c>
      <c r="D275" s="120">
        <v>0</v>
      </c>
      <c r="E275" s="120">
        <v>0</v>
      </c>
      <c r="F275" s="120">
        <v>0</v>
      </c>
      <c r="G275" s="123">
        <v>23</v>
      </c>
      <c r="H275" s="123">
        <v>1135</v>
      </c>
      <c r="I275" s="123">
        <v>0</v>
      </c>
      <c r="J275" s="125">
        <v>0</v>
      </c>
      <c r="K275" s="125">
        <v>0</v>
      </c>
      <c r="L275" s="125">
        <v>0</v>
      </c>
      <c r="M275" s="127">
        <v>0</v>
      </c>
      <c r="N275" s="127">
        <v>0</v>
      </c>
      <c r="O275" s="127">
        <v>0</v>
      </c>
      <c r="P275" s="129">
        <v>0</v>
      </c>
      <c r="Q275" s="129">
        <v>0</v>
      </c>
      <c r="R275" s="129">
        <v>0</v>
      </c>
      <c r="S275" s="125">
        <v>21808</v>
      </c>
      <c r="T275" s="125">
        <v>1241</v>
      </c>
      <c r="U275" s="125">
        <v>0</v>
      </c>
      <c r="V275" s="136">
        <v>267</v>
      </c>
      <c r="W275" s="136">
        <v>13274</v>
      </c>
      <c r="X275" s="136">
        <v>270</v>
      </c>
      <c r="Y275" s="137">
        <v>0</v>
      </c>
      <c r="Z275" s="137">
        <v>276</v>
      </c>
      <c r="AA275" s="137">
        <v>0</v>
      </c>
      <c r="AB275" s="141">
        <v>0</v>
      </c>
      <c r="AC275" s="141">
        <v>0</v>
      </c>
      <c r="AD275" s="141">
        <v>0</v>
      </c>
    </row>
    <row r="276" spans="1:30" ht="14.25">
      <c r="A276">
        <v>858</v>
      </c>
      <c r="B276" s="121" t="s">
        <v>399</v>
      </c>
      <c r="C276" s="120">
        <v>72512</v>
      </c>
      <c r="D276" s="120">
        <v>0</v>
      </c>
      <c r="E276" s="120">
        <v>120</v>
      </c>
      <c r="F276" s="120">
        <v>0</v>
      </c>
      <c r="G276" s="123">
        <v>97</v>
      </c>
      <c r="H276" s="123">
        <v>12605</v>
      </c>
      <c r="I276" s="123">
        <v>0</v>
      </c>
      <c r="J276" s="125">
        <v>0</v>
      </c>
      <c r="K276" s="125">
        <v>0</v>
      </c>
      <c r="L276" s="125">
        <v>0</v>
      </c>
      <c r="M276" s="127">
        <v>0</v>
      </c>
      <c r="N276" s="127">
        <v>0</v>
      </c>
      <c r="O276" s="127">
        <v>0</v>
      </c>
      <c r="P276" s="129">
        <v>0</v>
      </c>
      <c r="Q276" s="129">
        <v>0</v>
      </c>
      <c r="R276" s="129">
        <v>0</v>
      </c>
      <c r="S276" s="125">
        <v>252432</v>
      </c>
      <c r="T276" s="125">
        <v>12154</v>
      </c>
      <c r="U276" s="125">
        <v>0</v>
      </c>
      <c r="V276" s="136">
        <v>2059</v>
      </c>
      <c r="W276" s="136">
        <v>116711</v>
      </c>
      <c r="X276" s="136">
        <v>2939</v>
      </c>
      <c r="Y276" s="137">
        <v>4</v>
      </c>
      <c r="Z276" s="137">
        <v>573</v>
      </c>
      <c r="AA276" s="137">
        <v>35</v>
      </c>
      <c r="AB276" s="141">
        <v>0</v>
      </c>
      <c r="AC276" s="141">
        <v>0</v>
      </c>
      <c r="AD276" s="141">
        <v>0</v>
      </c>
    </row>
    <row r="277" spans="1:30" ht="14.25">
      <c r="A277">
        <v>859</v>
      </c>
      <c r="B277" s="121" t="s">
        <v>400</v>
      </c>
      <c r="C277" s="120">
        <v>7419</v>
      </c>
      <c r="D277" s="120">
        <v>0</v>
      </c>
      <c r="E277" s="120">
        <v>0</v>
      </c>
      <c r="F277" s="120">
        <v>1432</v>
      </c>
      <c r="G277" s="123">
        <v>87</v>
      </c>
      <c r="H277" s="123">
        <v>1239</v>
      </c>
      <c r="I277" s="123">
        <v>0</v>
      </c>
      <c r="J277" s="125">
        <v>0</v>
      </c>
      <c r="K277" s="125">
        <v>0</v>
      </c>
      <c r="L277" s="125">
        <v>0</v>
      </c>
      <c r="M277" s="127">
        <v>0</v>
      </c>
      <c r="N277" s="127">
        <v>0</v>
      </c>
      <c r="O277" s="127">
        <v>0</v>
      </c>
      <c r="P277" s="129">
        <v>0</v>
      </c>
      <c r="Q277" s="129">
        <v>0</v>
      </c>
      <c r="R277" s="129">
        <v>0</v>
      </c>
      <c r="S277" s="125">
        <v>41964</v>
      </c>
      <c r="T277" s="125">
        <v>1604</v>
      </c>
      <c r="U277" s="125">
        <v>1429</v>
      </c>
      <c r="V277" s="136">
        <v>478</v>
      </c>
      <c r="W277" s="136">
        <v>19864</v>
      </c>
      <c r="X277" s="136">
        <v>417</v>
      </c>
      <c r="Y277" s="137">
        <v>0</v>
      </c>
      <c r="Z277" s="137">
        <v>186</v>
      </c>
      <c r="AA277" s="137">
        <v>0</v>
      </c>
      <c r="AB277" s="141">
        <v>19</v>
      </c>
      <c r="AC277" s="141">
        <v>526</v>
      </c>
      <c r="AD277" s="141">
        <v>17</v>
      </c>
    </row>
    <row r="278" spans="1:30" ht="14.25">
      <c r="A278">
        <v>886</v>
      </c>
      <c r="B278" s="121" t="s">
        <v>401</v>
      </c>
      <c r="C278" s="120">
        <v>13542</v>
      </c>
      <c r="D278" s="120">
        <v>0</v>
      </c>
      <c r="E278" s="120">
        <v>0</v>
      </c>
      <c r="F278" s="120">
        <v>0</v>
      </c>
      <c r="G278" s="123">
        <v>132</v>
      </c>
      <c r="H278" s="123">
        <v>876</v>
      </c>
      <c r="I278" s="123">
        <v>412</v>
      </c>
      <c r="J278" s="125">
        <v>0</v>
      </c>
      <c r="K278" s="125">
        <v>0</v>
      </c>
      <c r="L278" s="125">
        <v>0</v>
      </c>
      <c r="M278" s="127">
        <v>0</v>
      </c>
      <c r="N278" s="127">
        <v>0</v>
      </c>
      <c r="O278" s="127">
        <v>0</v>
      </c>
      <c r="P278" s="129">
        <v>0</v>
      </c>
      <c r="Q278" s="129">
        <v>0</v>
      </c>
      <c r="R278" s="129">
        <v>0</v>
      </c>
      <c r="S278" s="125">
        <v>81917</v>
      </c>
      <c r="T278" s="125">
        <v>2953</v>
      </c>
      <c r="U278" s="125">
        <v>0</v>
      </c>
      <c r="V278" s="136">
        <v>253</v>
      </c>
      <c r="W278" s="136">
        <v>42374</v>
      </c>
      <c r="X278" s="136">
        <v>1581</v>
      </c>
      <c r="Y278" s="137">
        <v>0</v>
      </c>
      <c r="Z278" s="137">
        <v>67</v>
      </c>
      <c r="AA278" s="137">
        <v>0</v>
      </c>
      <c r="AB278" s="141">
        <v>0</v>
      </c>
      <c r="AC278" s="141">
        <v>0</v>
      </c>
      <c r="AD278" s="141">
        <v>0</v>
      </c>
    </row>
    <row r="279" spans="1:30" ht="14.25">
      <c r="A279">
        <v>887</v>
      </c>
      <c r="B279" s="121" t="s">
        <v>402</v>
      </c>
      <c r="C279" s="120">
        <v>5638</v>
      </c>
      <c r="D279" s="120">
        <v>0</v>
      </c>
      <c r="E279" s="120">
        <v>0</v>
      </c>
      <c r="F279" s="120">
        <v>0</v>
      </c>
      <c r="G279" s="123">
        <v>507</v>
      </c>
      <c r="H279" s="123">
        <v>654</v>
      </c>
      <c r="I279" s="123">
        <v>0</v>
      </c>
      <c r="J279" s="125">
        <v>0</v>
      </c>
      <c r="K279" s="125">
        <v>0</v>
      </c>
      <c r="L279" s="125">
        <v>0</v>
      </c>
      <c r="M279" s="127">
        <v>0</v>
      </c>
      <c r="N279" s="127">
        <v>0</v>
      </c>
      <c r="O279" s="127">
        <v>0</v>
      </c>
      <c r="P279" s="129">
        <v>0</v>
      </c>
      <c r="Q279" s="129">
        <v>0</v>
      </c>
      <c r="R279" s="129">
        <v>0</v>
      </c>
      <c r="S279" s="125">
        <v>32701</v>
      </c>
      <c r="T279" s="125">
        <v>842</v>
      </c>
      <c r="U279" s="125">
        <v>136</v>
      </c>
      <c r="V279" s="136">
        <v>1328</v>
      </c>
      <c r="W279" s="136">
        <v>18552</v>
      </c>
      <c r="X279" s="136">
        <v>349</v>
      </c>
      <c r="Y279" s="137">
        <v>0</v>
      </c>
      <c r="Z279" s="137">
        <v>26</v>
      </c>
      <c r="AA279" s="137">
        <v>2</v>
      </c>
      <c r="AB279" s="141">
        <v>0</v>
      </c>
      <c r="AC279" s="141">
        <v>0</v>
      </c>
      <c r="AD279" s="141">
        <v>0</v>
      </c>
    </row>
    <row r="280" spans="1:30" ht="14.25">
      <c r="A280">
        <v>889</v>
      </c>
      <c r="B280" s="121" t="s">
        <v>403</v>
      </c>
      <c r="C280" s="120">
        <v>4562</v>
      </c>
      <c r="D280" s="120">
        <v>0</v>
      </c>
      <c r="E280" s="120">
        <v>0</v>
      </c>
      <c r="F280" s="120">
        <v>409</v>
      </c>
      <c r="G280" s="123">
        <v>56</v>
      </c>
      <c r="H280" s="123">
        <v>89</v>
      </c>
      <c r="I280" s="123">
        <v>0</v>
      </c>
      <c r="J280" s="125">
        <v>0</v>
      </c>
      <c r="K280" s="125">
        <v>0</v>
      </c>
      <c r="L280" s="125">
        <v>0</v>
      </c>
      <c r="M280" s="127">
        <v>0</v>
      </c>
      <c r="N280" s="127">
        <v>0</v>
      </c>
      <c r="O280" s="127">
        <v>0</v>
      </c>
      <c r="P280" s="129">
        <v>0</v>
      </c>
      <c r="Q280" s="129">
        <v>60</v>
      </c>
      <c r="R280" s="129">
        <v>0</v>
      </c>
      <c r="S280" s="125">
        <v>25379</v>
      </c>
      <c r="T280" s="125">
        <v>1234</v>
      </c>
      <c r="U280" s="125">
        <v>409</v>
      </c>
      <c r="V280" s="136">
        <v>265</v>
      </c>
      <c r="W280" s="136">
        <v>11775</v>
      </c>
      <c r="X280" s="136">
        <v>185</v>
      </c>
      <c r="Y280" s="137">
        <v>0</v>
      </c>
      <c r="Z280" s="137">
        <v>0</v>
      </c>
      <c r="AA280" s="137">
        <v>0</v>
      </c>
      <c r="AB280" s="141">
        <v>0</v>
      </c>
      <c r="AC280" s="141">
        <v>0</v>
      </c>
      <c r="AD280" s="141">
        <v>0</v>
      </c>
    </row>
    <row r="281" spans="1:30" ht="14.25">
      <c r="A281">
        <v>890</v>
      </c>
      <c r="B281" s="121" t="s">
        <v>404</v>
      </c>
      <c r="C281" s="120">
        <v>3401</v>
      </c>
      <c r="D281" s="120">
        <v>0</v>
      </c>
      <c r="E281" s="120">
        <v>0</v>
      </c>
      <c r="F281" s="120">
        <v>349</v>
      </c>
      <c r="G281" s="123">
        <v>4</v>
      </c>
      <c r="H281" s="123">
        <v>557</v>
      </c>
      <c r="I281" s="123">
        <v>0</v>
      </c>
      <c r="J281" s="125">
        <v>0</v>
      </c>
      <c r="K281" s="125">
        <v>0</v>
      </c>
      <c r="L281" s="125">
        <v>0</v>
      </c>
      <c r="M281" s="127">
        <v>0</v>
      </c>
      <c r="N281" s="127">
        <v>0</v>
      </c>
      <c r="O281" s="127">
        <v>0</v>
      </c>
      <c r="P281" s="129">
        <v>0</v>
      </c>
      <c r="Q281" s="129">
        <v>0</v>
      </c>
      <c r="R281" s="129">
        <v>0</v>
      </c>
      <c r="S281" s="125">
        <v>13825</v>
      </c>
      <c r="T281" s="125">
        <v>527</v>
      </c>
      <c r="U281" s="125">
        <v>335</v>
      </c>
      <c r="V281" s="136">
        <v>116</v>
      </c>
      <c r="W281" s="136">
        <v>6820</v>
      </c>
      <c r="X281" s="136">
        <v>165</v>
      </c>
      <c r="Y281" s="137">
        <v>0</v>
      </c>
      <c r="Z281" s="137">
        <v>83</v>
      </c>
      <c r="AA281" s="137">
        <v>0</v>
      </c>
      <c r="AB281" s="141">
        <v>1</v>
      </c>
      <c r="AC281" s="141">
        <v>120</v>
      </c>
      <c r="AD281" s="141">
        <v>1</v>
      </c>
    </row>
    <row r="282" spans="1:30" ht="14.25">
      <c r="A282">
        <v>892</v>
      </c>
      <c r="B282" s="121" t="s">
        <v>405</v>
      </c>
      <c r="C282" s="120">
        <v>4729</v>
      </c>
      <c r="D282" s="120">
        <v>0</v>
      </c>
      <c r="E282" s="120">
        <v>25</v>
      </c>
      <c r="F282" s="120">
        <v>483</v>
      </c>
      <c r="G282" s="123">
        <v>55</v>
      </c>
      <c r="H282" s="123">
        <v>1225</v>
      </c>
      <c r="I282" s="123">
        <v>0</v>
      </c>
      <c r="J282" s="125">
        <v>0</v>
      </c>
      <c r="K282" s="125">
        <v>0</v>
      </c>
      <c r="L282" s="125">
        <v>0</v>
      </c>
      <c r="M282" s="127">
        <v>0</v>
      </c>
      <c r="N282" s="127">
        <v>0</v>
      </c>
      <c r="O282" s="127">
        <v>0</v>
      </c>
      <c r="P282" s="129">
        <v>0</v>
      </c>
      <c r="Q282" s="129">
        <v>0</v>
      </c>
      <c r="R282" s="129">
        <v>0</v>
      </c>
      <c r="S282" s="125">
        <v>23059</v>
      </c>
      <c r="T282" s="125">
        <v>1068</v>
      </c>
      <c r="U282" s="125">
        <v>483</v>
      </c>
      <c r="V282" s="136">
        <v>104</v>
      </c>
      <c r="W282" s="136">
        <v>10850</v>
      </c>
      <c r="X282" s="136">
        <v>291</v>
      </c>
      <c r="Y282" s="137">
        <v>0</v>
      </c>
      <c r="Z282" s="137">
        <v>87</v>
      </c>
      <c r="AA282" s="137">
        <v>0</v>
      </c>
      <c r="AB282" s="141">
        <v>3</v>
      </c>
      <c r="AC282" s="141">
        <v>138</v>
      </c>
      <c r="AD282" s="141">
        <v>1</v>
      </c>
    </row>
    <row r="283" spans="1:30" ht="14.25">
      <c r="A283">
        <v>893</v>
      </c>
      <c r="B283" s="121" t="s">
        <v>406</v>
      </c>
      <c r="C283" s="120">
        <v>8134</v>
      </c>
      <c r="D283" s="120">
        <v>0</v>
      </c>
      <c r="E283" s="120">
        <v>76</v>
      </c>
      <c r="F283" s="120">
        <v>0</v>
      </c>
      <c r="G283" s="123">
        <v>0</v>
      </c>
      <c r="H283" s="123">
        <v>327</v>
      </c>
      <c r="I283" s="123">
        <v>0</v>
      </c>
      <c r="J283" s="125">
        <v>0</v>
      </c>
      <c r="K283" s="125">
        <v>0</v>
      </c>
      <c r="L283" s="125">
        <v>0</v>
      </c>
      <c r="M283" s="127">
        <v>0</v>
      </c>
      <c r="N283" s="127">
        <v>0</v>
      </c>
      <c r="O283" s="127">
        <v>0</v>
      </c>
      <c r="P283" s="129">
        <v>0</v>
      </c>
      <c r="Q283" s="129">
        <v>0</v>
      </c>
      <c r="R283" s="129">
        <v>0</v>
      </c>
      <c r="S283" s="125">
        <v>51897</v>
      </c>
      <c r="T283" s="125">
        <v>1725</v>
      </c>
      <c r="U283" s="125">
        <v>0</v>
      </c>
      <c r="V283" s="136">
        <v>561</v>
      </c>
      <c r="W283" s="136">
        <v>26455</v>
      </c>
      <c r="X283" s="136">
        <v>540</v>
      </c>
      <c r="Y283" s="137">
        <v>0</v>
      </c>
      <c r="Z283" s="137">
        <v>49</v>
      </c>
      <c r="AA283" s="137">
        <v>0</v>
      </c>
      <c r="AB283" s="141">
        <v>0</v>
      </c>
      <c r="AC283" s="141">
        <v>0</v>
      </c>
      <c r="AD283" s="141">
        <v>0</v>
      </c>
    </row>
    <row r="284" spans="1:30" ht="14.25">
      <c r="A284">
        <v>895</v>
      </c>
      <c r="B284" s="121" t="s">
        <v>407</v>
      </c>
      <c r="C284" s="120">
        <v>44598</v>
      </c>
      <c r="D284" s="120">
        <v>0</v>
      </c>
      <c r="E284" s="120">
        <v>448</v>
      </c>
      <c r="F284" s="120">
        <v>0</v>
      </c>
      <c r="G284" s="123">
        <v>142</v>
      </c>
      <c r="H284" s="123">
        <v>15276</v>
      </c>
      <c r="I284" s="123">
        <v>0</v>
      </c>
      <c r="J284" s="125">
        <v>0</v>
      </c>
      <c r="K284" s="125">
        <v>0</v>
      </c>
      <c r="L284" s="125">
        <v>0</v>
      </c>
      <c r="M284" s="127">
        <v>0</v>
      </c>
      <c r="N284" s="127">
        <v>0</v>
      </c>
      <c r="O284" s="127">
        <v>0</v>
      </c>
      <c r="P284" s="129">
        <v>0</v>
      </c>
      <c r="Q284" s="129">
        <v>0</v>
      </c>
      <c r="R284" s="129">
        <v>0</v>
      </c>
      <c r="S284" s="125">
        <v>123011</v>
      </c>
      <c r="T284" s="125">
        <v>5510</v>
      </c>
      <c r="U284" s="125">
        <v>0</v>
      </c>
      <c r="V284" s="136">
        <v>780</v>
      </c>
      <c r="W284" s="136">
        <v>71524</v>
      </c>
      <c r="X284" s="136">
        <v>1169</v>
      </c>
      <c r="Y284" s="137">
        <v>0</v>
      </c>
      <c r="Z284" s="137">
        <v>270</v>
      </c>
      <c r="AA284" s="137">
        <v>0</v>
      </c>
      <c r="AB284" s="141">
        <v>0</v>
      </c>
      <c r="AC284" s="141">
        <v>0</v>
      </c>
      <c r="AD284" s="141">
        <v>0</v>
      </c>
    </row>
    <row r="285" spans="1:30" ht="14.25">
      <c r="A285">
        <v>905</v>
      </c>
      <c r="B285" s="121" t="s">
        <v>409</v>
      </c>
      <c r="C285" s="120">
        <v>194830</v>
      </c>
      <c r="D285" s="120">
        <v>0</v>
      </c>
      <c r="E285" s="120">
        <v>2473</v>
      </c>
      <c r="F285" s="120">
        <v>5543</v>
      </c>
      <c r="G285" s="123">
        <v>1646</v>
      </c>
      <c r="H285" s="123">
        <v>49575</v>
      </c>
      <c r="I285" s="123">
        <v>6113</v>
      </c>
      <c r="J285" s="125">
        <v>0</v>
      </c>
      <c r="K285" s="125">
        <v>0</v>
      </c>
      <c r="L285" s="125">
        <v>0</v>
      </c>
      <c r="M285" s="127">
        <v>0</v>
      </c>
      <c r="N285" s="127">
        <v>0</v>
      </c>
      <c r="O285" s="127">
        <v>0</v>
      </c>
      <c r="P285" s="129">
        <v>0</v>
      </c>
      <c r="Q285" s="129">
        <v>715</v>
      </c>
      <c r="R285" s="129">
        <v>0</v>
      </c>
      <c r="S285" s="125">
        <v>574248</v>
      </c>
      <c r="T285" s="125">
        <v>30904</v>
      </c>
      <c r="U285" s="125">
        <v>5544</v>
      </c>
      <c r="V285" s="136">
        <v>6530</v>
      </c>
      <c r="W285" s="136">
        <v>281395</v>
      </c>
      <c r="X285" s="136">
        <v>10208</v>
      </c>
      <c r="Y285" s="137">
        <v>1</v>
      </c>
      <c r="Z285" s="137">
        <v>1132</v>
      </c>
      <c r="AA285" s="137">
        <v>421</v>
      </c>
      <c r="AB285" s="141">
        <v>17</v>
      </c>
      <c r="AC285" s="141">
        <v>2722</v>
      </c>
      <c r="AD285" s="141">
        <v>0</v>
      </c>
    </row>
    <row r="286" spans="1:30" ht="14.25">
      <c r="A286">
        <v>908</v>
      </c>
      <c r="B286" s="121" t="s">
        <v>410</v>
      </c>
      <c r="C286" s="120">
        <v>52869</v>
      </c>
      <c r="D286" s="120">
        <v>0</v>
      </c>
      <c r="E286" s="120">
        <v>283</v>
      </c>
      <c r="F286" s="120">
        <v>0</v>
      </c>
      <c r="G286" s="123">
        <v>584</v>
      </c>
      <c r="H286" s="123">
        <v>10766</v>
      </c>
      <c r="I286" s="123">
        <v>0</v>
      </c>
      <c r="J286" s="125">
        <v>0</v>
      </c>
      <c r="K286" s="125">
        <v>0</v>
      </c>
      <c r="L286" s="125">
        <v>0</v>
      </c>
      <c r="M286" s="127">
        <v>0</v>
      </c>
      <c r="N286" s="127">
        <v>0</v>
      </c>
      <c r="O286" s="127">
        <v>0</v>
      </c>
      <c r="P286" s="129">
        <v>0</v>
      </c>
      <c r="Q286" s="129">
        <v>0</v>
      </c>
      <c r="R286" s="129">
        <v>0</v>
      </c>
      <c r="S286" s="125">
        <v>160366</v>
      </c>
      <c r="T286" s="125">
        <v>9254</v>
      </c>
      <c r="U286" s="125">
        <v>0</v>
      </c>
      <c r="V286" s="136">
        <v>1735</v>
      </c>
      <c r="W286" s="136">
        <v>79366</v>
      </c>
      <c r="X286" s="136">
        <v>1505</v>
      </c>
      <c r="Y286" s="137">
        <v>0</v>
      </c>
      <c r="Z286" s="137">
        <v>81</v>
      </c>
      <c r="AA286" s="137">
        <v>2</v>
      </c>
      <c r="AB286" s="141">
        <v>0</v>
      </c>
      <c r="AC286" s="141">
        <v>0</v>
      </c>
      <c r="AD286" s="141">
        <v>0</v>
      </c>
    </row>
    <row r="287" spans="1:30" ht="14.25">
      <c r="A287">
        <v>911</v>
      </c>
      <c r="B287" s="121" t="s">
        <v>411</v>
      </c>
      <c r="C287" s="120">
        <v>8320</v>
      </c>
      <c r="D287" s="120">
        <v>0</v>
      </c>
      <c r="E287" s="120">
        <v>23</v>
      </c>
      <c r="F287" s="120">
        <v>0</v>
      </c>
      <c r="G287" s="123">
        <v>15</v>
      </c>
      <c r="H287" s="123">
        <v>772</v>
      </c>
      <c r="I287" s="123">
        <v>0</v>
      </c>
      <c r="J287" s="125">
        <v>0</v>
      </c>
      <c r="K287" s="125">
        <v>0</v>
      </c>
      <c r="L287" s="125">
        <v>0</v>
      </c>
      <c r="M287" s="127">
        <v>0</v>
      </c>
      <c r="N287" s="127">
        <v>1</v>
      </c>
      <c r="O287" s="127">
        <v>0</v>
      </c>
      <c r="P287" s="129">
        <v>0</v>
      </c>
      <c r="Q287" s="129">
        <v>0</v>
      </c>
      <c r="R287" s="129">
        <v>0</v>
      </c>
      <c r="S287" s="125">
        <v>24748</v>
      </c>
      <c r="T287" s="125">
        <v>940</v>
      </c>
      <c r="U287" s="125">
        <v>0</v>
      </c>
      <c r="V287" s="136">
        <v>45</v>
      </c>
      <c r="W287" s="136">
        <v>12274</v>
      </c>
      <c r="X287" s="136">
        <v>172</v>
      </c>
      <c r="Y287" s="137">
        <v>0</v>
      </c>
      <c r="Z287" s="137">
        <v>0</v>
      </c>
      <c r="AA287" s="137">
        <v>0</v>
      </c>
      <c r="AB287" s="141">
        <v>0</v>
      </c>
      <c r="AC287" s="141">
        <v>0</v>
      </c>
      <c r="AD287" s="141">
        <v>0</v>
      </c>
    </row>
    <row r="288" spans="1:30" ht="14.25">
      <c r="A288">
        <v>915</v>
      </c>
      <c r="B288" s="121" t="s">
        <v>413</v>
      </c>
      <c r="C288" s="120">
        <v>75131</v>
      </c>
      <c r="D288" s="120">
        <v>0</v>
      </c>
      <c r="E288" s="120">
        <v>338</v>
      </c>
      <c r="F288" s="120">
        <v>0</v>
      </c>
      <c r="G288" s="123">
        <v>777</v>
      </c>
      <c r="H288" s="123">
        <v>45664</v>
      </c>
      <c r="I288" s="123">
        <v>0</v>
      </c>
      <c r="J288" s="125">
        <v>0</v>
      </c>
      <c r="K288" s="125">
        <v>0</v>
      </c>
      <c r="L288" s="125">
        <v>0</v>
      </c>
      <c r="M288" s="127">
        <v>0</v>
      </c>
      <c r="N288" s="127">
        <v>0</v>
      </c>
      <c r="O288" s="127">
        <v>0</v>
      </c>
      <c r="P288" s="129">
        <v>0</v>
      </c>
      <c r="Q288" s="129">
        <v>0</v>
      </c>
      <c r="R288" s="129">
        <v>0</v>
      </c>
      <c r="S288" s="125">
        <v>195467</v>
      </c>
      <c r="T288" s="125">
        <v>5048</v>
      </c>
      <c r="U288" s="125">
        <v>0</v>
      </c>
      <c r="V288" s="136">
        <v>3491</v>
      </c>
      <c r="W288" s="136">
        <v>127441</v>
      </c>
      <c r="X288" s="136">
        <v>2490</v>
      </c>
      <c r="Y288" s="137">
        <v>0</v>
      </c>
      <c r="Z288" s="137">
        <v>599</v>
      </c>
      <c r="AA288" s="137">
        <v>0</v>
      </c>
      <c r="AB288" s="141">
        <v>0</v>
      </c>
      <c r="AC288" s="141">
        <v>0</v>
      </c>
      <c r="AD288" s="141">
        <v>0</v>
      </c>
    </row>
    <row r="289" spans="1:30" ht="14.25">
      <c r="A289">
        <v>918</v>
      </c>
      <c r="B289" s="121" t="s">
        <v>414</v>
      </c>
      <c r="C289" s="120">
        <v>6967</v>
      </c>
      <c r="D289" s="120">
        <v>0</v>
      </c>
      <c r="E289" s="120">
        <v>0</v>
      </c>
      <c r="F289" s="120">
        <v>0</v>
      </c>
      <c r="G289" s="123">
        <v>0</v>
      </c>
      <c r="H289" s="123">
        <v>1366</v>
      </c>
      <c r="I289" s="123">
        <v>86</v>
      </c>
      <c r="J289" s="125">
        <v>0</v>
      </c>
      <c r="K289" s="125">
        <v>0</v>
      </c>
      <c r="L289" s="125">
        <v>0</v>
      </c>
      <c r="M289" s="127">
        <v>0</v>
      </c>
      <c r="N289" s="127">
        <v>0</v>
      </c>
      <c r="O289" s="127">
        <v>0</v>
      </c>
      <c r="P289" s="129">
        <v>0</v>
      </c>
      <c r="Q289" s="129">
        <v>0</v>
      </c>
      <c r="R289" s="129">
        <v>0</v>
      </c>
      <c r="S289" s="125">
        <v>20362</v>
      </c>
      <c r="T289" s="125">
        <v>391</v>
      </c>
      <c r="U289" s="125">
        <v>0</v>
      </c>
      <c r="V289" s="136">
        <v>54</v>
      </c>
      <c r="W289" s="136">
        <v>10798</v>
      </c>
      <c r="X289" s="136">
        <v>233</v>
      </c>
      <c r="Y289" s="137">
        <v>0</v>
      </c>
      <c r="Z289" s="137">
        <v>9</v>
      </c>
      <c r="AA289" s="137">
        <v>4</v>
      </c>
      <c r="AB289" s="141">
        <v>0</v>
      </c>
      <c r="AC289" s="141">
        <v>0</v>
      </c>
      <c r="AD289" s="141">
        <v>0</v>
      </c>
    </row>
    <row r="290" spans="1:30" ht="14.25">
      <c r="A290">
        <v>921</v>
      </c>
      <c r="B290" s="121" t="s">
        <v>415</v>
      </c>
      <c r="C290" s="120">
        <v>3446</v>
      </c>
      <c r="D290" s="120">
        <v>0</v>
      </c>
      <c r="E290" s="120">
        <v>0</v>
      </c>
      <c r="F290" s="120">
        <v>821</v>
      </c>
      <c r="G290" s="123">
        <v>50</v>
      </c>
      <c r="H290" s="123">
        <v>1008</v>
      </c>
      <c r="I290" s="123">
        <v>0</v>
      </c>
      <c r="J290" s="125">
        <v>0</v>
      </c>
      <c r="K290" s="125">
        <v>0</v>
      </c>
      <c r="L290" s="125">
        <v>0</v>
      </c>
      <c r="M290" s="127">
        <v>0</v>
      </c>
      <c r="N290" s="127">
        <v>0</v>
      </c>
      <c r="O290" s="127">
        <v>0</v>
      </c>
      <c r="P290" s="129">
        <v>0</v>
      </c>
      <c r="Q290" s="129">
        <v>96</v>
      </c>
      <c r="R290" s="129">
        <v>0</v>
      </c>
      <c r="S290" s="125">
        <v>19366</v>
      </c>
      <c r="T290" s="125">
        <v>596</v>
      </c>
      <c r="U290" s="125">
        <v>810</v>
      </c>
      <c r="V290" s="136">
        <v>187</v>
      </c>
      <c r="W290" s="136">
        <v>12154</v>
      </c>
      <c r="X290" s="136">
        <v>230</v>
      </c>
      <c r="Y290" s="137">
        <v>1</v>
      </c>
      <c r="Z290" s="137">
        <v>16</v>
      </c>
      <c r="AA290" s="137">
        <v>0</v>
      </c>
      <c r="AB290" s="141">
        <v>24</v>
      </c>
      <c r="AC290" s="141">
        <v>259</v>
      </c>
      <c r="AD290" s="141">
        <v>0</v>
      </c>
    </row>
    <row r="291" spans="1:30" ht="14.25">
      <c r="A291">
        <v>922</v>
      </c>
      <c r="B291" s="121" t="s">
        <v>416</v>
      </c>
      <c r="C291" s="120">
        <v>6078</v>
      </c>
      <c r="D291" s="120">
        <v>0</v>
      </c>
      <c r="E291" s="120">
        <v>0</v>
      </c>
      <c r="F291" s="120">
        <v>421</v>
      </c>
      <c r="G291" s="123">
        <v>47</v>
      </c>
      <c r="H291" s="123">
        <v>175</v>
      </c>
      <c r="I291" s="123">
        <v>0</v>
      </c>
      <c r="J291" s="125">
        <v>0</v>
      </c>
      <c r="K291" s="125">
        <v>0</v>
      </c>
      <c r="L291" s="125">
        <v>0</v>
      </c>
      <c r="M291" s="127">
        <v>0</v>
      </c>
      <c r="N291" s="127">
        <v>0</v>
      </c>
      <c r="O291" s="127">
        <v>0</v>
      </c>
      <c r="P291" s="129">
        <v>0</v>
      </c>
      <c r="Q291" s="129">
        <v>0</v>
      </c>
      <c r="R291" s="129">
        <v>0</v>
      </c>
      <c r="S291" s="125">
        <v>29585</v>
      </c>
      <c r="T291" s="125">
        <v>1823</v>
      </c>
      <c r="U291" s="125">
        <v>418</v>
      </c>
      <c r="V291" s="136">
        <v>204</v>
      </c>
      <c r="W291" s="136">
        <v>13829</v>
      </c>
      <c r="X291" s="136">
        <v>307</v>
      </c>
      <c r="Y291" s="137">
        <v>0</v>
      </c>
      <c r="Z291" s="137">
        <v>12</v>
      </c>
      <c r="AA291" s="137">
        <v>0</v>
      </c>
      <c r="AB291" s="141">
        <v>3</v>
      </c>
      <c r="AC291" s="141">
        <v>150</v>
      </c>
      <c r="AD291" s="141">
        <v>3</v>
      </c>
    </row>
    <row r="292" spans="1:30" ht="14.25">
      <c r="A292">
        <v>924</v>
      </c>
      <c r="B292" s="121" t="s">
        <v>417</v>
      </c>
      <c r="C292" s="120">
        <v>8226</v>
      </c>
      <c r="D292" s="120">
        <v>0</v>
      </c>
      <c r="E292" s="120">
        <v>0</v>
      </c>
      <c r="F292" s="120">
        <v>457</v>
      </c>
      <c r="G292" s="123">
        <v>0</v>
      </c>
      <c r="H292" s="123">
        <v>0</v>
      </c>
      <c r="I292" s="123">
        <v>0</v>
      </c>
      <c r="J292" s="125">
        <v>0</v>
      </c>
      <c r="K292" s="125">
        <v>0</v>
      </c>
      <c r="L292" s="125">
        <v>0</v>
      </c>
      <c r="M292" s="127">
        <v>0</v>
      </c>
      <c r="N292" s="127">
        <v>0</v>
      </c>
      <c r="O292" s="127">
        <v>0</v>
      </c>
      <c r="P292" s="129">
        <v>0</v>
      </c>
      <c r="Q292" s="129">
        <v>0</v>
      </c>
      <c r="R292" s="129">
        <v>0</v>
      </c>
      <c r="S292" s="125">
        <v>24358</v>
      </c>
      <c r="T292" s="125">
        <v>1621</v>
      </c>
      <c r="U292" s="125">
        <v>461</v>
      </c>
      <c r="V292" s="136">
        <v>101</v>
      </c>
      <c r="W292" s="136">
        <v>12557</v>
      </c>
      <c r="X292" s="136">
        <v>274</v>
      </c>
      <c r="Y292" s="137">
        <v>0</v>
      </c>
      <c r="Z292" s="137">
        <v>0</v>
      </c>
      <c r="AA292" s="137">
        <v>8</v>
      </c>
      <c r="AB292" s="141">
        <v>0</v>
      </c>
      <c r="AC292" s="141">
        <v>0</v>
      </c>
      <c r="AD292" s="141">
        <v>13</v>
      </c>
    </row>
    <row r="293" spans="1:30" ht="14.25">
      <c r="A293">
        <v>925</v>
      </c>
      <c r="B293" s="121" t="s">
        <v>418</v>
      </c>
      <c r="C293" s="120">
        <v>3667</v>
      </c>
      <c r="D293" s="120">
        <v>0</v>
      </c>
      <c r="E293" s="120">
        <v>0</v>
      </c>
      <c r="F293" s="120">
        <v>383</v>
      </c>
      <c r="G293" s="123">
        <v>23</v>
      </c>
      <c r="H293" s="123">
        <v>73</v>
      </c>
      <c r="I293" s="123">
        <v>0</v>
      </c>
      <c r="J293" s="125">
        <v>0</v>
      </c>
      <c r="K293" s="125">
        <v>0</v>
      </c>
      <c r="L293" s="125">
        <v>0</v>
      </c>
      <c r="M293" s="127">
        <v>0</v>
      </c>
      <c r="N293" s="127">
        <v>0</v>
      </c>
      <c r="O293" s="127">
        <v>0</v>
      </c>
      <c r="P293" s="129">
        <v>0</v>
      </c>
      <c r="Q293" s="129">
        <v>0</v>
      </c>
      <c r="R293" s="129">
        <v>0</v>
      </c>
      <c r="S293" s="125">
        <v>25833</v>
      </c>
      <c r="T293" s="125">
        <v>704</v>
      </c>
      <c r="U293" s="125">
        <v>383</v>
      </c>
      <c r="V293" s="136">
        <v>108</v>
      </c>
      <c r="W293" s="136">
        <v>14239</v>
      </c>
      <c r="X293" s="136">
        <v>353</v>
      </c>
      <c r="Y293" s="137">
        <v>0</v>
      </c>
      <c r="Z293" s="137">
        <v>0</v>
      </c>
      <c r="AA293" s="137">
        <v>0</v>
      </c>
      <c r="AB293" s="141">
        <v>2</v>
      </c>
      <c r="AC293" s="141">
        <v>3</v>
      </c>
      <c r="AD293" s="141">
        <v>0</v>
      </c>
    </row>
    <row r="294" spans="1:30" ht="14.25">
      <c r="A294">
        <v>927</v>
      </c>
      <c r="B294" s="121" t="s">
        <v>419</v>
      </c>
      <c r="C294" s="120">
        <v>43593</v>
      </c>
      <c r="D294" s="120">
        <v>0</v>
      </c>
      <c r="E294" s="120">
        <v>205</v>
      </c>
      <c r="F294" s="120">
        <v>3048</v>
      </c>
      <c r="G294" s="123">
        <v>59</v>
      </c>
      <c r="H294" s="123">
        <v>1870</v>
      </c>
      <c r="I294" s="123">
        <v>0</v>
      </c>
      <c r="J294" s="125">
        <v>0</v>
      </c>
      <c r="K294" s="125">
        <v>0</v>
      </c>
      <c r="L294" s="125">
        <v>0</v>
      </c>
      <c r="M294" s="127">
        <v>0</v>
      </c>
      <c r="N294" s="127">
        <v>0</v>
      </c>
      <c r="O294" s="127">
        <v>0</v>
      </c>
      <c r="P294" s="129">
        <v>0</v>
      </c>
      <c r="Q294" s="129">
        <v>0</v>
      </c>
      <c r="R294" s="129">
        <v>0</v>
      </c>
      <c r="S294" s="125">
        <v>178135</v>
      </c>
      <c r="T294" s="125">
        <v>9348</v>
      </c>
      <c r="U294" s="125">
        <v>3046</v>
      </c>
      <c r="V294" s="136">
        <v>2340</v>
      </c>
      <c r="W294" s="136">
        <v>84008</v>
      </c>
      <c r="X294" s="136">
        <v>1865</v>
      </c>
      <c r="Y294" s="137">
        <v>0</v>
      </c>
      <c r="Z294" s="137">
        <v>0</v>
      </c>
      <c r="AA294" s="137">
        <v>0</v>
      </c>
      <c r="AB294" s="141">
        <v>6</v>
      </c>
      <c r="AC294" s="141">
        <v>6</v>
      </c>
      <c r="AD294" s="141">
        <v>0</v>
      </c>
    </row>
    <row r="295" spans="1:30" ht="14.25">
      <c r="A295">
        <v>931</v>
      </c>
      <c r="B295" s="121" t="s">
        <v>420</v>
      </c>
      <c r="C295" s="120">
        <v>33784</v>
      </c>
      <c r="D295" s="120">
        <v>0</v>
      </c>
      <c r="E295" s="120">
        <v>0</v>
      </c>
      <c r="F295" s="120">
        <v>0</v>
      </c>
      <c r="G295" s="123">
        <v>21</v>
      </c>
      <c r="H295" s="123">
        <v>24946</v>
      </c>
      <c r="I295" s="123">
        <v>0</v>
      </c>
      <c r="J295" s="125">
        <v>0</v>
      </c>
      <c r="K295" s="125">
        <v>0</v>
      </c>
      <c r="L295" s="125">
        <v>0</v>
      </c>
      <c r="M295" s="127">
        <v>0</v>
      </c>
      <c r="N295" s="127">
        <v>0</v>
      </c>
      <c r="O295" s="127">
        <v>0</v>
      </c>
      <c r="P295" s="129">
        <v>0</v>
      </c>
      <c r="Q295" s="129">
        <v>0</v>
      </c>
      <c r="R295" s="129">
        <v>0</v>
      </c>
      <c r="S295" s="125">
        <v>74303</v>
      </c>
      <c r="T295" s="125">
        <v>2555</v>
      </c>
      <c r="U295" s="125">
        <v>0</v>
      </c>
      <c r="V295" s="136">
        <v>11</v>
      </c>
      <c r="W295" s="136">
        <v>53427</v>
      </c>
      <c r="X295" s="136">
        <v>548</v>
      </c>
      <c r="Y295" s="137">
        <v>0</v>
      </c>
      <c r="Z295" s="137">
        <v>92</v>
      </c>
      <c r="AA295" s="137">
        <v>0</v>
      </c>
      <c r="AB295" s="141">
        <v>0</v>
      </c>
      <c r="AC295" s="141">
        <v>0</v>
      </c>
      <c r="AD295" s="141">
        <v>0</v>
      </c>
    </row>
    <row r="296" spans="1:30" ht="14.25">
      <c r="A296">
        <v>934</v>
      </c>
      <c r="B296" s="121" t="s">
        <v>421</v>
      </c>
      <c r="C296" s="120">
        <v>2376</v>
      </c>
      <c r="D296" s="120">
        <v>0</v>
      </c>
      <c r="E296" s="120">
        <v>0</v>
      </c>
      <c r="F296" s="120">
        <v>0</v>
      </c>
      <c r="G296" s="123">
        <v>0</v>
      </c>
      <c r="H296" s="123">
        <v>0</v>
      </c>
      <c r="I296" s="123">
        <v>0</v>
      </c>
      <c r="J296" s="125">
        <v>0</v>
      </c>
      <c r="K296" s="125">
        <v>0</v>
      </c>
      <c r="L296" s="125">
        <v>0</v>
      </c>
      <c r="M296" s="127">
        <v>0</v>
      </c>
      <c r="N296" s="127">
        <v>0</v>
      </c>
      <c r="O296" s="127">
        <v>0</v>
      </c>
      <c r="P296" s="129">
        <v>0</v>
      </c>
      <c r="Q296" s="129">
        <v>0</v>
      </c>
      <c r="R296" s="129">
        <v>0</v>
      </c>
      <c r="S296" s="125">
        <v>18677</v>
      </c>
      <c r="T296" s="125">
        <v>818</v>
      </c>
      <c r="U296" s="125">
        <v>0</v>
      </c>
      <c r="V296" s="136">
        <v>127</v>
      </c>
      <c r="W296" s="136">
        <v>10999</v>
      </c>
      <c r="X296" s="136">
        <v>263</v>
      </c>
      <c r="Y296" s="137">
        <v>0</v>
      </c>
      <c r="Z296" s="137">
        <v>0</v>
      </c>
      <c r="AA296" s="137">
        <v>0</v>
      </c>
      <c r="AB296" s="141">
        <v>0</v>
      </c>
      <c r="AC296" s="141">
        <v>0</v>
      </c>
      <c r="AD296" s="141">
        <v>0</v>
      </c>
    </row>
    <row r="297" spans="1:30" ht="14.25">
      <c r="A297">
        <v>935</v>
      </c>
      <c r="B297" s="121" t="s">
        <v>422</v>
      </c>
      <c r="C297" s="120">
        <v>10188</v>
      </c>
      <c r="D297" s="120">
        <v>0</v>
      </c>
      <c r="E297" s="120">
        <v>0</v>
      </c>
      <c r="F297" s="120">
        <v>0</v>
      </c>
      <c r="G297" s="123">
        <v>0</v>
      </c>
      <c r="H297" s="123">
        <v>3</v>
      </c>
      <c r="I297" s="123">
        <v>0</v>
      </c>
      <c r="J297" s="125">
        <v>0</v>
      </c>
      <c r="K297" s="125">
        <v>0</v>
      </c>
      <c r="L297" s="125">
        <v>0</v>
      </c>
      <c r="M297" s="127">
        <v>0</v>
      </c>
      <c r="N297" s="127">
        <v>0</v>
      </c>
      <c r="O297" s="127">
        <v>0</v>
      </c>
      <c r="P297" s="129">
        <v>0</v>
      </c>
      <c r="Q297" s="129">
        <v>0</v>
      </c>
      <c r="R297" s="129">
        <v>0</v>
      </c>
      <c r="S297" s="125">
        <v>28583</v>
      </c>
      <c r="T297" s="125">
        <v>1098</v>
      </c>
      <c r="U297" s="125">
        <v>0</v>
      </c>
      <c r="V297" s="136">
        <v>199</v>
      </c>
      <c r="W297" s="136">
        <v>10729</v>
      </c>
      <c r="X297" s="136">
        <v>358</v>
      </c>
      <c r="Y297" s="137">
        <v>0</v>
      </c>
      <c r="Z297" s="137">
        <v>45</v>
      </c>
      <c r="AA297" s="137">
        <v>0</v>
      </c>
      <c r="AB297" s="141">
        <v>0</v>
      </c>
      <c r="AC297" s="141">
        <v>0</v>
      </c>
      <c r="AD297" s="141">
        <v>0</v>
      </c>
    </row>
    <row r="298" spans="1:30" ht="14.25">
      <c r="A298">
        <v>936</v>
      </c>
      <c r="B298" s="121" t="s">
        <v>423</v>
      </c>
      <c r="C298" s="120">
        <v>40747</v>
      </c>
      <c r="D298" s="120">
        <v>86</v>
      </c>
      <c r="E298" s="120">
        <v>0</v>
      </c>
      <c r="F298" s="120">
        <v>1806</v>
      </c>
      <c r="G298" s="123">
        <v>118</v>
      </c>
      <c r="H298" s="123">
        <v>27034</v>
      </c>
      <c r="I298" s="123">
        <v>0</v>
      </c>
      <c r="J298" s="125">
        <v>0</v>
      </c>
      <c r="K298" s="125">
        <v>0</v>
      </c>
      <c r="L298" s="125">
        <v>0</v>
      </c>
      <c r="M298" s="127">
        <v>0</v>
      </c>
      <c r="N298" s="127">
        <v>0</v>
      </c>
      <c r="O298" s="127">
        <v>0</v>
      </c>
      <c r="P298" s="129">
        <v>0</v>
      </c>
      <c r="Q298" s="129">
        <v>8</v>
      </c>
      <c r="R298" s="129">
        <v>0</v>
      </c>
      <c r="S298" s="125">
        <v>79428</v>
      </c>
      <c r="T298" s="125">
        <v>3154</v>
      </c>
      <c r="U298" s="125">
        <v>1806</v>
      </c>
      <c r="V298" s="136">
        <v>75</v>
      </c>
      <c r="W298" s="136">
        <v>50969</v>
      </c>
      <c r="X298" s="136">
        <v>526</v>
      </c>
      <c r="Y298" s="137">
        <v>0</v>
      </c>
      <c r="Z298" s="137">
        <v>38</v>
      </c>
      <c r="AA298" s="137">
        <v>9</v>
      </c>
      <c r="AB298" s="141">
        <v>4</v>
      </c>
      <c r="AC298" s="141">
        <v>1435</v>
      </c>
      <c r="AD298" s="141">
        <v>11</v>
      </c>
    </row>
    <row r="299" spans="1:30" ht="14.25">
      <c r="A299">
        <v>946</v>
      </c>
      <c r="B299" s="121" t="s">
        <v>137</v>
      </c>
      <c r="C299" s="120">
        <v>21371</v>
      </c>
      <c r="D299" s="120">
        <v>0</v>
      </c>
      <c r="E299" s="120">
        <v>0</v>
      </c>
      <c r="F299" s="120">
        <v>0</v>
      </c>
      <c r="G299" s="123">
        <v>4</v>
      </c>
      <c r="H299" s="123">
        <v>11210</v>
      </c>
      <c r="I299" s="123">
        <v>27</v>
      </c>
      <c r="J299" s="125">
        <v>0</v>
      </c>
      <c r="K299" s="125">
        <v>0</v>
      </c>
      <c r="L299" s="125">
        <v>0</v>
      </c>
      <c r="M299" s="127">
        <v>0</v>
      </c>
      <c r="N299" s="127">
        <v>0</v>
      </c>
      <c r="O299" s="127">
        <v>0</v>
      </c>
      <c r="P299" s="129">
        <v>0</v>
      </c>
      <c r="Q299" s="129">
        <v>0</v>
      </c>
      <c r="R299" s="129">
        <v>0</v>
      </c>
      <c r="S299" s="125">
        <v>60610</v>
      </c>
      <c r="T299" s="125">
        <v>1485</v>
      </c>
      <c r="U299" s="125">
        <v>0</v>
      </c>
      <c r="V299" s="136">
        <v>534</v>
      </c>
      <c r="W299" s="136">
        <v>34698</v>
      </c>
      <c r="X299" s="136">
        <v>470</v>
      </c>
      <c r="Y299" s="137">
        <v>0</v>
      </c>
      <c r="Z299" s="137">
        <v>181</v>
      </c>
      <c r="AA299" s="137">
        <v>0</v>
      </c>
      <c r="AB299" s="141">
        <v>0</v>
      </c>
      <c r="AC299" s="141">
        <v>0</v>
      </c>
      <c r="AD299" s="141">
        <v>0</v>
      </c>
    </row>
    <row r="300" spans="1:30" ht="14.25">
      <c r="A300">
        <v>976</v>
      </c>
      <c r="B300" s="121" t="s">
        <v>424</v>
      </c>
      <c r="C300" s="120">
        <v>12981</v>
      </c>
      <c r="D300" s="120">
        <v>0</v>
      </c>
      <c r="E300" s="120">
        <v>0</v>
      </c>
      <c r="F300" s="120">
        <v>0</v>
      </c>
      <c r="G300" s="123">
        <v>2</v>
      </c>
      <c r="H300" s="123">
        <v>2552</v>
      </c>
      <c r="I300" s="123">
        <v>77</v>
      </c>
      <c r="J300" s="125">
        <v>0</v>
      </c>
      <c r="K300" s="125">
        <v>0</v>
      </c>
      <c r="L300" s="125">
        <v>0</v>
      </c>
      <c r="M300" s="127">
        <v>0</v>
      </c>
      <c r="N300" s="127">
        <v>0</v>
      </c>
      <c r="O300" s="127">
        <v>0</v>
      </c>
      <c r="P300" s="129">
        <v>0</v>
      </c>
      <c r="Q300" s="129">
        <v>0</v>
      </c>
      <c r="R300" s="129">
        <v>0</v>
      </c>
      <c r="S300" s="125">
        <v>42837</v>
      </c>
      <c r="T300" s="125">
        <v>1564</v>
      </c>
      <c r="U300" s="125">
        <v>0</v>
      </c>
      <c r="V300" s="136">
        <v>65</v>
      </c>
      <c r="W300" s="136">
        <v>23464</v>
      </c>
      <c r="X300" s="136">
        <v>489</v>
      </c>
      <c r="Y300" s="137">
        <v>0</v>
      </c>
      <c r="Z300" s="137">
        <v>116</v>
      </c>
      <c r="AA300" s="137">
        <v>0</v>
      </c>
      <c r="AB300" s="141">
        <v>0</v>
      </c>
      <c r="AC300" s="141">
        <v>0</v>
      </c>
      <c r="AD300" s="141">
        <v>0</v>
      </c>
    </row>
    <row r="301" spans="1:30" ht="14.25">
      <c r="A301">
        <v>977</v>
      </c>
      <c r="B301" s="121" t="s">
        <v>425</v>
      </c>
      <c r="C301" s="120">
        <v>38804</v>
      </c>
      <c r="D301" s="120">
        <v>0</v>
      </c>
      <c r="E301" s="120">
        <v>0</v>
      </c>
      <c r="F301" s="120">
        <v>0</v>
      </c>
      <c r="G301" s="123">
        <v>20</v>
      </c>
      <c r="H301" s="123">
        <v>20</v>
      </c>
      <c r="I301" s="123">
        <v>22410</v>
      </c>
      <c r="J301" s="125">
        <v>0</v>
      </c>
      <c r="K301" s="125">
        <v>0</v>
      </c>
      <c r="L301" s="125">
        <v>0</v>
      </c>
      <c r="M301" s="127">
        <v>0</v>
      </c>
      <c r="N301" s="127">
        <v>0</v>
      </c>
      <c r="O301" s="127">
        <v>0</v>
      </c>
      <c r="P301" s="129">
        <v>0</v>
      </c>
      <c r="Q301" s="129">
        <v>0</v>
      </c>
      <c r="R301" s="129">
        <v>0</v>
      </c>
      <c r="S301" s="125">
        <v>119952</v>
      </c>
      <c r="T301" s="125">
        <v>4064</v>
      </c>
      <c r="U301" s="125">
        <v>0</v>
      </c>
      <c r="V301" s="136">
        <v>1504</v>
      </c>
      <c r="W301" s="136">
        <v>47851</v>
      </c>
      <c r="X301" s="136">
        <v>23210</v>
      </c>
      <c r="Y301" s="137">
        <v>0</v>
      </c>
      <c r="Z301" s="137">
        <v>0</v>
      </c>
      <c r="AA301" s="137">
        <v>553</v>
      </c>
      <c r="AB301" s="141">
        <v>0</v>
      </c>
      <c r="AC301" s="141">
        <v>0</v>
      </c>
      <c r="AD301" s="141">
        <v>0</v>
      </c>
    </row>
    <row r="302" spans="1:30" ht="14.25">
      <c r="A302">
        <v>980</v>
      </c>
      <c r="B302" s="121" t="s">
        <v>426</v>
      </c>
      <c r="C302" s="120">
        <v>64426</v>
      </c>
      <c r="D302" s="120">
        <v>0</v>
      </c>
      <c r="E302" s="120">
        <v>3497</v>
      </c>
      <c r="F302" s="120">
        <v>3089</v>
      </c>
      <c r="G302" s="123">
        <v>970</v>
      </c>
      <c r="H302" s="123">
        <v>16074</v>
      </c>
      <c r="I302" s="123">
        <v>0</v>
      </c>
      <c r="J302" s="125">
        <v>0</v>
      </c>
      <c r="K302" s="125">
        <v>0</v>
      </c>
      <c r="L302" s="125">
        <v>0</v>
      </c>
      <c r="M302" s="127">
        <v>0</v>
      </c>
      <c r="N302" s="127">
        <v>0</v>
      </c>
      <c r="O302" s="127">
        <v>0</v>
      </c>
      <c r="P302" s="129">
        <v>0</v>
      </c>
      <c r="Q302" s="129">
        <v>0</v>
      </c>
      <c r="R302" s="129">
        <v>0</v>
      </c>
      <c r="S302" s="125">
        <v>214192</v>
      </c>
      <c r="T302" s="125">
        <v>12388</v>
      </c>
      <c r="U302" s="125">
        <v>3077</v>
      </c>
      <c r="V302" s="136">
        <v>3818</v>
      </c>
      <c r="W302" s="136">
        <v>100840</v>
      </c>
      <c r="X302" s="136">
        <v>2199</v>
      </c>
      <c r="Y302" s="137">
        <v>0</v>
      </c>
      <c r="Z302" s="137">
        <v>389</v>
      </c>
      <c r="AA302" s="137">
        <v>0</v>
      </c>
      <c r="AB302" s="141">
        <v>27</v>
      </c>
      <c r="AC302" s="141">
        <v>928</v>
      </c>
      <c r="AD302" s="141">
        <v>0</v>
      </c>
    </row>
    <row r="303" spans="1:30" ht="14.25">
      <c r="A303">
        <v>981</v>
      </c>
      <c r="B303" s="121" t="s">
        <v>427</v>
      </c>
      <c r="C303" s="120">
        <v>7066</v>
      </c>
      <c r="D303" s="120">
        <v>0</v>
      </c>
      <c r="E303" s="120">
        <v>0</v>
      </c>
      <c r="F303" s="120">
        <v>0</v>
      </c>
      <c r="G303" s="123">
        <v>0</v>
      </c>
      <c r="H303" s="123">
        <v>0</v>
      </c>
      <c r="I303" s="123">
        <v>0</v>
      </c>
      <c r="J303" s="125">
        <v>0</v>
      </c>
      <c r="K303" s="125">
        <v>0</v>
      </c>
      <c r="L303" s="125">
        <v>0</v>
      </c>
      <c r="M303" s="127">
        <v>0</v>
      </c>
      <c r="N303" s="127">
        <v>0</v>
      </c>
      <c r="O303" s="127">
        <v>0</v>
      </c>
      <c r="P303" s="129">
        <v>0</v>
      </c>
      <c r="Q303" s="129">
        <v>0</v>
      </c>
      <c r="R303" s="129">
        <v>0</v>
      </c>
      <c r="S303" s="125">
        <v>19114</v>
      </c>
      <c r="T303" s="125">
        <v>633</v>
      </c>
      <c r="U303" s="125">
        <v>0</v>
      </c>
      <c r="V303" s="136">
        <v>2</v>
      </c>
      <c r="W303" s="136">
        <v>7280</v>
      </c>
      <c r="X303" s="136">
        <v>130</v>
      </c>
      <c r="Y303" s="137">
        <v>0</v>
      </c>
      <c r="Z303" s="137">
        <v>0</v>
      </c>
      <c r="AA303" s="137">
        <v>4</v>
      </c>
      <c r="AB303" s="141">
        <v>0</v>
      </c>
      <c r="AC303" s="141">
        <v>0</v>
      </c>
      <c r="AD303" s="141">
        <v>0</v>
      </c>
    </row>
    <row r="304" spans="1:30" ht="14.25">
      <c r="A304">
        <v>989</v>
      </c>
      <c r="B304" s="121" t="s">
        <v>428</v>
      </c>
      <c r="C304" s="120">
        <v>7250</v>
      </c>
      <c r="D304" s="120">
        <v>0</v>
      </c>
      <c r="E304" s="120">
        <v>0</v>
      </c>
      <c r="F304" s="120">
        <v>0</v>
      </c>
      <c r="G304" s="123">
        <v>79</v>
      </c>
      <c r="H304" s="123">
        <v>2893</v>
      </c>
      <c r="I304" s="123">
        <v>0</v>
      </c>
      <c r="J304" s="125">
        <v>0</v>
      </c>
      <c r="K304" s="125">
        <v>0</v>
      </c>
      <c r="L304" s="125">
        <v>0</v>
      </c>
      <c r="M304" s="127">
        <v>0</v>
      </c>
      <c r="N304" s="127">
        <v>0</v>
      </c>
      <c r="O304" s="127">
        <v>0</v>
      </c>
      <c r="P304" s="129">
        <v>0</v>
      </c>
      <c r="Q304" s="129">
        <v>0</v>
      </c>
      <c r="R304" s="129">
        <v>0</v>
      </c>
      <c r="S304" s="125">
        <v>44883</v>
      </c>
      <c r="T304" s="125">
        <v>973</v>
      </c>
      <c r="U304" s="125">
        <v>0</v>
      </c>
      <c r="V304" s="136">
        <v>499</v>
      </c>
      <c r="W304" s="136">
        <v>28162</v>
      </c>
      <c r="X304" s="136">
        <v>524</v>
      </c>
      <c r="Y304" s="137">
        <v>0</v>
      </c>
      <c r="Z304" s="137">
        <v>30</v>
      </c>
      <c r="AA304" s="137">
        <v>0</v>
      </c>
      <c r="AB304" s="141">
        <v>0</v>
      </c>
      <c r="AC304" s="141">
        <v>0</v>
      </c>
      <c r="AD304" s="141">
        <v>0</v>
      </c>
    </row>
    <row r="305" spans="1:30" ht="14.25">
      <c r="A305">
        <v>992</v>
      </c>
      <c r="B305" s="121" t="s">
        <v>429</v>
      </c>
      <c r="C305" s="120">
        <v>25552</v>
      </c>
      <c r="D305" s="120">
        <v>0</v>
      </c>
      <c r="E305" s="120">
        <v>35</v>
      </c>
      <c r="F305" s="120">
        <v>17676</v>
      </c>
      <c r="G305" s="123">
        <v>0</v>
      </c>
      <c r="H305" s="123">
        <v>10609</v>
      </c>
      <c r="I305" s="123">
        <v>0</v>
      </c>
      <c r="J305" s="125">
        <v>0</v>
      </c>
      <c r="K305" s="125">
        <v>0</v>
      </c>
      <c r="L305" s="125">
        <v>0</v>
      </c>
      <c r="M305" s="127">
        <v>0</v>
      </c>
      <c r="N305" s="127">
        <v>0</v>
      </c>
      <c r="O305" s="127">
        <v>0</v>
      </c>
      <c r="P305" s="129">
        <v>0</v>
      </c>
      <c r="Q305" s="129">
        <v>2590</v>
      </c>
      <c r="R305" s="129">
        <v>0</v>
      </c>
      <c r="S305" s="125">
        <v>133291</v>
      </c>
      <c r="T305" s="125">
        <v>6765</v>
      </c>
      <c r="U305" s="125">
        <v>17676</v>
      </c>
      <c r="V305" s="136">
        <v>0</v>
      </c>
      <c r="W305" s="136">
        <v>75154</v>
      </c>
      <c r="X305" s="136">
        <v>2297</v>
      </c>
      <c r="Y305" s="137">
        <v>0</v>
      </c>
      <c r="Z305" s="137">
        <v>182</v>
      </c>
      <c r="AA305" s="137">
        <v>0</v>
      </c>
      <c r="AB305" s="141">
        <v>0</v>
      </c>
      <c r="AC305" s="141">
        <v>7245</v>
      </c>
      <c r="AD305" s="141">
        <v>260</v>
      </c>
    </row>
    <row r="307" spans="2:30" ht="14.25">
      <c r="B307" s="120"/>
      <c r="C307" s="120"/>
      <c r="D307" s="120"/>
      <c r="E307" s="120"/>
      <c r="F307" s="120"/>
      <c r="G307" s="123"/>
      <c r="H307" s="123"/>
      <c r="I307" s="123"/>
      <c r="M307" s="127"/>
      <c r="N307" s="127"/>
      <c r="O307" s="127"/>
      <c r="P307" s="129"/>
      <c r="Q307" s="129"/>
      <c r="R307" s="129"/>
      <c r="V307" s="136"/>
      <c r="W307" s="136"/>
      <c r="X307" s="136"/>
      <c r="Y307" s="137"/>
      <c r="Z307" s="137"/>
      <c r="AA307" s="137"/>
      <c r="AB307" s="141"/>
      <c r="AC307" s="141"/>
      <c r="AD307" s="141"/>
    </row>
    <row r="309" spans="2:30" ht="14.25">
      <c r="B309" s="120" t="s">
        <v>528</v>
      </c>
      <c r="C309" s="120"/>
      <c r="D309" s="120"/>
      <c r="E309" s="120"/>
      <c r="F309" s="120"/>
      <c r="G309" s="123"/>
      <c r="H309" s="123"/>
      <c r="I309" s="123"/>
      <c r="M309" s="127"/>
      <c r="N309" s="127"/>
      <c r="O309" s="127"/>
      <c r="P309" s="129"/>
      <c r="Q309" s="129"/>
      <c r="R309" s="129"/>
      <c r="V309" s="136"/>
      <c r="W309" s="136"/>
      <c r="X309" s="136"/>
      <c r="Y309" s="137"/>
      <c r="Z309" s="137"/>
      <c r="AA309" s="137"/>
      <c r="AB309" s="141"/>
      <c r="AC309" s="141"/>
      <c r="AD309" s="141"/>
    </row>
    <row r="311" spans="2:30" ht="14.25">
      <c r="B311" s="120" t="s">
        <v>529</v>
      </c>
      <c r="C311" s="120"/>
      <c r="D311" s="120"/>
      <c r="E311" s="120"/>
      <c r="F311" s="120"/>
      <c r="G311" s="123"/>
      <c r="H311" s="123"/>
      <c r="I311" s="123"/>
      <c r="M311" s="127"/>
      <c r="N311" s="127"/>
      <c r="O311" s="127"/>
      <c r="P311" s="129"/>
      <c r="Q311" s="129"/>
      <c r="R311" s="129"/>
      <c r="V311" s="136"/>
      <c r="W311" s="136"/>
      <c r="X311" s="136"/>
      <c r="Y311" s="137"/>
      <c r="Z311" s="137"/>
      <c r="AA311" s="137"/>
      <c r="AB311" s="141"/>
      <c r="AC311" s="141"/>
      <c r="AD311" s="141"/>
    </row>
    <row r="313" spans="2:30" ht="14.25">
      <c r="B313" s="120" t="s">
        <v>529</v>
      </c>
      <c r="C313" s="120"/>
      <c r="D313" s="120"/>
      <c r="E313" s="120"/>
      <c r="F313" s="120"/>
      <c r="G313" s="123"/>
      <c r="H313" s="123"/>
      <c r="I313" s="123"/>
      <c r="M313" s="127"/>
      <c r="N313" s="127"/>
      <c r="O313" s="127"/>
      <c r="P313" s="129"/>
      <c r="Q313" s="129"/>
      <c r="R313" s="129"/>
      <c r="V313" s="136"/>
      <c r="W313" s="136"/>
      <c r="X313" s="136"/>
      <c r="Y313" s="137"/>
      <c r="Z313" s="137"/>
      <c r="AA313" s="137"/>
      <c r="AB313" s="141"/>
      <c r="AC313" s="141"/>
      <c r="AD313" s="141"/>
    </row>
    <row r="314" spans="2:30" ht="14.25">
      <c r="B314" s="120" t="s">
        <v>530</v>
      </c>
      <c r="C314" s="120"/>
      <c r="D314" s="120"/>
      <c r="E314" s="120"/>
      <c r="F314" s="120"/>
      <c r="G314" s="123"/>
      <c r="H314" s="123"/>
      <c r="I314" s="123"/>
      <c r="M314" s="127"/>
      <c r="N314" s="127"/>
      <c r="O314" s="127"/>
      <c r="P314" s="129"/>
      <c r="Q314" s="129"/>
      <c r="R314" s="129"/>
      <c r="V314" s="136"/>
      <c r="W314" s="136"/>
      <c r="X314" s="136"/>
      <c r="Y314" s="137"/>
      <c r="Z314" s="137"/>
      <c r="AA314" s="137"/>
      <c r="AB314" s="141"/>
      <c r="AC314" s="141"/>
      <c r="AD314" s="141"/>
    </row>
    <row r="315" spans="2:30" ht="14.25">
      <c r="B315" s="120" t="s">
        <v>531</v>
      </c>
      <c r="C315" s="120"/>
      <c r="D315" s="120"/>
      <c r="E315" s="120"/>
      <c r="F315" s="120"/>
      <c r="G315" s="123"/>
      <c r="H315" s="123"/>
      <c r="I315" s="123"/>
      <c r="M315" s="127"/>
      <c r="N315" s="127"/>
      <c r="O315" s="127"/>
      <c r="P315" s="129"/>
      <c r="Q315" s="129"/>
      <c r="R315" s="129"/>
      <c r="V315" s="136"/>
      <c r="W315" s="136"/>
      <c r="X315" s="136"/>
      <c r="Y315" s="137"/>
      <c r="Z315" s="137"/>
      <c r="AA315" s="137"/>
      <c r="AB315" s="141"/>
      <c r="AC315" s="141"/>
      <c r="AD315" s="141"/>
    </row>
    <row r="317" spans="2:30" ht="14.25">
      <c r="B317" s="120"/>
      <c r="C317" s="120"/>
      <c r="D317" s="120"/>
      <c r="E317" s="120"/>
      <c r="F317" s="120"/>
      <c r="G317" s="123"/>
      <c r="H317" s="123"/>
      <c r="I317" s="123"/>
      <c r="M317" s="127"/>
      <c r="N317" s="127"/>
      <c r="O317" s="127"/>
      <c r="P317" s="129"/>
      <c r="Q317" s="129"/>
      <c r="R317" s="129"/>
      <c r="V317" s="136"/>
      <c r="W317" s="136"/>
      <c r="X317" s="136"/>
      <c r="Y317" s="137"/>
      <c r="Z317" s="137"/>
      <c r="AA317" s="137"/>
      <c r="AB317" s="141"/>
      <c r="AC317" s="141"/>
      <c r="AD317" s="141"/>
    </row>
    <row r="319" spans="2:30" ht="14.25">
      <c r="B319" s="120" t="s">
        <v>532</v>
      </c>
      <c r="C319" s="120"/>
      <c r="D319" s="120"/>
      <c r="E319" s="120"/>
      <c r="F319" s="120"/>
      <c r="G319" s="123"/>
      <c r="H319" s="123"/>
      <c r="I319" s="123"/>
      <c r="M319" s="127"/>
      <c r="N319" s="127"/>
      <c r="O319" s="127"/>
      <c r="P319" s="129"/>
      <c r="Q319" s="129"/>
      <c r="R319" s="129"/>
      <c r="V319" s="136"/>
      <c r="W319" s="136"/>
      <c r="X319" s="136"/>
      <c r="Y319" s="137"/>
      <c r="Z319" s="137"/>
      <c r="AA319" s="137"/>
      <c r="AB319" s="141"/>
      <c r="AC319" s="141"/>
      <c r="AD319" s="141"/>
    </row>
    <row r="328" ht="14.25">
      <c r="B328" s="120" t="s">
        <v>533</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codeName="Taul1"/>
  <dimension ref="A1:M111"/>
  <sheetViews>
    <sheetView tabSelected="1" zoomScalePageLayoutView="0" workbookViewId="0" topLeftCell="A1">
      <selection activeCell="A8" sqref="A8"/>
    </sheetView>
  </sheetViews>
  <sheetFormatPr defaultColWidth="9.140625" defaultRowHeight="12.75"/>
  <cols>
    <col min="1" max="1" width="47.8515625" style="5" customWidth="1"/>
    <col min="2" max="2" width="25.7109375" style="5" customWidth="1"/>
    <col min="3" max="3" width="19.28125" style="5" customWidth="1"/>
    <col min="4" max="4" width="19.7109375" style="5" customWidth="1"/>
    <col min="5" max="8" width="18.140625" style="5" customWidth="1"/>
    <col min="9" max="9" width="2.140625" style="5" customWidth="1"/>
    <col min="10" max="10" width="72.7109375" style="27" customWidth="1"/>
    <col min="11" max="11" width="39.00390625" style="5" customWidth="1"/>
    <col min="12" max="12" width="44.7109375" style="5" customWidth="1"/>
    <col min="13" max="13" width="14.28125" style="5" bestFit="1" customWidth="1"/>
    <col min="14" max="16384" width="9.140625" style="5" customWidth="1"/>
  </cols>
  <sheetData>
    <row r="1" spans="1:11" ht="12.75">
      <c r="A1" s="39"/>
      <c r="B1" s="40"/>
      <c r="C1" s="43"/>
      <c r="D1" s="42"/>
      <c r="E1" s="40"/>
      <c r="F1" s="40"/>
      <c r="G1" s="40"/>
      <c r="H1" s="40"/>
      <c r="I1" s="40"/>
      <c r="J1" s="41"/>
      <c r="K1" s="40"/>
    </row>
    <row r="2" spans="1:11" ht="24">
      <c r="A2" s="244" t="s">
        <v>663</v>
      </c>
      <c r="B2" s="40"/>
      <c r="C2" s="42"/>
      <c r="D2" s="42"/>
      <c r="E2" s="40"/>
      <c r="F2" s="40"/>
      <c r="G2" s="40"/>
      <c r="H2" s="40"/>
      <c r="I2" s="40"/>
      <c r="J2" s="251" t="s">
        <v>674</v>
      </c>
      <c r="K2" s="40"/>
    </row>
    <row r="3" spans="1:11" ht="24" customHeight="1">
      <c r="A3" s="106" t="s">
        <v>576</v>
      </c>
      <c r="C3" s="40"/>
      <c r="D3" s="159"/>
      <c r="E3" s="43"/>
      <c r="F3" s="43"/>
      <c r="G3" s="43"/>
      <c r="H3" s="43"/>
      <c r="I3" s="40"/>
      <c r="J3" s="391"/>
      <c r="K3" s="40"/>
    </row>
    <row r="4" spans="1:10" ht="12.75">
      <c r="A4" s="245" t="s">
        <v>688</v>
      </c>
      <c r="B4" s="246" t="s">
        <v>664</v>
      </c>
      <c r="C4" s="44"/>
      <c r="D4" s="164"/>
      <c r="E4" s="44"/>
      <c r="F4" s="44"/>
      <c r="G4" s="44"/>
      <c r="H4" s="44"/>
      <c r="I4" s="40"/>
      <c r="J4" s="69"/>
    </row>
    <row r="5" spans="1:11" ht="13.5" customHeight="1">
      <c r="A5" s="36" t="s">
        <v>430</v>
      </c>
      <c r="B5" s="247" t="s">
        <v>680</v>
      </c>
      <c r="C5" s="33"/>
      <c r="D5" s="33"/>
      <c r="E5" s="33"/>
      <c r="F5" s="33"/>
      <c r="G5" s="33"/>
      <c r="H5" s="33"/>
      <c r="I5" s="33"/>
      <c r="J5" s="232"/>
      <c r="K5" s="170"/>
    </row>
    <row r="6" spans="1:11" ht="13.5" customHeight="1">
      <c r="A6" s="36"/>
      <c r="B6" s="33"/>
      <c r="C6" s="33"/>
      <c r="D6" s="33"/>
      <c r="E6" s="33"/>
      <c r="F6" s="33"/>
      <c r="G6" s="33"/>
      <c r="H6" s="33"/>
      <c r="I6" s="33"/>
      <c r="J6" s="178"/>
      <c r="K6" s="170"/>
    </row>
    <row r="7" spans="1:11" ht="13.5" customHeight="1">
      <c r="A7" s="175" t="s">
        <v>445</v>
      </c>
      <c r="B7" s="248" t="s">
        <v>449</v>
      </c>
      <c r="C7" s="248"/>
      <c r="D7" s="248" t="s">
        <v>103</v>
      </c>
      <c r="E7" s="248" t="s">
        <v>103</v>
      </c>
      <c r="F7" s="248" t="s">
        <v>103</v>
      </c>
      <c r="G7" s="248" t="s">
        <v>103</v>
      </c>
      <c r="H7" s="248" t="s">
        <v>103</v>
      </c>
      <c r="I7" s="157"/>
      <c r="J7" s="233"/>
      <c r="K7" s="179"/>
    </row>
    <row r="8" spans="1:11" ht="13.5" customHeight="1">
      <c r="A8" s="73" t="s">
        <v>611</v>
      </c>
      <c r="B8" s="248" t="s">
        <v>104</v>
      </c>
      <c r="C8" s="248" t="s">
        <v>431</v>
      </c>
      <c r="D8" s="248" t="s">
        <v>578</v>
      </c>
      <c r="E8" s="248" t="s">
        <v>579</v>
      </c>
      <c r="F8" s="248" t="s">
        <v>660</v>
      </c>
      <c r="G8" s="248" t="s">
        <v>661</v>
      </c>
      <c r="H8" s="248" t="s">
        <v>662</v>
      </c>
      <c r="I8" s="157"/>
      <c r="J8" s="433"/>
      <c r="K8" s="448"/>
    </row>
    <row r="9" spans="1:11" ht="18.75" customHeight="1">
      <c r="A9" s="37" t="s">
        <v>678</v>
      </c>
      <c r="B9" s="249"/>
      <c r="C9" s="249"/>
      <c r="D9" s="249"/>
      <c r="E9" s="37"/>
      <c r="F9" s="250"/>
      <c r="G9" s="250"/>
      <c r="H9" s="250"/>
      <c r="I9" s="33"/>
      <c r="J9" s="433"/>
      <c r="K9" s="448"/>
    </row>
    <row r="10" spans="1:11" ht="15" customHeight="1">
      <c r="A10" s="185">
        <f>VLOOKUP(linkki,väestö,2,FALSE)</f>
        <v>5488130</v>
      </c>
      <c r="B10" s="145"/>
      <c r="C10" s="46"/>
      <c r="D10" s="33"/>
      <c r="E10" s="33"/>
      <c r="F10" s="33"/>
      <c r="G10" s="33"/>
      <c r="H10" s="33"/>
      <c r="I10" s="33"/>
      <c r="J10" s="433"/>
      <c r="K10" s="448"/>
    </row>
    <row r="11" spans="2:11" ht="12.75">
      <c r="B11" s="56" t="e">
        <f>B12/$B$12</f>
        <v>#DIV/0!</v>
      </c>
      <c r="C11" s="56" t="e">
        <f>C12/$B$12</f>
        <v>#DIV/0!</v>
      </c>
      <c r="D11" s="56" t="e">
        <f>D12/$B$12</f>
        <v>#DIV/0!</v>
      </c>
      <c r="E11" s="56"/>
      <c r="F11" s="56"/>
      <c r="G11" s="56"/>
      <c r="H11" s="56"/>
      <c r="J11" s="70"/>
      <c r="K11" s="170"/>
    </row>
    <row r="12" spans="1:11" s="7" customFormat="1" ht="12.75">
      <c r="A12" s="7" t="s">
        <v>521</v>
      </c>
      <c r="B12" s="55">
        <f>SUM(B13:B18)</f>
        <v>0</v>
      </c>
      <c r="C12" s="55">
        <f>SUM(C13:C18)</f>
        <v>0</v>
      </c>
      <c r="D12" s="55">
        <f>B12-C12</f>
        <v>0</v>
      </c>
      <c r="E12" s="55"/>
      <c r="F12" s="55"/>
      <c r="G12" s="55"/>
      <c r="H12" s="55"/>
      <c r="I12" s="5"/>
      <c r="J12" s="433"/>
      <c r="K12" s="434"/>
    </row>
    <row r="13" spans="1:11" ht="15" customHeight="1">
      <c r="A13" s="31" t="s">
        <v>433</v>
      </c>
      <c r="B13" s="146"/>
      <c r="C13" s="119"/>
      <c r="D13" s="8"/>
      <c r="E13" s="8"/>
      <c r="F13" s="8"/>
      <c r="G13" s="8"/>
      <c r="H13" s="8"/>
      <c r="J13" s="433"/>
      <c r="K13" s="434"/>
    </row>
    <row r="14" spans="1:11" ht="15" customHeight="1">
      <c r="A14" s="31" t="s">
        <v>432</v>
      </c>
      <c r="B14" s="57"/>
      <c r="C14" s="77"/>
      <c r="D14" s="176"/>
      <c r="E14" s="8"/>
      <c r="F14" s="8"/>
      <c r="G14" s="8"/>
      <c r="H14" s="8"/>
      <c r="J14" s="433"/>
      <c r="K14" s="434"/>
    </row>
    <row r="15" spans="1:11" ht="12.75">
      <c r="A15" s="31" t="s">
        <v>434</v>
      </c>
      <c r="B15" s="57"/>
      <c r="C15" s="77"/>
      <c r="D15" s="8"/>
      <c r="E15" s="8"/>
      <c r="F15" s="8"/>
      <c r="G15" s="8"/>
      <c r="H15" s="8"/>
      <c r="J15" s="433"/>
      <c r="K15" s="434"/>
    </row>
    <row r="16" spans="1:11" ht="12.75">
      <c r="A16" s="31" t="s">
        <v>435</v>
      </c>
      <c r="B16" s="57"/>
      <c r="C16" s="77"/>
      <c r="D16" s="169"/>
      <c r="E16" s="8"/>
      <c r="F16" s="8"/>
      <c r="G16" s="8"/>
      <c r="H16" s="8"/>
      <c r="J16" s="433"/>
      <c r="K16" s="434"/>
    </row>
    <row r="17" spans="1:11" ht="15" customHeight="1">
      <c r="A17" s="5" t="s">
        <v>24</v>
      </c>
      <c r="B17" s="57"/>
      <c r="C17" s="75"/>
      <c r="D17" s="8"/>
      <c r="E17" s="8"/>
      <c r="F17" s="8"/>
      <c r="G17" s="8"/>
      <c r="H17" s="8"/>
      <c r="J17" s="230"/>
      <c r="K17" s="173"/>
    </row>
    <row r="18" spans="1:11" ht="15" customHeight="1">
      <c r="A18" s="5" t="s">
        <v>9</v>
      </c>
      <c r="B18" s="58"/>
      <c r="C18" s="74"/>
      <c r="D18" s="8"/>
      <c r="E18" s="8"/>
      <c r="F18" s="8"/>
      <c r="G18" s="8"/>
      <c r="H18" s="8"/>
      <c r="J18" s="173"/>
      <c r="K18" s="173"/>
    </row>
    <row r="19" spans="2:11" ht="16.5" customHeight="1">
      <c r="B19" s="56" t="e">
        <f>B20/$B$20</f>
        <v>#DIV/0!</v>
      </c>
      <c r="C19" s="56" t="e">
        <f>C20/$B$20</f>
        <v>#DIV/0!</v>
      </c>
      <c r="D19" s="56" t="e">
        <f>D20/$B$20</f>
        <v>#DIV/0!</v>
      </c>
      <c r="E19" s="56"/>
      <c r="F19" s="56"/>
      <c r="G19" s="56"/>
      <c r="H19" s="56"/>
      <c r="J19" s="180"/>
      <c r="K19" s="180"/>
    </row>
    <row r="20" spans="1:11" s="7" customFormat="1" ht="15.75" customHeight="1">
      <c r="A20" s="7" t="s">
        <v>522</v>
      </c>
      <c r="B20" s="388">
        <f>B21+B24+B25+B26+B27</f>
        <v>0</v>
      </c>
      <c r="C20" s="388">
        <f>C21+C24+C25+C26+C27</f>
        <v>0</v>
      </c>
      <c r="D20" s="55">
        <f>B20-C20</f>
        <v>0</v>
      </c>
      <c r="E20" s="55"/>
      <c r="F20" s="55"/>
      <c r="G20" s="55"/>
      <c r="H20" s="55"/>
      <c r="I20" s="5"/>
      <c r="J20" s="446"/>
      <c r="K20" s="447"/>
    </row>
    <row r="21" spans="1:11" s="7" customFormat="1" ht="15" customHeight="1">
      <c r="A21" s="31" t="s">
        <v>541</v>
      </c>
      <c r="B21" s="57">
        <f>B22+B23</f>
        <v>0</v>
      </c>
      <c r="C21" s="57">
        <f>C22+C23</f>
        <v>0</v>
      </c>
      <c r="D21" s="45"/>
      <c r="E21" s="45"/>
      <c r="F21" s="45"/>
      <c r="G21" s="45"/>
      <c r="H21" s="45"/>
      <c r="J21" s="445"/>
      <c r="K21" s="434"/>
    </row>
    <row r="22" spans="1:11" ht="15" customHeight="1">
      <c r="A22" s="59" t="s">
        <v>436</v>
      </c>
      <c r="B22" s="57"/>
      <c r="C22" s="119"/>
      <c r="D22" s="45"/>
      <c r="E22" s="45"/>
      <c r="F22" s="45"/>
      <c r="G22" s="45"/>
      <c r="H22" s="45"/>
      <c r="J22" s="433"/>
      <c r="K22" s="434"/>
    </row>
    <row r="23" spans="1:13" ht="15" customHeight="1">
      <c r="A23" s="59" t="s">
        <v>437</v>
      </c>
      <c r="B23" s="57"/>
      <c r="C23" s="75"/>
      <c r="D23" s="45"/>
      <c r="E23" s="296"/>
      <c r="F23" s="45"/>
      <c r="G23" s="45"/>
      <c r="H23" s="45"/>
      <c r="J23" s="433"/>
      <c r="K23" s="434"/>
      <c r="M23" s="68"/>
    </row>
    <row r="24" spans="1:11" ht="12.75">
      <c r="A24" s="31" t="s">
        <v>438</v>
      </c>
      <c r="B24" s="57"/>
      <c r="C24" s="75"/>
      <c r="D24" s="45"/>
      <c r="E24" s="293"/>
      <c r="F24" s="45"/>
      <c r="G24" s="45"/>
      <c r="H24" s="45"/>
      <c r="J24" s="433"/>
      <c r="K24" s="434"/>
    </row>
    <row r="25" spans="1:11" ht="15" customHeight="1">
      <c r="A25" s="31" t="s">
        <v>439</v>
      </c>
      <c r="B25" s="57"/>
      <c r="C25" s="75"/>
      <c r="D25" s="45"/>
      <c r="E25" s="45"/>
      <c r="F25" s="45"/>
      <c r="G25" s="45"/>
      <c r="H25" s="45"/>
      <c r="J25" s="433"/>
      <c r="K25" s="434"/>
    </row>
    <row r="26" spans="1:11" ht="12.75">
      <c r="A26" s="31" t="s">
        <v>440</v>
      </c>
      <c r="B26" s="57"/>
      <c r="C26" s="75"/>
      <c r="D26" s="45"/>
      <c r="E26" s="45"/>
      <c r="F26" s="45"/>
      <c r="G26" s="45"/>
      <c r="H26" s="45"/>
      <c r="J26" s="433"/>
      <c r="K26" s="434"/>
    </row>
    <row r="27" spans="1:11" ht="12.75">
      <c r="A27" s="31" t="s">
        <v>441</v>
      </c>
      <c r="B27" s="57"/>
      <c r="C27" s="76"/>
      <c r="D27" s="45"/>
      <c r="E27" s="45"/>
      <c r="F27" s="45"/>
      <c r="G27" s="45"/>
      <c r="H27" s="45"/>
      <c r="J27" s="433"/>
      <c r="K27" s="434"/>
    </row>
    <row r="28" spans="2:11" ht="15" customHeight="1">
      <c r="B28" s="56">
        <f>B29/$B$29</f>
        <v>1</v>
      </c>
      <c r="C28" s="56">
        <f>C29/$B$29</f>
        <v>0.6302740987134876</v>
      </c>
      <c r="D28" s="56">
        <f>D29/$B$29</f>
        <v>0.3697259012865124</v>
      </c>
      <c r="E28" s="56"/>
      <c r="F28" s="56"/>
      <c r="G28" s="56"/>
      <c r="H28" s="56"/>
      <c r="J28" s="431"/>
      <c r="K28" s="432"/>
    </row>
    <row r="29" spans="1:11" s="7" customFormat="1" ht="15.75" customHeight="1">
      <c r="A29" s="104" t="s">
        <v>0</v>
      </c>
      <c r="B29" s="374">
        <f>IF(B12*B20=0,VLOOKUP(linkki,alue5,17,FALSE)*-0.001+VLOOKUP(linkki,alue5,44,FALSE),B12+B20)-B32-B35</f>
        <v>-31532790.759999998</v>
      </c>
      <c r="C29" s="374">
        <f>IF(C12*C20=0,VLOOKUP(linkki,alue5,38,FALSE)*-0.001+VLOOKUP(linkki,alue5,47,FALSE),(C12+C20))+C30-B32</f>
        <v>-19874301.276179988</v>
      </c>
      <c r="D29" s="374">
        <f>B29-C29</f>
        <v>-11658489.48382001</v>
      </c>
      <c r="E29" s="374">
        <f>IF($A$31="toimintakatteen painelaskelma: ei käytössä",D29,D29*VLOOKUP(linkki,paineprosentit,9,FALSE))</f>
        <v>-11658489.48382001</v>
      </c>
      <c r="F29" s="374">
        <f>IF(A31="toimintakatteen painelaskelma: ei käytössä",E29,E29*VLOOKUP(linkki,paineprosentit,10,FALSE))</f>
        <v>-11658489.48382001</v>
      </c>
      <c r="G29" s="374">
        <f>IF(A31="toimintakatteen painelaskelma: ei käytössä",F29,F29*VLOOKUP(linkki,paineprosentit,11,FALSE))</f>
        <v>-11658489.48382001</v>
      </c>
      <c r="H29" s="374">
        <f>IF(A31="toimintakatteen painelaskelma: ei käytössä",G29,G29*VLOOKUP(linkki,paineprosentit,12,FALSE))</f>
        <v>-11658489.48382001</v>
      </c>
      <c r="I29" s="104"/>
      <c r="J29" s="433"/>
      <c r="K29" s="434"/>
    </row>
    <row r="30" spans="1:11" s="7" customFormat="1" ht="12" customHeight="1">
      <c r="A30" s="295" t="s">
        <v>617</v>
      </c>
      <c r="B30" s="291"/>
      <c r="C30" s="383">
        <f>VLOOKUP(linkki,alue5,13,FALSE)*-0.001</f>
        <v>-70000.00000000001</v>
      </c>
      <c r="D30" s="291"/>
      <c r="E30" s="291"/>
      <c r="F30" s="291"/>
      <c r="G30" s="291"/>
      <c r="H30" s="291"/>
      <c r="I30" s="104"/>
      <c r="J30" s="276"/>
      <c r="K30" s="317"/>
    </row>
    <row r="31" spans="1:11" s="7" customFormat="1" ht="12.75" customHeight="1">
      <c r="A31" s="410" t="s">
        <v>605</v>
      </c>
      <c r="B31" s="167"/>
      <c r="C31" s="228"/>
      <c r="D31" s="167"/>
      <c r="E31" s="242">
        <f>IF($A$31="toimintakatteen painelaskelma: ei käytössä","","+"&amp;ROUND((VLOOKUP(linkki,paineprosentit,9,FALSE)-1)*100,2)&amp;"%")</f>
      </c>
      <c r="F31" s="242">
        <f>IF($A$31="toimintakatteen painelaskelma: ei käytössä","","+"&amp;ROUND((VLOOKUP(linkki,paineprosentit,10,FALSE)-1)*100,2)&amp;"%")</f>
      </c>
      <c r="G31" s="242">
        <f>IF($A$31="toimintakatteen painelaskelma: ei käytössä","","+"&amp;ROUND((VLOOKUP(linkki,paineprosentit,11,FALSE)-1)*100,2)&amp;"%")</f>
      </c>
      <c r="H31" s="242">
        <f>IF($A$31="toimintakatteen painelaskelma: ei käytössä","","+"&amp;ROUND((VLOOKUP(linkki,paineprosentit,12,FALSE)-1)*100,2)&amp;"%")</f>
      </c>
      <c r="I31" s="166"/>
      <c r="J31" s="433"/>
      <c r="K31" s="443"/>
    </row>
    <row r="32" spans="1:11" s="7" customFormat="1" ht="12.75" customHeight="1">
      <c r="A32" s="392" t="s">
        <v>665</v>
      </c>
      <c r="B32" s="425"/>
      <c r="C32" s="393" t="s">
        <v>677</v>
      </c>
      <c r="D32" s="394"/>
      <c r="E32" s="394"/>
      <c r="F32" s="395"/>
      <c r="G32" s="294"/>
      <c r="H32" s="294"/>
      <c r="I32" s="166"/>
      <c r="J32" s="375"/>
      <c r="K32" s="239"/>
    </row>
    <row r="33" spans="1:11" s="7" customFormat="1" ht="12.75" customHeight="1">
      <c r="A33" s="402" t="s">
        <v>666</v>
      </c>
      <c r="B33" s="294"/>
      <c r="C33" s="396" t="s">
        <v>673</v>
      </c>
      <c r="D33" s="397"/>
      <c r="E33" s="397"/>
      <c r="F33" s="398"/>
      <c r="G33" s="294"/>
      <c r="H33" s="294"/>
      <c r="I33" s="166"/>
      <c r="J33" s="375"/>
      <c r="K33" s="375"/>
    </row>
    <row r="34" spans="1:11" s="7" customFormat="1" ht="12.75" customHeight="1">
      <c r="A34" s="167"/>
      <c r="B34" s="294"/>
      <c r="C34" s="399" t="s">
        <v>672</v>
      </c>
      <c r="D34" s="400"/>
      <c r="E34" s="400"/>
      <c r="F34" s="401"/>
      <c r="G34" s="294"/>
      <c r="H34" s="294"/>
      <c r="I34" s="166"/>
      <c r="J34" s="375"/>
      <c r="K34" s="375"/>
    </row>
    <row r="35" spans="1:11" s="7" customFormat="1" ht="12.75" customHeight="1">
      <c r="A35" s="392" t="s">
        <v>675</v>
      </c>
      <c r="B35" s="411"/>
      <c r="C35" s="414" t="s">
        <v>676</v>
      </c>
      <c r="D35" s="412"/>
      <c r="E35" s="412"/>
      <c r="F35" s="413"/>
      <c r="G35" s="294"/>
      <c r="H35" s="294"/>
      <c r="I35" s="166"/>
      <c r="J35" s="404"/>
      <c r="K35" s="404"/>
    </row>
    <row r="36" spans="1:11" s="7" customFormat="1" ht="12.75" customHeight="1">
      <c r="A36" s="392"/>
      <c r="I36" s="166"/>
      <c r="J36" s="415"/>
      <c r="K36" s="415"/>
    </row>
    <row r="37" spans="1:11" s="7" customFormat="1" ht="12.75" customHeight="1">
      <c r="A37" s="402"/>
      <c r="I37" s="166"/>
      <c r="J37" s="404"/>
      <c r="K37" s="404"/>
    </row>
    <row r="38" spans="2:11" s="7" customFormat="1" ht="15.75" customHeight="1">
      <c r="B38" s="424" t="s">
        <v>449</v>
      </c>
      <c r="C38" s="424"/>
      <c r="D38" s="424" t="s">
        <v>103</v>
      </c>
      <c r="E38" s="424" t="s">
        <v>103</v>
      </c>
      <c r="F38" s="424" t="s">
        <v>103</v>
      </c>
      <c r="G38" s="424" t="s">
        <v>103</v>
      </c>
      <c r="H38" s="424" t="s">
        <v>103</v>
      </c>
      <c r="I38" s="104"/>
      <c r="J38" s="252"/>
      <c r="K38" s="253"/>
    </row>
    <row r="39" spans="1:11" s="7" customFormat="1" ht="15.75" customHeight="1">
      <c r="A39" s="165" t="s">
        <v>574</v>
      </c>
      <c r="B39" s="424" t="s">
        <v>104</v>
      </c>
      <c r="C39" s="424" t="s">
        <v>431</v>
      </c>
      <c r="D39" s="424" t="s">
        <v>578</v>
      </c>
      <c r="E39" s="424" t="s">
        <v>579</v>
      </c>
      <c r="F39" s="424" t="s">
        <v>660</v>
      </c>
      <c r="G39" s="424" t="s">
        <v>661</v>
      </c>
      <c r="H39" s="424" t="s">
        <v>662</v>
      </c>
      <c r="I39" s="104"/>
      <c r="J39" s="252"/>
      <c r="K39" s="253"/>
    </row>
    <row r="40" spans="1:11" ht="12.75">
      <c r="A40" s="410" t="s">
        <v>656</v>
      </c>
      <c r="B40" s="56">
        <f>B41/$B$41</f>
        <v>1</v>
      </c>
      <c r="C40" s="56">
        <f>C41/$B$41</f>
        <v>0.5710747109726855</v>
      </c>
      <c r="D40" s="56">
        <f>D41/$B$41</f>
        <v>0.4289252890273145</v>
      </c>
      <c r="E40" s="168"/>
      <c r="F40" s="168"/>
      <c r="G40" s="168"/>
      <c r="H40" s="168"/>
      <c r="J40" s="433"/>
      <c r="K40" s="434"/>
    </row>
    <row r="41" spans="1:11" ht="24.75" customHeight="1">
      <c r="A41" s="7" t="s">
        <v>1</v>
      </c>
      <c r="B41" s="382">
        <f aca="true" t="shared" si="0" ref="B41:H41">SUM(B42:B44)</f>
        <v>23459323.174749237</v>
      </c>
      <c r="C41" s="417">
        <f t="shared" si="0"/>
        <v>13397026.201634742</v>
      </c>
      <c r="D41" s="382">
        <f t="shared" si="0"/>
        <v>10062296.973114494</v>
      </c>
      <c r="E41" s="382">
        <f t="shared" si="0"/>
        <v>10062296.973114494</v>
      </c>
      <c r="F41" s="382">
        <f t="shared" si="0"/>
        <v>10062296.973114494</v>
      </c>
      <c r="G41" s="382">
        <f t="shared" si="0"/>
        <v>10062296.973114494</v>
      </c>
      <c r="H41" s="382">
        <f t="shared" si="0"/>
        <v>10062296.973114494</v>
      </c>
      <c r="J41" s="442"/>
      <c r="K41" s="443"/>
    </row>
    <row r="42" spans="1:11" ht="24" customHeight="1">
      <c r="A42" s="5" t="s">
        <v>443</v>
      </c>
      <c r="B42" s="158">
        <f>IF(A40="Maksuunpannut verot (VM:n siirtolaskelman mukaan)",VLOOKUP(linkki,alue5,18,FALSE)*0.001,VLOOKUP(linkki,vero4,5,FALSE))</f>
        <v>19946936.1185775</v>
      </c>
      <c r="C42" s="418">
        <f>(D42-B42)*-1</f>
        <v>12824563.849577498</v>
      </c>
      <c r="D42" s="158">
        <f>IF($A$40="maksuunpannut verot (VM:n siirtolaskelman mukaan)",VLOOKUP(linkki,alue5,5,FALSE)*0.001,VLOOKUP(linkki,vero4,6,FALSE))</f>
        <v>7122372.269</v>
      </c>
      <c r="E42" s="158">
        <f>IF($A$40="maksuunpannut verot (VM:n siirtolaskelman mukaan)",D42,VLOOKUP(linkki,vero4,7,FALSE))</f>
        <v>7122372.269</v>
      </c>
      <c r="F42" s="158">
        <f aca="true" t="shared" si="1" ref="F42:H44">E42</f>
        <v>7122372.269</v>
      </c>
      <c r="G42" s="158">
        <f t="shared" si="1"/>
        <v>7122372.269</v>
      </c>
      <c r="H42" s="158">
        <f t="shared" si="1"/>
        <v>7122372.269</v>
      </c>
      <c r="I42" s="160"/>
      <c r="J42" s="442"/>
      <c r="K42" s="444"/>
    </row>
    <row r="43" spans="1:11" ht="12.75">
      <c r="A43" s="5" t="s">
        <v>444</v>
      </c>
      <c r="B43" s="158">
        <f>IF(A40="Maksuunpannut verot (VM:n siirtolaskelman mukaan)",VLOOKUP(linkki,alue5,19,FALSE)*0.001,VLOOKUP(linkki,vero4,10,FALSE))</f>
        <v>1717387.0561717383</v>
      </c>
      <c r="C43" s="418">
        <f>(D43-B43)*-1</f>
        <v>572462.3520572449</v>
      </c>
      <c r="D43" s="158">
        <f>IF($A$40="Maksuunpannut verot (VM:n siirtolaskelman mukaan)",VLOOKUP(linkki,alue5,7,FALSE)*0.001,VLOOKUP(linkki,vero4,11,FALSE))</f>
        <v>1144924.7041144934</v>
      </c>
      <c r="E43" s="158">
        <f>IF($A$40="Maksuunpannut verot (VM:n siirtolaskelman mukaan)",D43,VLOOKUP(linkki,vero4,12,FALSE))</f>
        <v>1144924.7041144934</v>
      </c>
      <c r="F43" s="158">
        <f t="shared" si="1"/>
        <v>1144924.7041144934</v>
      </c>
      <c r="G43" s="158">
        <f t="shared" si="1"/>
        <v>1144924.7041144934</v>
      </c>
      <c r="H43" s="158">
        <f t="shared" si="1"/>
        <v>1144924.7041144934</v>
      </c>
      <c r="J43" s="444"/>
      <c r="K43" s="444"/>
    </row>
    <row r="44" spans="1:11" ht="12.75">
      <c r="A44" s="5" t="s">
        <v>565</v>
      </c>
      <c r="B44" s="158">
        <f>IF(A40="Maksuunpannut verot (VM:n siirtolaskelman mukaan)",VLOOKUP(linkki,alue5,6,FALSE)*0.001,VLOOKUP(linkki,vero4,15,FALSE))</f>
        <v>1794999.9999999993</v>
      </c>
      <c r="C44" s="418"/>
      <c r="D44" s="158">
        <f>IF($A$40="Maksuunpannut verot (VM:n siirtolaskelman mukaan)",VLOOKUP(linkki,alue5,6,FALSE)*0.001,VLOOKUP(linkki,vero4,16,FALSE))</f>
        <v>1794999.9999999993</v>
      </c>
      <c r="E44" s="158">
        <f>IF($A$40="Maksuunpannut verot (VM:n siirtolaskelman mukaan)",D44,VLOOKUP(linkki,vero4,17,FALSE))</f>
        <v>1794999.9999999993</v>
      </c>
      <c r="F44" s="158">
        <f t="shared" si="1"/>
        <v>1794999.9999999993</v>
      </c>
      <c r="G44" s="158">
        <f t="shared" si="1"/>
        <v>1794999.9999999993</v>
      </c>
      <c r="H44" s="158">
        <f t="shared" si="1"/>
        <v>1794999.9999999993</v>
      </c>
      <c r="J44" s="433"/>
      <c r="K44" s="434"/>
    </row>
    <row r="45" spans="2:11" s="32" customFormat="1" ht="15" customHeight="1">
      <c r="B45" s="56"/>
      <c r="C45" s="56"/>
      <c r="D45" s="56"/>
      <c r="E45" s="229"/>
      <c r="J45" s="433"/>
      <c r="K45" s="434"/>
    </row>
    <row r="46" spans="1:11" ht="24" customHeight="1">
      <c r="A46" s="7" t="s">
        <v>2</v>
      </c>
      <c r="B46" s="382">
        <f aca="true" t="shared" si="2" ref="B46:H46">SUM(B47:B51)</f>
        <v>10169984.819856817</v>
      </c>
      <c r="C46" s="417">
        <f t="shared" si="2"/>
        <v>6446606.805248408</v>
      </c>
      <c r="D46" s="382">
        <f>SUM(D47:D51)</f>
        <v>3656378.718244817</v>
      </c>
      <c r="E46" s="382">
        <f t="shared" si="2"/>
        <v>3656378.7182448115</v>
      </c>
      <c r="F46" s="382">
        <f t="shared" si="2"/>
        <v>3656378.7182448115</v>
      </c>
      <c r="G46" s="382">
        <f t="shared" si="2"/>
        <v>3656378.7182448115</v>
      </c>
      <c r="H46" s="382">
        <f t="shared" si="2"/>
        <v>3656378.7182448115</v>
      </c>
      <c r="J46" s="234"/>
      <c r="K46" s="252"/>
    </row>
    <row r="47" spans="1:11" ht="12.75">
      <c r="A47" s="386" t="s">
        <v>658</v>
      </c>
      <c r="B47" s="158">
        <f>VLOOKUP(linkki,alue5,20,FALSE)*0.001</f>
        <v>7824247.351856115</v>
      </c>
      <c r="C47" s="418">
        <f>VLOOKUP(linkki,alue5,37,FALSE)*0.001</f>
        <v>4858306.794748408</v>
      </c>
      <c r="D47" s="158">
        <f>VLOOKUP(linkki,alue5,8,FALSE)*0.001</f>
        <v>2965940.557107705</v>
      </c>
      <c r="E47" s="158">
        <f aca="true" t="shared" si="3" ref="E47:H49">D47</f>
        <v>2965940.557107705</v>
      </c>
      <c r="F47" s="158">
        <f t="shared" si="3"/>
        <v>2965940.557107705</v>
      </c>
      <c r="G47" s="158">
        <f t="shared" si="3"/>
        <v>2965940.557107705</v>
      </c>
      <c r="H47" s="158">
        <f t="shared" si="3"/>
        <v>2965940.557107705</v>
      </c>
      <c r="J47" s="435"/>
      <c r="K47" s="436"/>
    </row>
    <row r="48" spans="1:11" ht="12.75">
      <c r="A48" s="386" t="s">
        <v>659</v>
      </c>
      <c r="B48" s="158">
        <f>VLOOKUP(linkki,alue5,21,FALSE)*0.001</f>
        <v>2383000.0150007014</v>
      </c>
      <c r="C48" s="418">
        <f>VLOOKUP(linkki,alue5,50,FALSE)*-0.001</f>
        <v>1588300.0104999996</v>
      </c>
      <c r="D48" s="158">
        <f>VLOOKUP(linkki,alue5,9,FALSE)*0.001</f>
        <v>794700.0045007005</v>
      </c>
      <c r="E48" s="158">
        <f>D48</f>
        <v>794700.0045007005</v>
      </c>
      <c r="F48" s="158">
        <f>E48</f>
        <v>794700.0045007005</v>
      </c>
      <c r="G48" s="158">
        <f>F48</f>
        <v>794700.0045007005</v>
      </c>
      <c r="H48" s="158">
        <f>G48</f>
        <v>794700.0045007005</v>
      </c>
      <c r="J48" s="376"/>
      <c r="K48" s="377"/>
    </row>
    <row r="49" spans="1:11" ht="12.75">
      <c r="A49" s="384" t="s">
        <v>657</v>
      </c>
      <c r="B49" s="158">
        <f>VLOOKUP(linkki,alue5,11,FALSE)*0.001</f>
        <v>-37262.547</v>
      </c>
      <c r="C49" s="158"/>
      <c r="D49" s="158">
        <f>VLOOKUP(linkki,alue5,11,FALSE)*0.001</f>
        <v>-37262.547</v>
      </c>
      <c r="E49" s="158">
        <f t="shared" si="3"/>
        <v>-37262.547</v>
      </c>
      <c r="F49" s="158">
        <f t="shared" si="3"/>
        <v>-37262.547</v>
      </c>
      <c r="G49" s="158">
        <f t="shared" si="3"/>
        <v>-37262.547</v>
      </c>
      <c r="H49" s="158">
        <f t="shared" si="3"/>
        <v>-37262.547</v>
      </c>
      <c r="J49" s="437"/>
      <c r="K49" s="438"/>
    </row>
    <row r="50" spans="1:11" ht="12.75">
      <c r="A50" s="384" t="s">
        <v>614</v>
      </c>
      <c r="B50" s="181"/>
      <c r="C50" s="158"/>
      <c r="D50" s="158">
        <f>Muutosrajoitin!$I$25</f>
        <v>-66999.29636359442</v>
      </c>
      <c r="E50" s="158">
        <f>Muutosrajoitin!$I$25</f>
        <v>-66999.29636359442</v>
      </c>
      <c r="F50" s="158">
        <f>Muutosrajoitin!$I$25</f>
        <v>-66999.29636359442</v>
      </c>
      <c r="G50" s="158">
        <f>Muutosrajoitin!$I$25</f>
        <v>-66999.29636359442</v>
      </c>
      <c r="H50" s="158">
        <f>Muutosrajoitin!$I$25</f>
        <v>-66999.29636359442</v>
      </c>
      <c r="J50" s="435"/>
      <c r="K50" s="436"/>
    </row>
    <row r="51" spans="1:11" ht="12.75">
      <c r="A51" s="385" t="s">
        <v>615</v>
      </c>
      <c r="B51" s="181"/>
      <c r="C51" s="158"/>
      <c r="D51" s="158">
        <f>'VMn tiedot (13_10_2020)'!BH18*Tuloslaskelma!$A$10*0.001</f>
        <v>5.654348811390264E-09</v>
      </c>
      <c r="E51" s="158">
        <f>'VMn tiedot (13_10_2020)'!BI18*Tuloslaskelma!$A$10*0.001</f>
        <v>0</v>
      </c>
      <c r="F51" s="158">
        <f>'VMn tiedot (13_10_2020)'!BJ18*Tuloslaskelma!$A$10*0.001</f>
        <v>0</v>
      </c>
      <c r="G51" s="158">
        <f>'VMn tiedot (13_10_2020)'!BK18*Tuloslaskelma!$A$10*0.001</f>
        <v>0</v>
      </c>
      <c r="H51" s="158">
        <f>'VMn tiedot (13_10_2020)'!BL18*Tuloslaskelma!$A$10*0.001</f>
        <v>0</v>
      </c>
      <c r="J51" s="439"/>
      <c r="K51" s="439"/>
    </row>
    <row r="52" spans="1:11" ht="18.75" customHeight="1">
      <c r="A52" s="71"/>
      <c r="B52" s="52"/>
      <c r="C52" s="52"/>
      <c r="D52" s="297"/>
      <c r="E52" s="297"/>
      <c r="F52" s="297"/>
      <c r="G52" s="297"/>
      <c r="H52" s="297"/>
      <c r="J52" s="431"/>
      <c r="K52" s="432"/>
    </row>
    <row r="53" spans="1:11" ht="15" customHeight="1">
      <c r="A53" s="7" t="s">
        <v>566</v>
      </c>
      <c r="B53" s="382">
        <f>IF(B54+B55+B56+B57+B58=0,VLOOKUP(linkki,alue5,12,FALSE)*0.001,B54+B55+B56+B57+B58)</f>
        <v>401901.23805999995</v>
      </c>
      <c r="C53" s="419">
        <f>SUM(C54:C58)</f>
        <v>0</v>
      </c>
      <c r="D53" s="382">
        <f>IF(D54+D55+D56+D57+D58=0,VLOOKUP(linkki,alue5,12,FALSE)*0.001,D54+D55+D56+D57+D58)</f>
        <v>401901.23805999995</v>
      </c>
      <c r="E53" s="382">
        <f>IF(E54+E55+E56+E57+E58=0,VLOOKUP(linkki,alue5,12,FALSE)*0.001,E54+E55+E56+E57+E58)</f>
        <v>401901.23805999995</v>
      </c>
      <c r="F53" s="382">
        <f>IF(F54+F55+F56+F57+F58=0,VLOOKUP(linkki,alue5,12,FALSE)*0.001,F54+F55+F56+F57+F58)</f>
        <v>401901.23805999995</v>
      </c>
      <c r="G53" s="382">
        <f>IF(G54+G55+G56+G57+G58=0,VLOOKUP(linkki,alue5,12,FALSE)*0.001,G54+G55+G56+G57+G58)</f>
        <v>401901.23805999995</v>
      </c>
      <c r="H53" s="382">
        <f>IF(H54+H55+H56+H57+H58=0,VLOOKUP(linkki,alue5,12,FALSE)*0.001,H54+H55+H56+H57+H58)</f>
        <v>401901.23805999995</v>
      </c>
      <c r="J53" s="431"/>
      <c r="K53" s="432"/>
    </row>
    <row r="54" spans="1:11" ht="15" customHeight="1">
      <c r="A54" s="163" t="s">
        <v>560</v>
      </c>
      <c r="B54" s="181"/>
      <c r="C54" s="420"/>
      <c r="D54" s="181"/>
      <c r="E54" s="181"/>
      <c r="F54" s="181"/>
      <c r="G54" s="181"/>
      <c r="H54" s="181"/>
      <c r="J54" s="433"/>
      <c r="K54" s="434"/>
    </row>
    <row r="55" spans="1:11" ht="12.75">
      <c r="A55" s="163" t="s">
        <v>559</v>
      </c>
      <c r="B55" s="181"/>
      <c r="C55" s="420"/>
      <c r="D55" s="181"/>
      <c r="E55" s="181"/>
      <c r="F55" s="181"/>
      <c r="G55" s="181"/>
      <c r="H55" s="181"/>
      <c r="J55" s="433"/>
      <c r="K55" s="434"/>
    </row>
    <row r="56" spans="1:11" ht="12.75">
      <c r="A56" s="163" t="s">
        <v>561</v>
      </c>
      <c r="B56" s="181"/>
      <c r="C56" s="420"/>
      <c r="D56" s="181"/>
      <c r="E56" s="181"/>
      <c r="F56" s="181"/>
      <c r="G56" s="181"/>
      <c r="H56" s="181"/>
      <c r="J56" s="431"/>
      <c r="K56" s="432"/>
    </row>
    <row r="57" spans="1:11" ht="15" customHeight="1">
      <c r="A57" s="163" t="s">
        <v>562</v>
      </c>
      <c r="B57" s="181"/>
      <c r="C57" s="420"/>
      <c r="D57" s="181"/>
      <c r="E57" s="181"/>
      <c r="F57" s="181"/>
      <c r="G57" s="181"/>
      <c r="H57" s="181"/>
      <c r="J57" s="431"/>
      <c r="K57" s="432"/>
    </row>
    <row r="58" spans="1:11" ht="15" customHeight="1">
      <c r="A58" s="163" t="s">
        <v>563</v>
      </c>
      <c r="B58" s="181"/>
      <c r="C58" s="421"/>
      <c r="D58" s="181"/>
      <c r="E58" s="181"/>
      <c r="F58" s="181"/>
      <c r="G58" s="181"/>
      <c r="H58" s="181"/>
      <c r="J58" s="431"/>
      <c r="K58" s="432"/>
    </row>
    <row r="59" spans="2:11" ht="12.75">
      <c r="B59" s="53"/>
      <c r="C59" s="8"/>
      <c r="D59" s="8"/>
      <c r="E59" s="8"/>
      <c r="F59" s="8"/>
      <c r="G59" s="8"/>
      <c r="H59" s="8"/>
      <c r="J59" s="433"/>
      <c r="K59" s="434"/>
    </row>
    <row r="60" spans="1:11" s="7" customFormat="1" ht="15" customHeight="1">
      <c r="A60" s="7" t="s">
        <v>3</v>
      </c>
      <c r="B60" s="55">
        <f>B29+B41+B46+B53</f>
        <v>2498418.4726660554</v>
      </c>
      <c r="C60" s="55"/>
      <c r="D60" s="55">
        <f>D29+D41+D46+D53</f>
        <v>2462087.4455993013</v>
      </c>
      <c r="E60" s="55">
        <f>E29+E41+E46+E53</f>
        <v>2462087.4455992957</v>
      </c>
      <c r="F60" s="55">
        <f>F29+F41+F46+F53</f>
        <v>2462087.4455992957</v>
      </c>
      <c r="G60" s="55">
        <f>G29+G41+G46+G53</f>
        <v>2462087.4455992957</v>
      </c>
      <c r="H60" s="55">
        <f>H29+H41+H46+H53</f>
        <v>2462087.4455992957</v>
      </c>
      <c r="J60" s="434"/>
      <c r="K60" s="434"/>
    </row>
    <row r="61" spans="2:11" ht="27" customHeight="1">
      <c r="B61" s="56">
        <f>B62/$B$62</f>
        <v>1</v>
      </c>
      <c r="C61" s="56">
        <f>C62/$B$62</f>
        <v>0.025585444925132008</v>
      </c>
      <c r="D61" s="56">
        <f>D62/$B$62</f>
        <v>0.974414555074868</v>
      </c>
      <c r="J61" s="434"/>
      <c r="K61" s="434"/>
    </row>
    <row r="62" spans="1:11" ht="12.75">
      <c r="A62" s="5" t="s">
        <v>10</v>
      </c>
      <c r="B62" s="374">
        <f>-VLOOKUP(linkki,alue5,44,FALSE)</f>
        <v>-2305725</v>
      </c>
      <c r="C62" s="388">
        <f>-VLOOKUP(linkki,alue5,47,FALSE)</f>
        <v>-58993</v>
      </c>
      <c r="D62" s="374">
        <f>B62-C62</f>
        <v>-2246732</v>
      </c>
      <c r="E62" s="374">
        <f>D62</f>
        <v>-2246732</v>
      </c>
      <c r="F62" s="374">
        <f>E62</f>
        <v>-2246732</v>
      </c>
      <c r="G62" s="374">
        <f>F62</f>
        <v>-2246732</v>
      </c>
      <c r="H62" s="374">
        <f>G62</f>
        <v>-2246732</v>
      </c>
      <c r="J62" s="433"/>
      <c r="K62" s="434"/>
    </row>
    <row r="63" spans="1:11" ht="15" customHeight="1">
      <c r="A63" s="5" t="s">
        <v>4</v>
      </c>
      <c r="B63" s="158"/>
      <c r="C63" s="423"/>
      <c r="D63" s="51"/>
      <c r="E63" s="51"/>
      <c r="F63" s="51"/>
      <c r="G63" s="51"/>
      <c r="H63" s="51"/>
      <c r="J63" s="431"/>
      <c r="K63" s="432"/>
    </row>
    <row r="64" spans="1:11" ht="15" customHeight="1">
      <c r="A64" s="5" t="s">
        <v>5</v>
      </c>
      <c r="B64" s="158"/>
      <c r="C64" s="419"/>
      <c r="D64" s="51"/>
      <c r="E64" s="51"/>
      <c r="F64" s="51"/>
      <c r="G64" s="51"/>
      <c r="H64" s="51"/>
      <c r="J64" s="431"/>
      <c r="K64" s="432"/>
    </row>
    <row r="65" spans="2:11" ht="9" customHeight="1">
      <c r="B65" s="57"/>
      <c r="C65" s="8"/>
      <c r="D65" s="58"/>
      <c r="E65" s="3"/>
      <c r="F65" s="3"/>
      <c r="G65" s="3"/>
      <c r="H65" s="3"/>
      <c r="J65" s="431"/>
      <c r="K65" s="432"/>
    </row>
    <row r="66" spans="1:11" s="7" customFormat="1" ht="12.75">
      <c r="A66" s="7" t="s">
        <v>6</v>
      </c>
      <c r="B66" s="55">
        <f>B60+B62+B63+B64</f>
        <v>192693.47266605543</v>
      </c>
      <c r="C66" s="55"/>
      <c r="D66" s="55">
        <f>D60+D62+D63+D64</f>
        <v>215355.44559930125</v>
      </c>
      <c r="E66" s="55">
        <f>E60+E62+E63+E64</f>
        <v>215355.44559929566</v>
      </c>
      <c r="F66" s="55">
        <f>F60+F62+F63+F64</f>
        <v>215355.44559929566</v>
      </c>
      <c r="G66" s="55">
        <f>G60+G62+G63+G64</f>
        <v>215355.44559929566</v>
      </c>
      <c r="H66" s="55">
        <f>H60+H62+H63+H64</f>
        <v>215355.44559929566</v>
      </c>
      <c r="J66" s="432"/>
      <c r="K66" s="432"/>
    </row>
    <row r="67" spans="2:11" ht="12.75">
      <c r="B67" s="416"/>
      <c r="C67" s="387"/>
      <c r="D67" s="58"/>
      <c r="E67" s="58"/>
      <c r="F67" s="58"/>
      <c r="G67" s="58"/>
      <c r="H67" s="58"/>
      <c r="J67" s="432"/>
      <c r="K67" s="432"/>
    </row>
    <row r="68" spans="1:11" ht="12.75">
      <c r="A68" s="5" t="s">
        <v>25</v>
      </c>
      <c r="B68" s="58"/>
      <c r="C68" s="422"/>
      <c r="D68" s="58"/>
      <c r="E68" s="58"/>
      <c r="F68" s="58"/>
      <c r="G68" s="58"/>
      <c r="H68" s="58"/>
      <c r="J68" s="433"/>
      <c r="K68" s="434"/>
    </row>
    <row r="69" spans="1:11" ht="15" customHeight="1">
      <c r="A69" s="5" t="s">
        <v>26</v>
      </c>
      <c r="B69" s="58"/>
      <c r="C69" s="422"/>
      <c r="D69" s="58"/>
      <c r="E69" s="58"/>
      <c r="F69" s="58"/>
      <c r="G69" s="58"/>
      <c r="H69" s="58"/>
      <c r="J69" s="433"/>
      <c r="K69" s="434"/>
    </row>
    <row r="70" spans="1:11" ht="15" customHeight="1">
      <c r="A70" s="5" t="s">
        <v>109</v>
      </c>
      <c r="B70" s="58"/>
      <c r="C70" s="422"/>
      <c r="D70" s="58"/>
      <c r="E70" s="58"/>
      <c r="F70" s="58"/>
      <c r="G70" s="58"/>
      <c r="H70" s="58"/>
      <c r="J70" s="440"/>
      <c r="K70" s="441"/>
    </row>
    <row r="71" spans="2:11" ht="15" customHeight="1">
      <c r="B71" s="57"/>
      <c r="C71" s="387"/>
      <c r="D71" s="58"/>
      <c r="E71" s="58"/>
      <c r="F71" s="58"/>
      <c r="G71" s="58"/>
      <c r="H71" s="58"/>
      <c r="J71" s="441"/>
      <c r="K71" s="441"/>
    </row>
    <row r="72" spans="1:11" s="7" customFormat="1" ht="12.75">
      <c r="A72" s="7" t="s">
        <v>618</v>
      </c>
      <c r="B72" s="55">
        <f>B66+B68+B69+B70</f>
        <v>192693.47266605543</v>
      </c>
      <c r="C72" s="55"/>
      <c r="D72" s="55">
        <f>D66+D68+D69+D70</f>
        <v>215355.44559930125</v>
      </c>
      <c r="E72" s="55">
        <f>E66+E68+E69+E70</f>
        <v>215355.44559929566</v>
      </c>
      <c r="F72" s="55">
        <f>F66+F68+F69+F70</f>
        <v>215355.44559929566</v>
      </c>
      <c r="G72" s="55">
        <f>G66+G68+G69+G70</f>
        <v>215355.44559929566</v>
      </c>
      <c r="H72" s="55">
        <f>H66+H68+H69+H70</f>
        <v>215355.44559929566</v>
      </c>
      <c r="J72" s="441"/>
      <c r="K72" s="441"/>
    </row>
    <row r="73" spans="1:8" ht="12.75">
      <c r="A73" s="428"/>
      <c r="B73" s="429"/>
      <c r="C73" s="429"/>
      <c r="D73" s="429"/>
      <c r="E73" s="429"/>
      <c r="F73" s="429"/>
      <c r="G73" s="429"/>
      <c r="H73" s="429"/>
    </row>
    <row r="74" spans="1:8" ht="12.75">
      <c r="A74" s="389" t="s">
        <v>564</v>
      </c>
      <c r="B74" s="390">
        <f>B72/$A$10*1000</f>
        <v>35.11095266804092</v>
      </c>
      <c r="C74" s="390"/>
      <c r="D74" s="390">
        <f>D72/$A$10*1000</f>
        <v>39.24022309954415</v>
      </c>
      <c r="E74" s="390">
        <f>E72/$A$10*1000</f>
        <v>39.24022309954314</v>
      </c>
      <c r="F74" s="390">
        <f>F72/$A$10*1000</f>
        <v>39.24022309954314</v>
      </c>
      <c r="G74" s="390">
        <f>G72/$A$10*1000</f>
        <v>39.24022309954314</v>
      </c>
      <c r="H74" s="390">
        <f>H72/$A$10*1000</f>
        <v>39.24022309954314</v>
      </c>
    </row>
    <row r="75" ht="12.75">
      <c r="E75" s="6"/>
    </row>
    <row r="76" spans="1:10" ht="12.75">
      <c r="A76" s="426"/>
      <c r="B76" s="427"/>
      <c r="C76" s="427"/>
      <c r="D76" s="427">
        <f>D74-$B$74</f>
        <v>4.12927043150323</v>
      </c>
      <c r="E76" s="427">
        <f>E74-$B$74</f>
        <v>4.1292704315022135</v>
      </c>
      <c r="F76" s="427">
        <f>F74-$B$74</f>
        <v>4.1292704315022135</v>
      </c>
      <c r="G76" s="427">
        <f>G74-$B$74</f>
        <v>4.1292704315022135</v>
      </c>
      <c r="H76" s="427">
        <f>H74-$B$74</f>
        <v>4.1292704315022135</v>
      </c>
      <c r="J76" s="174"/>
    </row>
    <row r="77" spans="4:8" ht="12.75">
      <c r="D77" s="6"/>
      <c r="E77" s="6"/>
      <c r="F77" s="6"/>
      <c r="G77" s="6"/>
      <c r="H77" s="6"/>
    </row>
    <row r="78" spans="4:8" ht="12.75">
      <c r="D78" s="403"/>
      <c r="E78" s="403"/>
      <c r="F78" s="403"/>
      <c r="G78" s="403"/>
      <c r="H78" s="403"/>
    </row>
    <row r="79" spans="4:8" ht="12.75">
      <c r="D79" s="231"/>
      <c r="E79" s="231"/>
      <c r="F79" s="231"/>
      <c r="G79" s="231"/>
      <c r="H79" s="231"/>
    </row>
    <row r="80" ht="12.75">
      <c r="D80" s="6"/>
    </row>
    <row r="107" ht="12.75">
      <c r="A107" s="5" t="s">
        <v>605</v>
      </c>
    </row>
    <row r="108" ht="12.75">
      <c r="A108" s="5" t="s">
        <v>605</v>
      </c>
    </row>
    <row r="110" ht="12.75">
      <c r="A110" s="5" t="s">
        <v>656</v>
      </c>
    </row>
    <row r="111" ht="12.75">
      <c r="A111" s="5" t="s">
        <v>656</v>
      </c>
    </row>
  </sheetData>
  <sheetProtection/>
  <mergeCells count="41">
    <mergeCell ref="J16:K16"/>
    <mergeCell ref="J23:K23"/>
    <mergeCell ref="J25:K25"/>
    <mergeCell ref="J8:K10"/>
    <mergeCell ref="J27:K27"/>
    <mergeCell ref="J26:K26"/>
    <mergeCell ref="J15:K15"/>
    <mergeCell ref="J14:K14"/>
    <mergeCell ref="J21:K21"/>
    <mergeCell ref="J12:K12"/>
    <mergeCell ref="J20:K20"/>
    <mergeCell ref="J13:K13"/>
    <mergeCell ref="J22:K22"/>
    <mergeCell ref="J24:K24"/>
    <mergeCell ref="J29:K29"/>
    <mergeCell ref="J41:K41"/>
    <mergeCell ref="J28:K28"/>
    <mergeCell ref="J31:K31"/>
    <mergeCell ref="J45:K45"/>
    <mergeCell ref="J42:K43"/>
    <mergeCell ref="J40:K40"/>
    <mergeCell ref="J70:K72"/>
    <mergeCell ref="J65:K67"/>
    <mergeCell ref="J62:K62"/>
    <mergeCell ref="J63:K63"/>
    <mergeCell ref="J64:K64"/>
    <mergeCell ref="J54:K54"/>
    <mergeCell ref="J68:K68"/>
    <mergeCell ref="J69:K69"/>
    <mergeCell ref="J56:K56"/>
    <mergeCell ref="J55:K55"/>
    <mergeCell ref="J57:K57"/>
    <mergeCell ref="J58:K58"/>
    <mergeCell ref="J59:K61"/>
    <mergeCell ref="J44:K44"/>
    <mergeCell ref="J47:K47"/>
    <mergeCell ref="J49:K49"/>
    <mergeCell ref="J53:K53"/>
    <mergeCell ref="J52:K52"/>
    <mergeCell ref="J50:K50"/>
    <mergeCell ref="J51:K51"/>
  </mergeCells>
  <dataValidations count="6">
    <dataValidation type="list" allowBlank="1" showInputMessage="1" showErrorMessage="1" prompt="Valitse kunta" sqref="A8">
      <formula1>kunnat</formula1>
    </dataValidation>
    <dataValidation type="list" allowBlank="1" showInputMessage="1" showErrorMessage="1" sqref="C5">
      <formula1>Lähtötaso</formula1>
    </dataValidation>
    <dataValidation type="list" showDropDown="1" showInputMessage="1" showErrorMessage="1" sqref="C6">
      <formula1>Lähtötaso</formula1>
    </dataValidation>
    <dataValidation type="list" allowBlank="1" showInputMessage="1" showErrorMessage="1" sqref="A40">
      <formula1>vero2</formula1>
    </dataValidation>
    <dataValidation allowBlank="1" sqref="A5:A6"/>
    <dataValidation type="list" allowBlank="1" showInputMessage="1" showErrorMessage="1" sqref="A31">
      <formula1>painelaskelmat</formula1>
    </dataValidation>
  </dataValidations>
  <printOptions/>
  <pageMargins left="0.2755905511811024" right="0.1968503937007874" top="0.4724409448818898" bottom="0.3937007874015748" header="0.3937007874015748" footer="0.2362204724409449"/>
  <pageSetup horizontalDpi="600" verticalDpi="600" orientation="landscape" paperSize="9" r:id="rId2"/>
  <ignoredErrors>
    <ignoredError sqref="C53" formula="1"/>
  </ignoredErrors>
  <drawing r:id="rId1"/>
</worksheet>
</file>

<file path=xl/worksheets/sheet3.xml><?xml version="1.0" encoding="utf-8"?>
<worksheet xmlns="http://schemas.openxmlformats.org/spreadsheetml/2006/main" xmlns:r="http://schemas.openxmlformats.org/officeDocument/2006/relationships">
  <dimension ref="B1:Q35"/>
  <sheetViews>
    <sheetView zoomScalePageLayoutView="0" workbookViewId="0" topLeftCell="A4">
      <selection activeCell="B30" sqref="B30"/>
    </sheetView>
  </sheetViews>
  <sheetFormatPr defaultColWidth="9.140625" defaultRowHeight="12.75"/>
  <cols>
    <col min="4" max="4" width="18.140625" style="0" customWidth="1"/>
    <col min="5" max="5" width="15.7109375" style="0" customWidth="1"/>
    <col min="9" max="9" width="10.8515625" style="0" customWidth="1"/>
    <col min="16" max="16" width="13.57421875" style="0" customWidth="1"/>
    <col min="17" max="17" width="8.8515625" style="0" customWidth="1"/>
  </cols>
  <sheetData>
    <row r="1" spans="2:6" ht="15">
      <c r="B1" s="311" t="s">
        <v>628</v>
      </c>
      <c r="F1" s="315"/>
    </row>
    <row r="2" ht="12.75">
      <c r="B2" s="2" t="str">
        <f>linkki</f>
        <v>Manner-Suomi</v>
      </c>
    </row>
    <row r="7" spans="2:12" ht="15.75">
      <c r="B7" s="312" t="s">
        <v>632</v>
      </c>
      <c r="E7" s="109"/>
      <c r="L7" s="312" t="s">
        <v>633</v>
      </c>
    </row>
    <row r="9" spans="2:16" ht="12.75">
      <c r="B9" s="3" t="s">
        <v>142</v>
      </c>
      <c r="C9" s="3"/>
      <c r="D9" s="3"/>
      <c r="E9" s="380">
        <f>Tuloslaskelma!C29</f>
        <v>-19874301.276179988</v>
      </c>
      <c r="L9" s="3" t="s">
        <v>484</v>
      </c>
      <c r="M9" s="3"/>
      <c r="N9" s="3"/>
      <c r="O9" s="3"/>
      <c r="P9" s="45">
        <f>VLOOKUP($B$2,alue5,35,FALSE)*0.001</f>
        <v>12824563.849577494</v>
      </c>
    </row>
    <row r="10" spans="2:16" ht="12.75">
      <c r="B10" s="3" t="s">
        <v>635</v>
      </c>
      <c r="C10" s="3"/>
      <c r="D10" s="3"/>
      <c r="E10" s="45">
        <f>Tuloslaskelma!C30</f>
        <v>-70000.00000000001</v>
      </c>
      <c r="L10" s="3" t="s">
        <v>442</v>
      </c>
      <c r="M10" s="3"/>
      <c r="N10" s="3"/>
      <c r="O10" s="3"/>
      <c r="P10" s="45">
        <f>VLOOKUP($B$2,alue5,36,FALSE)*0.001</f>
        <v>572462.3520572468</v>
      </c>
    </row>
    <row r="11" spans="2:16" ht="12.75">
      <c r="B11" s="3" t="s">
        <v>558</v>
      </c>
      <c r="C11" s="3"/>
      <c r="D11" s="3"/>
      <c r="E11" s="380">
        <f>Tuloslaskelma!C62</f>
        <v>-58993</v>
      </c>
      <c r="L11" s="3" t="s">
        <v>624</v>
      </c>
      <c r="M11" s="3"/>
      <c r="N11" s="3"/>
      <c r="O11" s="3"/>
      <c r="P11" s="45">
        <f>VLOOKUP(B2,alue5,48,FALSE)</f>
        <v>4880968.767681657</v>
      </c>
    </row>
    <row r="12" spans="2:16" ht="12.75">
      <c r="B12" s="3"/>
      <c r="C12" s="3"/>
      <c r="D12" s="3"/>
      <c r="E12" s="3"/>
      <c r="L12" s="3" t="s">
        <v>653</v>
      </c>
      <c r="M12" s="3"/>
      <c r="N12" s="3"/>
      <c r="O12" s="3"/>
      <c r="P12" s="45">
        <f>VLOOKUP(B2,alue5,50,FALSE)*-0.001</f>
        <v>1588300.0104999996</v>
      </c>
    </row>
    <row r="13" spans="2:17" ht="12.75">
      <c r="B13" s="3"/>
      <c r="C13" s="3"/>
      <c r="D13" s="3"/>
      <c r="E13" s="3"/>
      <c r="L13" s="3" t="s">
        <v>631</v>
      </c>
      <c r="M13" s="3"/>
      <c r="N13" s="3"/>
      <c r="O13" s="3"/>
      <c r="P13" s="45">
        <f>VLOOKUP(B2,alue5,49,FALSE)*-1</f>
        <v>2.269189280923456E-10</v>
      </c>
      <c r="Q13" s="3" t="s">
        <v>684</v>
      </c>
    </row>
    <row r="14" spans="2:16" ht="12.75">
      <c r="B14" s="3"/>
      <c r="C14" s="3"/>
      <c r="D14" s="3"/>
      <c r="E14" s="3"/>
      <c r="L14" s="30"/>
      <c r="M14" s="30"/>
      <c r="N14" s="30"/>
      <c r="O14" s="30"/>
      <c r="P14" s="30"/>
    </row>
    <row r="15" spans="2:16" ht="15.75">
      <c r="B15" s="312" t="s">
        <v>621</v>
      </c>
      <c r="C15" s="312"/>
      <c r="D15" s="312"/>
      <c r="E15" s="381">
        <f>SUM(E9:E14)</f>
        <v>-20003294.276179988</v>
      </c>
      <c r="L15" s="312" t="s">
        <v>622</v>
      </c>
      <c r="M15" s="312"/>
      <c r="N15" s="312"/>
      <c r="O15" s="312"/>
      <c r="P15" s="381">
        <f>SUM(P9:P14)</f>
        <v>19866294.979816396</v>
      </c>
    </row>
    <row r="17" spans="4:5" ht="12.75">
      <c r="D17" s="3"/>
      <c r="E17" s="379"/>
    </row>
    <row r="23" spans="7:15" ht="15">
      <c r="G23" s="312" t="s">
        <v>623</v>
      </c>
      <c r="H23" s="312"/>
      <c r="I23" s="381">
        <f>E15+P15-E10</f>
        <v>-66999.29636359213</v>
      </c>
      <c r="O23" s="114"/>
    </row>
    <row r="24" spans="7:15" ht="15">
      <c r="G24" s="312"/>
      <c r="H24" s="312"/>
      <c r="I24" s="312"/>
      <c r="O24" s="114"/>
    </row>
    <row r="25" spans="7:15" ht="15">
      <c r="G25" s="312" t="s">
        <v>625</v>
      </c>
      <c r="H25" s="312"/>
      <c r="I25" s="381">
        <f>I23*0.6+(Tuloslaskelma!A10*-0.00488321496492232)</f>
        <v>-66999.29636359442</v>
      </c>
      <c r="O25" s="114"/>
    </row>
    <row r="27" ht="13.5">
      <c r="B27" s="316" t="s">
        <v>634</v>
      </c>
    </row>
    <row r="28" ht="13.5">
      <c r="B28" s="313" t="s">
        <v>681</v>
      </c>
    </row>
    <row r="29" ht="13.5">
      <c r="B29" s="313" t="s">
        <v>687</v>
      </c>
    </row>
    <row r="30" ht="13.5">
      <c r="B30" s="313" t="s">
        <v>636</v>
      </c>
    </row>
    <row r="31" ht="13.5">
      <c r="B31" s="313" t="s">
        <v>637</v>
      </c>
    </row>
    <row r="32" ht="13.5">
      <c r="B32" s="313" t="s">
        <v>639</v>
      </c>
    </row>
    <row r="33" ht="13.5">
      <c r="B33" s="313" t="s">
        <v>640</v>
      </c>
    </row>
    <row r="34" ht="13.5">
      <c r="B34" s="313" t="s">
        <v>641</v>
      </c>
    </row>
    <row r="35" ht="13.5">
      <c r="B35" s="313" t="s">
        <v>638</v>
      </c>
    </row>
  </sheetData>
  <sheetProtection/>
  <printOptions/>
  <pageMargins left="0.7" right="0.7" top="0.75" bottom="0.75" header="0.3" footer="0.3"/>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Taul2"/>
  <dimension ref="A1:F39"/>
  <sheetViews>
    <sheetView zoomScalePageLayoutView="0" workbookViewId="0" topLeftCell="A1">
      <pane xSplit="1" ySplit="7" topLeftCell="B8" activePane="bottomRight" state="frozen"/>
      <selection pane="topLeft" activeCell="C16" sqref="C16"/>
      <selection pane="topRight" activeCell="C16" sqref="C16"/>
      <selection pane="bottomLeft" activeCell="C16" sqref="C16"/>
      <selection pane="bottomRight" activeCell="C16" sqref="C16"/>
    </sheetView>
  </sheetViews>
  <sheetFormatPr defaultColWidth="9.140625" defaultRowHeight="12.75"/>
  <cols>
    <col min="1" max="1" width="47.28125" style="5" customWidth="1"/>
    <col min="2" max="2" width="13.00390625" style="5" customWidth="1"/>
    <col min="3" max="3" width="11.7109375" style="5" customWidth="1"/>
    <col min="4" max="4" width="20.140625" style="5" bestFit="1" customWidth="1"/>
    <col min="5" max="5" width="4.7109375" style="5" customWidth="1"/>
    <col min="6" max="6" width="98.8515625" style="27" customWidth="1"/>
    <col min="7" max="16384" width="9.140625" style="5" customWidth="1"/>
  </cols>
  <sheetData>
    <row r="1" spans="1:2" ht="12.75">
      <c r="A1" s="4"/>
      <c r="B1" s="6"/>
    </row>
    <row r="2" spans="1:6" ht="18">
      <c r="A2" s="254" t="s">
        <v>597</v>
      </c>
      <c r="B2" s="255"/>
      <c r="C2" s="250"/>
      <c r="D2" s="37" t="s">
        <v>599</v>
      </c>
      <c r="E2" s="33"/>
      <c r="F2" s="47"/>
    </row>
    <row r="3" spans="1:6" ht="17.25" customHeight="1">
      <c r="A3" s="247" t="s">
        <v>598</v>
      </c>
      <c r="B3" s="255"/>
      <c r="C3" s="250"/>
      <c r="D3" s="250"/>
      <c r="E3" s="33"/>
      <c r="F3" s="47"/>
    </row>
    <row r="4" spans="1:6" ht="11.25" customHeight="1">
      <c r="A4" s="250" t="s">
        <v>610</v>
      </c>
      <c r="B4" s="255"/>
      <c r="C4" s="250"/>
      <c r="D4" s="250"/>
      <c r="E4" s="33"/>
      <c r="F4" s="47"/>
    </row>
    <row r="5" spans="1:6" ht="14.25" customHeight="1">
      <c r="A5" s="33"/>
      <c r="B5" s="33"/>
      <c r="C5" s="33"/>
      <c r="D5" s="33"/>
      <c r="E5" s="33"/>
      <c r="F5" s="47"/>
    </row>
    <row r="6" spans="1:6" ht="14.25" customHeight="1">
      <c r="A6" s="33" t="str">
        <f>linkki</f>
        <v>Manner-Suomi</v>
      </c>
      <c r="B6" s="35" t="s">
        <v>575</v>
      </c>
      <c r="C6" s="35" t="s">
        <v>446</v>
      </c>
      <c r="D6" s="35" t="s">
        <v>511</v>
      </c>
      <c r="E6" s="33"/>
      <c r="F6" s="47"/>
    </row>
    <row r="7" spans="1:6" ht="14.25" customHeight="1">
      <c r="A7" s="36" t="s">
        <v>467</v>
      </c>
      <c r="B7" s="171"/>
      <c r="C7" s="171"/>
      <c r="D7" s="171"/>
      <c r="E7" s="33"/>
      <c r="F7" s="34" t="s">
        <v>105</v>
      </c>
    </row>
    <row r="8" spans="1:6" ht="15" customHeight="1">
      <c r="A8" s="7" t="s">
        <v>18</v>
      </c>
      <c r="B8" s="6"/>
      <c r="F8" s="47"/>
    </row>
    <row r="9" spans="1:6" ht="15" customHeight="1">
      <c r="A9" s="32" t="s">
        <v>7</v>
      </c>
      <c r="B9" s="318">
        <f>Tuloslaskelma!$B$60</f>
        <v>2498418.4726660554</v>
      </c>
      <c r="C9" s="30"/>
      <c r="D9" s="318">
        <f>Tuloslaskelma!D60</f>
        <v>2462087.4455993013</v>
      </c>
      <c r="F9" s="47" t="s">
        <v>604</v>
      </c>
    </row>
    <row r="10" spans="1:6" ht="15" customHeight="1">
      <c r="A10" s="32" t="s">
        <v>8</v>
      </c>
      <c r="B10" s="319">
        <f>Tuloslaskelma!$B$63+Tuloslaskelma!$B$64</f>
        <v>0</v>
      </c>
      <c r="C10" s="30"/>
      <c r="D10" s="319">
        <f>Tuloslaskelma!D63+Tuloslaskelma!D64</f>
        <v>0</v>
      </c>
      <c r="F10" s="47" t="s">
        <v>604</v>
      </c>
    </row>
    <row r="11" spans="1:6" ht="15" customHeight="1">
      <c r="A11" s="5" t="s">
        <v>15</v>
      </c>
      <c r="B11" s="319" t="e">
        <f>VLOOKUP(linkki,TPA17,27,FALSE)</f>
        <v>#REF!</v>
      </c>
      <c r="C11" s="320"/>
      <c r="D11" s="321" t="e">
        <f>B11-C11</f>
        <v>#REF!</v>
      </c>
      <c r="F11" s="47"/>
    </row>
    <row r="12" spans="1:6" ht="15" customHeight="1">
      <c r="A12" s="7" t="s">
        <v>19</v>
      </c>
      <c r="B12" s="54"/>
      <c r="C12" s="322"/>
      <c r="D12" s="323"/>
      <c r="F12" s="47"/>
    </row>
    <row r="13" spans="1:6" ht="15" customHeight="1">
      <c r="A13" s="32" t="s">
        <v>16</v>
      </c>
      <c r="B13" s="318" t="e">
        <f>-VLOOKUP(linkki,TPA17,16,FALSE)</f>
        <v>#REF!</v>
      </c>
      <c r="C13" s="324"/>
      <c r="D13" s="318" t="e">
        <f>B13-C13</f>
        <v>#REF!</v>
      </c>
      <c r="F13" s="47" t="s">
        <v>111</v>
      </c>
    </row>
    <row r="14" spans="1:6" ht="15" customHeight="1">
      <c r="A14" s="32" t="s">
        <v>20</v>
      </c>
      <c r="B14" s="319" t="e">
        <f>VLOOKUP(linkki,TPA17,17,FALSE)</f>
        <v>#REF!</v>
      </c>
      <c r="C14" s="325"/>
      <c r="D14" s="319" t="e">
        <f>B14-C14</f>
        <v>#REF!</v>
      </c>
      <c r="F14" s="47" t="s">
        <v>465</v>
      </c>
    </row>
    <row r="15" spans="1:6" ht="15" customHeight="1">
      <c r="A15" s="32" t="s">
        <v>21</v>
      </c>
      <c r="B15" s="319" t="e">
        <f>VLOOKUP(linkki,TPA17,18,FALSE)</f>
        <v>#REF!</v>
      </c>
      <c r="C15" s="326"/>
      <c r="D15" s="319" t="e">
        <f>B15-C15</f>
        <v>#REF!</v>
      </c>
      <c r="F15" s="47" t="s">
        <v>513</v>
      </c>
    </row>
    <row r="16" spans="1:6" s="7" customFormat="1" ht="15" customHeight="1">
      <c r="A16" s="7" t="s">
        <v>27</v>
      </c>
      <c r="B16" s="327" t="e">
        <f>SUM(B9:B15)</f>
        <v>#REF!</v>
      </c>
      <c r="C16" s="328"/>
      <c r="D16" s="327" t="e">
        <f>SUM(D9:D15)</f>
        <v>#REF!</v>
      </c>
      <c r="F16" s="34"/>
    </row>
    <row r="17" spans="2:6" ht="15" customHeight="1">
      <c r="B17" s="107"/>
      <c r="C17" s="322"/>
      <c r="D17" s="322"/>
      <c r="F17" s="47"/>
    </row>
    <row r="18" spans="1:6" ht="15" customHeight="1">
      <c r="A18" s="7" t="s">
        <v>22</v>
      </c>
      <c r="B18" s="53"/>
      <c r="C18" s="322"/>
      <c r="D18" s="322"/>
      <c r="F18" s="47"/>
    </row>
    <row r="19" spans="1:6" ht="15" customHeight="1">
      <c r="A19" s="32" t="s">
        <v>11</v>
      </c>
      <c r="B19" s="329" t="e">
        <f>B20+B21</f>
        <v>#REF!</v>
      </c>
      <c r="C19" s="322"/>
      <c r="D19" s="329" t="e">
        <f>D20+D21</f>
        <v>#REF!</v>
      </c>
      <c r="F19" s="47"/>
    </row>
    <row r="20" spans="1:6" ht="15" customHeight="1">
      <c r="A20" s="236" t="s">
        <v>457</v>
      </c>
      <c r="B20" s="319" t="e">
        <f>-VLOOKUP(linkki,TPA17,19,FALSE)</f>
        <v>#REF!</v>
      </c>
      <c r="C20" s="324"/>
      <c r="D20" s="319" t="e">
        <f>B20-C20</f>
        <v>#REF!</v>
      </c>
      <c r="F20" s="47"/>
    </row>
    <row r="21" spans="1:6" ht="15" customHeight="1">
      <c r="A21" s="236" t="s">
        <v>458</v>
      </c>
      <c r="B21" s="319" t="e">
        <f>VLOOKUP(linkki,TPA17,20,FALSE)</f>
        <v>#REF!</v>
      </c>
      <c r="C21" s="326"/>
      <c r="D21" s="319" t="e">
        <f>B21-C21</f>
        <v>#REF!</v>
      </c>
      <c r="F21" s="47"/>
    </row>
    <row r="22" spans="1:6" ht="15" customHeight="1">
      <c r="A22" s="32" t="s">
        <v>12</v>
      </c>
      <c r="B22" s="235" t="e">
        <f>B23+B24+B25</f>
        <v>#REF!</v>
      </c>
      <c r="C22" s="322"/>
      <c r="D22" s="235" t="e">
        <f>D23+D24+D25</f>
        <v>#REF!</v>
      </c>
      <c r="F22" s="47"/>
    </row>
    <row r="23" spans="1:6" ht="15" customHeight="1">
      <c r="A23" s="236" t="s">
        <v>454</v>
      </c>
      <c r="B23" s="319" t="e">
        <f>VLOOKUP(linkki,TPA17,21,FALSE)</f>
        <v>#REF!</v>
      </c>
      <c r="C23" s="324"/>
      <c r="D23" s="319" t="e">
        <f>B23-C23</f>
        <v>#REF!</v>
      </c>
      <c r="F23" s="47" t="s">
        <v>112</v>
      </c>
    </row>
    <row r="24" spans="1:6" ht="15" customHeight="1">
      <c r="A24" s="236" t="s">
        <v>455</v>
      </c>
      <c r="B24" s="319" t="e">
        <f>-VLOOKUP(linkki,TPA17,22,FALSE)</f>
        <v>#REF!</v>
      </c>
      <c r="C24" s="325"/>
      <c r="D24" s="319" t="e">
        <f>B24-C24</f>
        <v>#REF!</v>
      </c>
      <c r="F24" s="47"/>
    </row>
    <row r="25" spans="1:6" ht="15" customHeight="1">
      <c r="A25" s="236" t="s">
        <v>456</v>
      </c>
      <c r="B25" s="319" t="e">
        <f>VLOOKUP(linkki,TPA17,23,FALSE)</f>
        <v>#REF!</v>
      </c>
      <c r="C25" s="325"/>
      <c r="D25" s="319" t="e">
        <f>B25-C25</f>
        <v>#REF!</v>
      </c>
      <c r="F25" s="47"/>
    </row>
    <row r="26" spans="1:6" ht="15" customHeight="1">
      <c r="A26" s="5" t="s">
        <v>13</v>
      </c>
      <c r="B26" s="235"/>
      <c r="C26" s="330"/>
      <c r="D26" s="235"/>
      <c r="F26" s="47"/>
    </row>
    <row r="27" spans="1:6" ht="15" customHeight="1">
      <c r="A27" s="5" t="s">
        <v>14</v>
      </c>
      <c r="B27" s="235">
        <f>B28+B29+B30+B31</f>
        <v>0</v>
      </c>
      <c r="C27" s="322"/>
      <c r="D27" s="235">
        <f>D28+D29+D30+D31</f>
        <v>0</v>
      </c>
      <c r="F27" s="47"/>
    </row>
    <row r="28" spans="1:6" ht="15" customHeight="1">
      <c r="A28" s="31" t="s">
        <v>450</v>
      </c>
      <c r="B28" s="319"/>
      <c r="C28" s="324"/>
      <c r="D28" s="319">
        <f>B28-C28</f>
        <v>0</v>
      </c>
      <c r="F28" s="47" t="s">
        <v>459</v>
      </c>
    </row>
    <row r="29" spans="1:6" ht="12.75">
      <c r="A29" s="31" t="s">
        <v>451</v>
      </c>
      <c r="B29" s="319"/>
      <c r="C29" s="325"/>
      <c r="D29" s="319">
        <f>B29-C29</f>
        <v>0</v>
      </c>
      <c r="F29" s="47" t="s">
        <v>113</v>
      </c>
    </row>
    <row r="30" spans="1:6" ht="15" customHeight="1">
      <c r="A30" s="31" t="s">
        <v>452</v>
      </c>
      <c r="B30" s="319"/>
      <c r="C30" s="325"/>
      <c r="D30" s="319">
        <f>B30-C30</f>
        <v>0</v>
      </c>
      <c r="F30" s="47"/>
    </row>
    <row r="31" spans="1:6" ht="15" customHeight="1">
      <c r="A31" s="31" t="s">
        <v>453</v>
      </c>
      <c r="B31" s="319"/>
      <c r="C31" s="326"/>
      <c r="D31" s="319">
        <f>B31-C31</f>
        <v>0</v>
      </c>
      <c r="F31" s="47" t="s">
        <v>460</v>
      </c>
    </row>
    <row r="32" spans="1:6" ht="15" customHeight="1">
      <c r="A32" s="49" t="s">
        <v>22</v>
      </c>
      <c r="B32" s="327" t="e">
        <f>B19+B22+B26+B27</f>
        <v>#REF!</v>
      </c>
      <c r="C32" s="322"/>
      <c r="D32" s="327" t="e">
        <f>D19+D22+C26+D27</f>
        <v>#REF!</v>
      </c>
      <c r="F32" s="50" t="s">
        <v>461</v>
      </c>
    </row>
    <row r="33" spans="2:6" ht="12.75">
      <c r="B33" s="54"/>
      <c r="C33" s="30"/>
      <c r="D33" s="30"/>
      <c r="F33" s="50" t="s">
        <v>462</v>
      </c>
    </row>
    <row r="34" spans="1:6" s="7" customFormat="1" ht="15" customHeight="1">
      <c r="A34" s="7" t="s">
        <v>17</v>
      </c>
      <c r="B34" s="292" t="e">
        <f>B16+B32</f>
        <v>#REF!</v>
      </c>
      <c r="C34" s="331"/>
      <c r="D34" s="292" t="e">
        <f>D32+D16</f>
        <v>#REF!</v>
      </c>
      <c r="F34" s="50" t="s">
        <v>463</v>
      </c>
    </row>
    <row r="35" spans="2:6" s="7" customFormat="1" ht="25.5">
      <c r="B35" s="160"/>
      <c r="C35" s="332"/>
      <c r="D35" s="332"/>
      <c r="F35" s="50" t="s">
        <v>464</v>
      </c>
    </row>
    <row r="36" spans="2:6" ht="15" customHeight="1">
      <c r="B36" s="54"/>
      <c r="C36" s="333"/>
      <c r="D36" s="54"/>
      <c r="F36" s="47"/>
    </row>
    <row r="37" spans="1:6" s="7" customFormat="1" ht="12.75">
      <c r="A37" s="7" t="s">
        <v>102</v>
      </c>
      <c r="B37" s="334" t="e">
        <f>(Tuloslaskelma!B60-Tuloslaskelma!B57)/(-Tuloslaskelma!B57-B24)</f>
        <v>#REF!</v>
      </c>
      <c r="C37" s="333"/>
      <c r="D37" s="334" t="e">
        <f>(Tuloslaskelma!D60-Tuloslaskelma!D57)/(-Tuloslaskelma!D57-D24)</f>
        <v>#REF!</v>
      </c>
      <c r="F37" s="48" t="s">
        <v>121</v>
      </c>
    </row>
    <row r="38" spans="1:6" ht="15" customHeight="1">
      <c r="A38" s="9"/>
      <c r="B38" s="335"/>
      <c r="C38" s="335"/>
      <c r="D38" s="336"/>
      <c r="E38" s="10"/>
      <c r="F38" s="28"/>
    </row>
    <row r="39" spans="1:4" ht="12.75">
      <c r="A39" s="7" t="s">
        <v>477</v>
      </c>
      <c r="B39" s="334" t="e">
        <f>B9/(-B13-B14)*(100)</f>
        <v>#REF!</v>
      </c>
      <c r="C39" s="335"/>
      <c r="D39" s="334" t="e">
        <f>D9/(-D13-D14)*(100)</f>
        <v>#REF!</v>
      </c>
    </row>
  </sheetData>
  <sheetProtection/>
  <printOptions/>
  <pageMargins left="0.7" right="0.7" top="0.75" bottom="0.75" header="0.3" footer="0.3"/>
  <pageSetup horizontalDpi="600" verticalDpi="600" orientation="portrait" paperSize="9" r:id="rId2"/>
  <ignoredErrors>
    <ignoredError sqref="D22" formula="1"/>
  </ignoredErrors>
  <drawing r:id="rId1"/>
</worksheet>
</file>

<file path=xl/worksheets/sheet5.xml><?xml version="1.0" encoding="utf-8"?>
<worksheet xmlns="http://schemas.openxmlformats.org/spreadsheetml/2006/main" xmlns:r="http://schemas.openxmlformats.org/officeDocument/2006/relationships">
  <sheetPr codeName="Taul3"/>
  <dimension ref="A1:E123"/>
  <sheetViews>
    <sheetView zoomScalePageLayoutView="0" workbookViewId="0" topLeftCell="A1">
      <pane xSplit="1" ySplit="5" topLeftCell="B6" activePane="bottomRight" state="frozen"/>
      <selection pane="topLeft" activeCell="C16" sqref="C16"/>
      <selection pane="topRight" activeCell="C16" sqref="C16"/>
      <selection pane="bottomLeft" activeCell="C16" sqref="C16"/>
      <selection pane="bottomRight" activeCell="C16" sqref="C16"/>
    </sheetView>
  </sheetViews>
  <sheetFormatPr defaultColWidth="9.140625" defaultRowHeight="12.75"/>
  <cols>
    <col min="1" max="1" width="43.28125" style="5" customWidth="1"/>
    <col min="2" max="2" width="13.7109375" style="5" customWidth="1"/>
    <col min="3" max="3" width="19.57421875" style="5" customWidth="1"/>
    <col min="4" max="4" width="13.57421875" style="5" customWidth="1"/>
    <col min="5" max="5" width="118.28125" style="27" customWidth="1"/>
    <col min="6" max="16384" width="9.140625" style="5" customWidth="1"/>
  </cols>
  <sheetData>
    <row r="1" spans="1:5" ht="15" customHeight="1">
      <c r="A1" s="9"/>
      <c r="B1" s="10"/>
      <c r="C1" s="10"/>
      <c r="D1" s="10"/>
      <c r="E1" s="28"/>
    </row>
    <row r="2" spans="1:5" ht="15" customHeight="1">
      <c r="A2" s="256" t="s">
        <v>600</v>
      </c>
      <c r="B2" s="257"/>
      <c r="C2" s="10"/>
      <c r="D2" s="10"/>
      <c r="E2" s="28"/>
    </row>
    <row r="3" spans="1:5" ht="15" customHeight="1">
      <c r="A3" s="258" t="s">
        <v>602</v>
      </c>
      <c r="B3" s="259" t="s">
        <v>612</v>
      </c>
      <c r="C3" s="10"/>
      <c r="D3" s="32"/>
      <c r="E3" s="28"/>
    </row>
    <row r="4" spans="1:5" ht="15" customHeight="1">
      <c r="A4" s="66" t="s">
        <v>466</v>
      </c>
      <c r="C4" s="10"/>
      <c r="D4" s="10"/>
      <c r="E4" s="28"/>
    </row>
    <row r="5" spans="1:4" ht="15" customHeight="1">
      <c r="A5" s="11" t="s">
        <v>28</v>
      </c>
      <c r="B5" s="12" t="s">
        <v>577</v>
      </c>
      <c r="C5" s="72" t="s">
        <v>431</v>
      </c>
      <c r="D5" s="67" t="s">
        <v>511</v>
      </c>
    </row>
    <row r="6" spans="1:4" ht="15" customHeight="1">
      <c r="A6" s="22" t="str">
        <f>Tuloslaskelma!A8</f>
        <v>Manner-Suomi</v>
      </c>
      <c r="B6" s="237" t="s">
        <v>603</v>
      </c>
      <c r="C6" s="3"/>
      <c r="D6" s="238"/>
    </row>
    <row r="7" spans="1:5" ht="15" customHeight="1">
      <c r="A7" s="23" t="s">
        <v>30</v>
      </c>
      <c r="B7" s="337" t="e">
        <f>B8+B13+B21</f>
        <v>#REF!</v>
      </c>
      <c r="C7" s="337"/>
      <c r="D7" s="337" t="e">
        <f>D8+D13+D21</f>
        <v>#REF!</v>
      </c>
      <c r="E7" s="79"/>
    </row>
    <row r="8" spans="1:5" ht="15" customHeight="1">
      <c r="A8" s="14" t="s">
        <v>32</v>
      </c>
      <c r="B8" s="338">
        <f>B9+B10+B11</f>
        <v>0</v>
      </c>
      <c r="C8" s="339"/>
      <c r="D8" s="338">
        <f>D9+D10+D11</f>
        <v>0</v>
      </c>
      <c r="E8" s="79"/>
    </row>
    <row r="9" spans="1:5" ht="12" customHeight="1">
      <c r="A9" s="61" t="s">
        <v>34</v>
      </c>
      <c r="B9" s="340"/>
      <c r="C9" s="341"/>
      <c r="D9" s="342">
        <f>B9-C9</f>
        <v>0</v>
      </c>
      <c r="E9" s="78" t="s">
        <v>470</v>
      </c>
    </row>
    <row r="10" spans="1:5" ht="17.25" customHeight="1">
      <c r="A10" s="61" t="s">
        <v>36</v>
      </c>
      <c r="B10" s="340"/>
      <c r="C10" s="343"/>
      <c r="D10" s="342">
        <f>B10-C10</f>
        <v>0</v>
      </c>
      <c r="E10" s="79"/>
    </row>
    <row r="11" spans="1:5" ht="15" customHeight="1">
      <c r="A11" s="61" t="s">
        <v>38</v>
      </c>
      <c r="B11" s="340"/>
      <c r="C11" s="344"/>
      <c r="D11" s="342">
        <f>B11-C11</f>
        <v>0</v>
      </c>
      <c r="E11" s="79"/>
    </row>
    <row r="12" spans="1:5" ht="15" customHeight="1">
      <c r="A12" s="17"/>
      <c r="B12" s="345"/>
      <c r="C12" s="346"/>
      <c r="D12" s="347"/>
      <c r="E12" s="79"/>
    </row>
    <row r="13" spans="1:5" ht="15" customHeight="1">
      <c r="A13" s="14" t="s">
        <v>41</v>
      </c>
      <c r="B13" s="338">
        <f>SUM(B14:B19)</f>
        <v>0</v>
      </c>
      <c r="C13" s="339"/>
      <c r="D13" s="338">
        <f>SUM(D14:D19)</f>
        <v>0</v>
      </c>
      <c r="E13" s="79"/>
    </row>
    <row r="14" spans="1:5" ht="15" customHeight="1">
      <c r="A14" s="61" t="s">
        <v>42</v>
      </c>
      <c r="B14" s="340"/>
      <c r="C14" s="341"/>
      <c r="D14" s="342">
        <f aca="true" t="shared" si="0" ref="D14:D19">B14-C14</f>
        <v>0</v>
      </c>
      <c r="E14" s="80" t="s">
        <v>447</v>
      </c>
    </row>
    <row r="15" spans="1:5" ht="15" customHeight="1">
      <c r="A15" s="61" t="s">
        <v>43</v>
      </c>
      <c r="B15" s="340"/>
      <c r="C15" s="343"/>
      <c r="D15" s="342">
        <f t="shared" si="0"/>
        <v>0</v>
      </c>
      <c r="E15" s="79" t="s">
        <v>471</v>
      </c>
    </row>
    <row r="16" spans="1:5" ht="15" customHeight="1">
      <c r="A16" s="61" t="s">
        <v>45</v>
      </c>
      <c r="B16" s="340"/>
      <c r="C16" s="343"/>
      <c r="D16" s="342">
        <f t="shared" si="0"/>
        <v>0</v>
      </c>
      <c r="E16" s="79"/>
    </row>
    <row r="17" spans="1:5" ht="14.25" customHeight="1">
      <c r="A17" s="61" t="s">
        <v>47</v>
      </c>
      <c r="B17" s="340"/>
      <c r="C17" s="343"/>
      <c r="D17" s="342">
        <f t="shared" si="0"/>
        <v>0</v>
      </c>
      <c r="E17" s="79" t="s">
        <v>448</v>
      </c>
    </row>
    <row r="18" spans="1:5" ht="16.5" customHeight="1">
      <c r="A18" s="61" t="s">
        <v>48</v>
      </c>
      <c r="B18" s="340"/>
      <c r="C18" s="343"/>
      <c r="D18" s="342">
        <f t="shared" si="0"/>
        <v>0</v>
      </c>
      <c r="E18" s="79" t="s">
        <v>472</v>
      </c>
    </row>
    <row r="19" spans="1:5" ht="15" customHeight="1">
      <c r="A19" s="61" t="s">
        <v>50</v>
      </c>
      <c r="B19" s="340"/>
      <c r="C19" s="344"/>
      <c r="D19" s="342">
        <f t="shared" si="0"/>
        <v>0</v>
      </c>
      <c r="E19" s="79"/>
    </row>
    <row r="20" spans="1:5" ht="15" customHeight="1">
      <c r="A20" s="18"/>
      <c r="B20" s="348"/>
      <c r="C20" s="30"/>
      <c r="D20" s="347"/>
      <c r="E20" s="79"/>
    </row>
    <row r="21" spans="1:5" ht="15" customHeight="1">
      <c r="A21" s="14" t="s">
        <v>53</v>
      </c>
      <c r="B21" s="338" t="e">
        <f>SUM(B22,B25:B27)</f>
        <v>#REF!</v>
      </c>
      <c r="C21" s="339"/>
      <c r="D21" s="338" t="e">
        <f>SUM(D22,D25:D27)</f>
        <v>#REF!</v>
      </c>
      <c r="E21" s="79"/>
    </row>
    <row r="22" spans="1:5" ht="12.75">
      <c r="A22" s="61" t="s">
        <v>54</v>
      </c>
      <c r="B22" s="340" t="e">
        <f>SUM(B23:B24)</f>
        <v>#REF!</v>
      </c>
      <c r="C22" s="349"/>
      <c r="D22" s="342" t="e">
        <f aca="true" t="shared" si="1" ref="D22:D27">B22-C22</f>
        <v>#REF!</v>
      </c>
      <c r="E22" s="79"/>
    </row>
    <row r="23" spans="1:5" ht="15" customHeight="1">
      <c r="A23" s="62" t="s">
        <v>98</v>
      </c>
      <c r="B23" s="340" t="e">
        <f>VLOOKUP(linkki,TPA17,28,FALSE)</f>
        <v>#REF!</v>
      </c>
      <c r="C23" s="350"/>
      <c r="D23" s="342" t="e">
        <f t="shared" si="1"/>
        <v>#REF!</v>
      </c>
      <c r="E23" s="79" t="s">
        <v>473</v>
      </c>
    </row>
    <row r="24" spans="1:5" ht="15" customHeight="1">
      <c r="A24" s="62" t="s">
        <v>99</v>
      </c>
      <c r="B24" s="340" t="e">
        <f>VLOOKUP(linkki,TPA17,29,FALSE)</f>
        <v>#REF!</v>
      </c>
      <c r="C24" s="350"/>
      <c r="D24" s="342" t="e">
        <f t="shared" si="1"/>
        <v>#REF!</v>
      </c>
      <c r="E24" s="79" t="s">
        <v>479</v>
      </c>
    </row>
    <row r="25" spans="1:5" ht="15" customHeight="1">
      <c r="A25" s="61" t="s">
        <v>56</v>
      </c>
      <c r="B25" s="340" t="e">
        <f>VLOOKUP(linkki,TPA17,30,FALSE)</f>
        <v>#REF!</v>
      </c>
      <c r="C25" s="350"/>
      <c r="D25" s="342" t="e">
        <f t="shared" si="1"/>
        <v>#REF!</v>
      </c>
      <c r="E25" s="79"/>
    </row>
    <row r="26" spans="1:5" ht="15" customHeight="1">
      <c r="A26" s="61" t="s">
        <v>58</v>
      </c>
      <c r="B26" s="340" t="e">
        <f>VLOOKUP(linkki,TPA17,31,FALSE)</f>
        <v>#REF!</v>
      </c>
      <c r="C26" s="350"/>
      <c r="D26" s="342" t="e">
        <f t="shared" si="1"/>
        <v>#REF!</v>
      </c>
      <c r="E26" s="79"/>
    </row>
    <row r="27" spans="1:5" ht="15" customHeight="1">
      <c r="A27" s="61" t="s">
        <v>60</v>
      </c>
      <c r="B27" s="340" t="e">
        <f>VLOOKUP(linkki,TPA17,32,FALSE)</f>
        <v>#REF!</v>
      </c>
      <c r="C27" s="351"/>
      <c r="D27" s="342" t="e">
        <f t="shared" si="1"/>
        <v>#REF!</v>
      </c>
      <c r="E27" s="79"/>
    </row>
    <row r="28" spans="1:5" ht="15" customHeight="1">
      <c r="A28" s="16"/>
      <c r="B28" s="348"/>
      <c r="C28" s="30"/>
      <c r="D28" s="347"/>
      <c r="E28" s="79"/>
    </row>
    <row r="29" spans="1:5" ht="15" customHeight="1">
      <c r="A29" s="19" t="s">
        <v>63</v>
      </c>
      <c r="B29" s="338" t="e">
        <f>IF(B30+B31+B32=0,VLOOKUP(linkki,TPA17,33,FALSE),B30+B31+B32)</f>
        <v>#REF!</v>
      </c>
      <c r="C29" s="339"/>
      <c r="D29" s="338" t="e">
        <f>IF(D30+D31+D32=0,VLOOKUP(linkki,TPA17,33,FALSE),D30+D31+D32)</f>
        <v>#REF!</v>
      </c>
      <c r="E29" s="79"/>
    </row>
    <row r="30" spans="1:5" ht="15" customHeight="1">
      <c r="A30" s="64" t="s">
        <v>57</v>
      </c>
      <c r="B30" s="340"/>
      <c r="C30" s="349"/>
      <c r="D30" s="342">
        <f>B30-C30</f>
        <v>0</v>
      </c>
      <c r="E30" s="79"/>
    </row>
    <row r="31" spans="1:5" ht="15.75" customHeight="1">
      <c r="A31" s="64" t="s">
        <v>65</v>
      </c>
      <c r="B31" s="340"/>
      <c r="C31" s="352"/>
      <c r="D31" s="342">
        <f>B31-C31</f>
        <v>0</v>
      </c>
      <c r="E31" s="79" t="s">
        <v>480</v>
      </c>
    </row>
    <row r="32" spans="1:5" ht="15" customHeight="1">
      <c r="A32" s="64" t="s">
        <v>67</v>
      </c>
      <c r="B32" s="340"/>
      <c r="C32" s="351"/>
      <c r="D32" s="342">
        <f>B32-C32</f>
        <v>0</v>
      </c>
      <c r="E32" s="79"/>
    </row>
    <row r="33" spans="1:5" ht="15" customHeight="1">
      <c r="A33" s="17"/>
      <c r="B33" s="348"/>
      <c r="C33" s="160"/>
      <c r="D33" s="347"/>
      <c r="E33" s="79"/>
    </row>
    <row r="34" spans="1:5" ht="15" customHeight="1">
      <c r="A34" s="14" t="s">
        <v>70</v>
      </c>
      <c r="B34" s="338">
        <f>B35+B43+B49+B55+B61</f>
        <v>0</v>
      </c>
      <c r="C34" s="339"/>
      <c r="D34" s="338">
        <f>D35+D43+D49+D55+D61</f>
        <v>0</v>
      </c>
      <c r="E34" s="79"/>
    </row>
    <row r="35" spans="1:5" ht="15" customHeight="1">
      <c r="A35" s="15" t="s">
        <v>72</v>
      </c>
      <c r="B35" s="340">
        <f>SUM(B36:B40)</f>
        <v>0</v>
      </c>
      <c r="C35" s="349"/>
      <c r="D35" s="342">
        <f aca="true" t="shared" si="2" ref="D35:D40">B35-C35</f>
        <v>0</v>
      </c>
      <c r="E35" s="79"/>
    </row>
    <row r="36" spans="1:5" ht="12.75">
      <c r="A36" s="61" t="s">
        <v>74</v>
      </c>
      <c r="B36" s="340"/>
      <c r="C36" s="350"/>
      <c r="D36" s="342">
        <f t="shared" si="2"/>
        <v>0</v>
      </c>
      <c r="E36" s="79" t="s">
        <v>114</v>
      </c>
    </row>
    <row r="37" spans="1:5" ht="15" customHeight="1">
      <c r="A37" s="61" t="s">
        <v>76</v>
      </c>
      <c r="B37" s="340"/>
      <c r="C37" s="352"/>
      <c r="D37" s="342">
        <f t="shared" si="2"/>
        <v>0</v>
      </c>
      <c r="E37" s="79"/>
    </row>
    <row r="38" spans="1:5" ht="15" customHeight="1">
      <c r="A38" s="61" t="s">
        <v>78</v>
      </c>
      <c r="B38" s="340"/>
      <c r="C38" s="350"/>
      <c r="D38" s="342">
        <f t="shared" si="2"/>
        <v>0</v>
      </c>
      <c r="E38" s="79"/>
    </row>
    <row r="39" spans="1:5" ht="15" customHeight="1">
      <c r="A39" s="61" t="s">
        <v>79</v>
      </c>
      <c r="B39" s="340"/>
      <c r="C39" s="350"/>
      <c r="D39" s="342">
        <f t="shared" si="2"/>
        <v>0</v>
      </c>
      <c r="E39" s="79"/>
    </row>
    <row r="40" spans="1:5" ht="15" customHeight="1">
      <c r="A40" s="61" t="s">
        <v>38</v>
      </c>
      <c r="B40" s="340"/>
      <c r="C40" s="351"/>
      <c r="D40" s="342">
        <f t="shared" si="2"/>
        <v>0</v>
      </c>
      <c r="E40" s="79"/>
    </row>
    <row r="41" spans="1:5" ht="15" customHeight="1">
      <c r="A41" s="17"/>
      <c r="B41" s="348"/>
      <c r="C41" s="30"/>
      <c r="D41" s="347"/>
      <c r="E41" s="79"/>
    </row>
    <row r="42" spans="1:5" ht="15" customHeight="1">
      <c r="A42" s="15" t="s">
        <v>81</v>
      </c>
      <c r="B42" s="348"/>
      <c r="C42" s="30"/>
      <c r="D42" s="347"/>
      <c r="E42" s="79"/>
    </row>
    <row r="43" spans="1:5" ht="15" customHeight="1">
      <c r="A43" s="60" t="s">
        <v>82</v>
      </c>
      <c r="B43" s="340">
        <f>SUM(B44:B47)</f>
        <v>0</v>
      </c>
      <c r="C43" s="353"/>
      <c r="D43" s="342">
        <f>B43-C43</f>
        <v>0</v>
      </c>
      <c r="E43" s="79" t="s">
        <v>115</v>
      </c>
    </row>
    <row r="44" spans="1:5" ht="15" customHeight="1">
      <c r="A44" s="61" t="s">
        <v>83</v>
      </c>
      <c r="B44" s="340"/>
      <c r="C44" s="350"/>
      <c r="D44" s="342">
        <f>B44-C44</f>
        <v>0</v>
      </c>
      <c r="E44" s="79"/>
    </row>
    <row r="45" spans="1:5" ht="15" customHeight="1">
      <c r="A45" s="61" t="s">
        <v>84</v>
      </c>
      <c r="B45" s="340"/>
      <c r="C45" s="350"/>
      <c r="D45" s="342">
        <f>B45-C45</f>
        <v>0</v>
      </c>
      <c r="E45" s="79"/>
    </row>
    <row r="46" spans="1:5" ht="15" customHeight="1">
      <c r="A46" s="61" t="s">
        <v>85</v>
      </c>
      <c r="B46" s="340"/>
      <c r="C46" s="350"/>
      <c r="D46" s="342">
        <f>B46-C46</f>
        <v>0</v>
      </c>
      <c r="E46" s="79"/>
    </row>
    <row r="47" spans="1:5" ht="15" customHeight="1">
      <c r="A47" s="61" t="s">
        <v>86</v>
      </c>
      <c r="B47" s="340"/>
      <c r="C47" s="351"/>
      <c r="D47" s="342">
        <f>B47-C47</f>
        <v>0</v>
      </c>
      <c r="E47" s="79"/>
    </row>
    <row r="48" spans="1:5" ht="15" customHeight="1">
      <c r="A48" s="17"/>
      <c r="B48" s="348"/>
      <c r="C48" s="354"/>
      <c r="D48" s="347"/>
      <c r="E48" s="79"/>
    </row>
    <row r="49" spans="1:5" ht="15" customHeight="1">
      <c r="A49" s="65" t="s">
        <v>87</v>
      </c>
      <c r="B49" s="355">
        <f>SUM(B50:B53)</f>
        <v>0</v>
      </c>
      <c r="C49" s="353"/>
      <c r="D49" s="342">
        <f>B49-C49</f>
        <v>0</v>
      </c>
      <c r="E49" s="79" t="s">
        <v>115</v>
      </c>
    </row>
    <row r="50" spans="1:5" ht="15" customHeight="1">
      <c r="A50" s="61" t="s">
        <v>83</v>
      </c>
      <c r="B50" s="340"/>
      <c r="C50" s="349"/>
      <c r="D50" s="342">
        <f>B50-C50</f>
        <v>0</v>
      </c>
      <c r="E50" s="79"/>
    </row>
    <row r="51" spans="1:5" ht="15" customHeight="1">
      <c r="A51" s="61" t="s">
        <v>84</v>
      </c>
      <c r="B51" s="340"/>
      <c r="C51" s="350"/>
      <c r="D51" s="342">
        <f>B51-C51</f>
        <v>0</v>
      </c>
      <c r="E51" s="79"/>
    </row>
    <row r="52" spans="1:5" ht="15" customHeight="1">
      <c r="A52" s="61" t="s">
        <v>85</v>
      </c>
      <c r="B52" s="340"/>
      <c r="C52" s="350"/>
      <c r="D52" s="342">
        <f>B52-C52</f>
        <v>0</v>
      </c>
      <c r="E52" s="79"/>
    </row>
    <row r="53" spans="1:5" ht="15" customHeight="1">
      <c r="A53" s="61" t="s">
        <v>86</v>
      </c>
      <c r="B53" s="340"/>
      <c r="C53" s="351"/>
      <c r="D53" s="342">
        <f>B53-C53</f>
        <v>0</v>
      </c>
      <c r="E53" s="79"/>
    </row>
    <row r="54" spans="1:5" ht="15" customHeight="1">
      <c r="A54" s="17"/>
      <c r="B54" s="348"/>
      <c r="C54" s="30"/>
      <c r="D54" s="347"/>
      <c r="E54" s="79"/>
    </row>
    <row r="55" spans="1:5" ht="15" customHeight="1">
      <c r="A55" s="15" t="s">
        <v>89</v>
      </c>
      <c r="B55" s="355">
        <f>SUM(B56:B59)</f>
        <v>0</v>
      </c>
      <c r="C55" s="353"/>
      <c r="D55" s="342">
        <f>B55-C55</f>
        <v>0</v>
      </c>
      <c r="E55" s="79"/>
    </row>
    <row r="56" spans="1:5" ht="15" customHeight="1">
      <c r="A56" s="61" t="s">
        <v>54</v>
      </c>
      <c r="B56" s="340"/>
      <c r="C56" s="356"/>
      <c r="D56" s="342">
        <f>B56-C56</f>
        <v>0</v>
      </c>
      <c r="E56" s="79" t="s">
        <v>116</v>
      </c>
    </row>
    <row r="57" spans="1:5" ht="15" customHeight="1">
      <c r="A57" s="61" t="s">
        <v>90</v>
      </c>
      <c r="B57" s="340"/>
      <c r="C57" s="356"/>
      <c r="D57" s="342">
        <f>B57-C57</f>
        <v>0</v>
      </c>
      <c r="E57" s="79"/>
    </row>
    <row r="58" spans="1:5" ht="15" customHeight="1">
      <c r="A58" s="61" t="s">
        <v>56</v>
      </c>
      <c r="B58" s="340"/>
      <c r="C58" s="356"/>
      <c r="D58" s="342">
        <f>B58-C58</f>
        <v>0</v>
      </c>
      <c r="E58" s="79"/>
    </row>
    <row r="59" spans="1:5" ht="15" customHeight="1">
      <c r="A59" s="61" t="s">
        <v>91</v>
      </c>
      <c r="B59" s="340"/>
      <c r="C59" s="351"/>
      <c r="D59" s="342">
        <f>B59-C59</f>
        <v>0</v>
      </c>
      <c r="E59" s="79"/>
    </row>
    <row r="60" spans="1:5" ht="15" customHeight="1">
      <c r="A60" s="17"/>
      <c r="B60" s="348"/>
      <c r="C60" s="160"/>
      <c r="D60" s="347"/>
      <c r="E60" s="79"/>
    </row>
    <row r="61" spans="1:5" ht="15" customHeight="1">
      <c r="A61" s="65" t="s">
        <v>94</v>
      </c>
      <c r="B61" s="340"/>
      <c r="C61" s="357"/>
      <c r="D61" s="342">
        <f>B61-C61</f>
        <v>0</v>
      </c>
      <c r="E61" s="79"/>
    </row>
    <row r="62" spans="1:5" ht="15" customHeight="1">
      <c r="A62" s="17"/>
      <c r="B62" s="348"/>
      <c r="C62" s="30"/>
      <c r="D62" s="347"/>
      <c r="E62" s="79"/>
    </row>
    <row r="63" spans="1:5" ht="15" customHeight="1">
      <c r="A63" s="21" t="s">
        <v>96</v>
      </c>
      <c r="B63" s="358" t="e">
        <f>B7+B34+B29</f>
        <v>#REF!</v>
      </c>
      <c r="C63" s="358"/>
      <c r="D63" s="358" t="e">
        <f>D7+D34+D29</f>
        <v>#REF!</v>
      </c>
      <c r="E63" s="79"/>
    </row>
    <row r="64" spans="1:5" ht="15" customHeight="1">
      <c r="A64" s="3"/>
      <c r="B64" s="348"/>
      <c r="C64" s="30"/>
      <c r="D64" s="347"/>
      <c r="E64" s="79"/>
    </row>
    <row r="65" spans="1:5" ht="15" customHeight="1">
      <c r="A65" s="13" t="s">
        <v>29</v>
      </c>
      <c r="B65" s="348"/>
      <c r="C65" s="30"/>
      <c r="D65" s="347"/>
      <c r="E65" s="79"/>
    </row>
    <row r="66" spans="1:5" ht="15" customHeight="1">
      <c r="A66" s="24"/>
      <c r="B66" s="348"/>
      <c r="C66" s="30"/>
      <c r="D66" s="347"/>
      <c r="E66" s="79"/>
    </row>
    <row r="67" spans="1:5" ht="15" customHeight="1">
      <c r="A67" s="23" t="s">
        <v>31</v>
      </c>
      <c r="B67" s="358">
        <f>SUM(B68:B72)</f>
        <v>0</v>
      </c>
      <c r="C67" s="358"/>
      <c r="D67" s="358">
        <f>SUM(D68:D72)</f>
        <v>0</v>
      </c>
      <c r="E67" s="79"/>
    </row>
    <row r="68" spans="1:5" ht="14.25" customHeight="1">
      <c r="A68" s="65" t="s">
        <v>33</v>
      </c>
      <c r="B68" s="340"/>
      <c r="C68" s="349"/>
      <c r="D68" s="342">
        <f>B68-C68</f>
        <v>0</v>
      </c>
      <c r="E68" s="79" t="s">
        <v>474</v>
      </c>
    </row>
    <row r="69" spans="1:5" ht="15.75" customHeight="1">
      <c r="A69" s="63" t="s">
        <v>35</v>
      </c>
      <c r="B69" s="340"/>
      <c r="C69" s="350"/>
      <c r="D69" s="342">
        <f>B69-C69</f>
        <v>0</v>
      </c>
      <c r="E69" s="79" t="s">
        <v>475</v>
      </c>
    </row>
    <row r="70" spans="1:5" ht="15" customHeight="1">
      <c r="A70" s="63" t="s">
        <v>37</v>
      </c>
      <c r="B70" s="340"/>
      <c r="C70" s="350"/>
      <c r="D70" s="342">
        <f>B70-C70</f>
        <v>0</v>
      </c>
      <c r="E70" s="79"/>
    </row>
    <row r="71" spans="1:5" ht="15" customHeight="1">
      <c r="A71" s="65" t="s">
        <v>39</v>
      </c>
      <c r="B71" s="340"/>
      <c r="C71" s="350"/>
      <c r="D71" s="342">
        <f>B71-C71</f>
        <v>0</v>
      </c>
      <c r="E71" s="79"/>
    </row>
    <row r="72" spans="1:5" ht="15" customHeight="1">
      <c r="A72" s="65" t="s">
        <v>40</v>
      </c>
      <c r="B72" s="340"/>
      <c r="C72" s="351"/>
      <c r="D72" s="342">
        <f>B72-C72</f>
        <v>0</v>
      </c>
      <c r="E72" s="79" t="s">
        <v>543</v>
      </c>
    </row>
    <row r="73" spans="1:5" ht="15" customHeight="1">
      <c r="A73" s="17"/>
      <c r="B73" s="348"/>
      <c r="C73" s="30"/>
      <c r="D73" s="347"/>
      <c r="E73" s="79"/>
    </row>
    <row r="74" spans="1:5" ht="15" customHeight="1">
      <c r="A74" s="14" t="s">
        <v>100</v>
      </c>
      <c r="B74" s="358">
        <f>SUM(B75:B76)</f>
        <v>0</v>
      </c>
      <c r="C74" s="358"/>
      <c r="D74" s="358">
        <f>SUM(D75:D76)</f>
        <v>0</v>
      </c>
      <c r="E74" s="79"/>
    </row>
    <row r="75" spans="1:5" ht="15.75" customHeight="1">
      <c r="A75" s="63" t="s">
        <v>44</v>
      </c>
      <c r="B75" s="340"/>
      <c r="C75" s="349"/>
      <c r="D75" s="342">
        <f>B75-C75</f>
        <v>0</v>
      </c>
      <c r="E75" s="79" t="s">
        <v>110</v>
      </c>
    </row>
    <row r="76" spans="1:5" ht="16.5" customHeight="1">
      <c r="A76" s="63" t="s">
        <v>46</v>
      </c>
      <c r="B76" s="340"/>
      <c r="C76" s="351"/>
      <c r="D76" s="342">
        <f>B76-C76</f>
        <v>0</v>
      </c>
      <c r="E76" s="79" t="s">
        <v>117</v>
      </c>
    </row>
    <row r="77" spans="1:5" ht="15" customHeight="1">
      <c r="A77" s="17"/>
      <c r="B77" s="348"/>
      <c r="C77" s="30"/>
      <c r="D77" s="347"/>
      <c r="E77" s="79"/>
    </row>
    <row r="78" spans="1:5" ht="15" customHeight="1">
      <c r="A78" s="14" t="s">
        <v>49</v>
      </c>
      <c r="B78" s="358">
        <f>SUM(B79:B80)</f>
        <v>0</v>
      </c>
      <c r="C78" s="358"/>
      <c r="D78" s="358">
        <f>SUM(D79:D80)</f>
        <v>0</v>
      </c>
      <c r="E78" s="79"/>
    </row>
    <row r="79" spans="1:5" ht="15" customHeight="1">
      <c r="A79" s="15" t="s">
        <v>51</v>
      </c>
      <c r="B79" s="340"/>
      <c r="C79" s="349"/>
      <c r="D79" s="342">
        <f>B79-C79</f>
        <v>0</v>
      </c>
      <c r="E79" s="79"/>
    </row>
    <row r="80" spans="1:5" ht="12.75">
      <c r="A80" s="17" t="s">
        <v>52</v>
      </c>
      <c r="B80" s="340"/>
      <c r="C80" s="351"/>
      <c r="D80" s="342">
        <f>B80-C80</f>
        <v>0</v>
      </c>
      <c r="E80" s="79" t="s">
        <v>118</v>
      </c>
    </row>
    <row r="81" spans="1:5" ht="15" customHeight="1">
      <c r="A81" s="17"/>
      <c r="B81" s="348"/>
      <c r="C81" s="30"/>
      <c r="D81" s="347"/>
      <c r="E81" s="79"/>
    </row>
    <row r="82" spans="1:5" ht="15" customHeight="1">
      <c r="A82" s="19" t="s">
        <v>55</v>
      </c>
      <c r="B82" s="358">
        <f>B83+B84+B85</f>
        <v>0</v>
      </c>
      <c r="C82" s="358"/>
      <c r="D82" s="358">
        <f>D83+D84+D85</f>
        <v>0</v>
      </c>
      <c r="E82" s="79"/>
    </row>
    <row r="83" spans="1:5" ht="15" customHeight="1">
      <c r="A83" s="17" t="s">
        <v>57</v>
      </c>
      <c r="B83" s="340"/>
      <c r="C83" s="349"/>
      <c r="D83" s="342">
        <f>B83-C83</f>
        <v>0</v>
      </c>
      <c r="E83" s="79"/>
    </row>
    <row r="84" spans="1:5" ht="12.75">
      <c r="A84" s="17" t="s">
        <v>59</v>
      </c>
      <c r="B84" s="340"/>
      <c r="C84" s="350"/>
      <c r="D84" s="342">
        <f>B84-C84</f>
        <v>0</v>
      </c>
      <c r="E84" s="79" t="s">
        <v>108</v>
      </c>
    </row>
    <row r="85" spans="1:5" ht="15" customHeight="1">
      <c r="A85" s="17" t="s">
        <v>61</v>
      </c>
      <c r="B85" s="340"/>
      <c r="C85" s="351"/>
      <c r="D85" s="342">
        <f>B85-C85</f>
        <v>0</v>
      </c>
      <c r="E85" s="79"/>
    </row>
    <row r="86" spans="1:5" ht="15" customHeight="1">
      <c r="A86" s="17"/>
      <c r="B86" s="348"/>
      <c r="C86" s="30"/>
      <c r="D86" s="347"/>
      <c r="E86" s="79"/>
    </row>
    <row r="87" spans="1:5" ht="15" customHeight="1">
      <c r="A87" s="14" t="s">
        <v>62</v>
      </c>
      <c r="B87" s="358">
        <f>B88+B98</f>
        <v>0</v>
      </c>
      <c r="C87" s="358"/>
      <c r="D87" s="358">
        <f>D88+D98</f>
        <v>0</v>
      </c>
      <c r="E87" s="79"/>
    </row>
    <row r="88" spans="1:5" ht="15" customHeight="1">
      <c r="A88" s="14" t="s">
        <v>101</v>
      </c>
      <c r="B88" s="358">
        <f>SUM(B89:B96)</f>
        <v>0</v>
      </c>
      <c r="C88" s="358"/>
      <c r="D88" s="358">
        <f>SUM(D89:D96)</f>
        <v>0</v>
      </c>
      <c r="E88" s="79" t="s">
        <v>476</v>
      </c>
    </row>
    <row r="89" spans="1:5" ht="15" customHeight="1">
      <c r="A89" s="61" t="s">
        <v>64</v>
      </c>
      <c r="B89" s="340"/>
      <c r="C89" s="349"/>
      <c r="D89" s="342">
        <f>B89-C89</f>
        <v>0</v>
      </c>
      <c r="E89" s="79"/>
    </row>
    <row r="90" spans="1:5" ht="15" customHeight="1">
      <c r="A90" s="61" t="s">
        <v>66</v>
      </c>
      <c r="B90" s="340"/>
      <c r="C90" s="350"/>
      <c r="D90" s="342">
        <f aca="true" t="shared" si="3" ref="D90:D96">B90-C90</f>
        <v>0</v>
      </c>
      <c r="E90" s="79"/>
    </row>
    <row r="91" spans="1:5" ht="15" customHeight="1">
      <c r="A91" s="61" t="s">
        <v>68</v>
      </c>
      <c r="B91" s="340"/>
      <c r="C91" s="350"/>
      <c r="D91" s="342">
        <f t="shared" si="3"/>
        <v>0</v>
      </c>
      <c r="E91" s="79"/>
    </row>
    <row r="92" spans="1:5" ht="15" customHeight="1">
      <c r="A92" s="61" t="s">
        <v>69</v>
      </c>
      <c r="B92" s="340"/>
      <c r="C92" s="350"/>
      <c r="D92" s="342">
        <f t="shared" si="3"/>
        <v>0</v>
      </c>
      <c r="E92" s="79"/>
    </row>
    <row r="93" spans="1:5" ht="15" customHeight="1">
      <c r="A93" s="61" t="s">
        <v>71</v>
      </c>
      <c r="B93" s="340"/>
      <c r="C93" s="350"/>
      <c r="D93" s="342">
        <f t="shared" si="3"/>
        <v>0</v>
      </c>
      <c r="E93" s="79"/>
    </row>
    <row r="94" spans="1:5" ht="15" customHeight="1">
      <c r="A94" s="61" t="s">
        <v>73</v>
      </c>
      <c r="B94" s="340"/>
      <c r="C94" s="350"/>
      <c r="D94" s="342">
        <f t="shared" si="3"/>
        <v>0</v>
      </c>
      <c r="E94" s="79"/>
    </row>
    <row r="95" spans="1:5" ht="15" customHeight="1">
      <c r="A95" s="61" t="s">
        <v>75</v>
      </c>
      <c r="B95" s="340"/>
      <c r="C95" s="350"/>
      <c r="D95" s="342">
        <f t="shared" si="3"/>
        <v>0</v>
      </c>
      <c r="E95" s="79"/>
    </row>
    <row r="96" spans="1:5" ht="15" customHeight="1">
      <c r="A96" s="61" t="s">
        <v>77</v>
      </c>
      <c r="B96" s="340"/>
      <c r="C96" s="351"/>
      <c r="D96" s="342">
        <f t="shared" si="3"/>
        <v>0</v>
      </c>
      <c r="E96" s="79"/>
    </row>
    <row r="97" spans="1:5" ht="15" customHeight="1">
      <c r="A97" s="17"/>
      <c r="B97" s="348"/>
      <c r="C97" s="30"/>
      <c r="D97" s="347"/>
      <c r="E97" s="79"/>
    </row>
    <row r="98" spans="1:5" ht="15" customHeight="1">
      <c r="A98" s="14" t="s">
        <v>80</v>
      </c>
      <c r="B98" s="358">
        <f>SUM(B99:B106)</f>
        <v>0</v>
      </c>
      <c r="C98" s="358"/>
      <c r="D98" s="358">
        <f>SUM(D99:D106)</f>
        <v>0</v>
      </c>
      <c r="E98" s="79"/>
    </row>
    <row r="99" spans="1:5" ht="15" customHeight="1">
      <c r="A99" s="61" t="s">
        <v>64</v>
      </c>
      <c r="B99" s="340"/>
      <c r="C99" s="349"/>
      <c r="D99" s="342">
        <f>B99-C99</f>
        <v>0</v>
      </c>
      <c r="E99" s="79"/>
    </row>
    <row r="100" spans="1:5" ht="15" customHeight="1">
      <c r="A100" s="61" t="s">
        <v>66</v>
      </c>
      <c r="B100" s="340"/>
      <c r="C100" s="350"/>
      <c r="D100" s="342">
        <f aca="true" t="shared" si="4" ref="D100:D106">B100-C100</f>
        <v>0</v>
      </c>
      <c r="E100" s="79"/>
    </row>
    <row r="101" spans="1:5" ht="15" customHeight="1">
      <c r="A101" s="61" t="s">
        <v>68</v>
      </c>
      <c r="B101" s="340"/>
      <c r="C101" s="350"/>
      <c r="D101" s="342">
        <f t="shared" si="4"/>
        <v>0</v>
      </c>
      <c r="E101" s="79"/>
    </row>
    <row r="102" spans="1:5" ht="15" customHeight="1">
      <c r="A102" s="61" t="s">
        <v>69</v>
      </c>
      <c r="B102" s="340"/>
      <c r="C102" s="350"/>
      <c r="D102" s="342">
        <f t="shared" si="4"/>
        <v>0</v>
      </c>
      <c r="E102" s="79"/>
    </row>
    <row r="103" spans="1:5" ht="15" customHeight="1">
      <c r="A103" s="61" t="s">
        <v>71</v>
      </c>
      <c r="B103" s="340"/>
      <c r="C103" s="350"/>
      <c r="D103" s="342">
        <f t="shared" si="4"/>
        <v>0</v>
      </c>
      <c r="E103" s="79"/>
    </row>
    <row r="104" spans="1:5" ht="15" customHeight="1">
      <c r="A104" s="61" t="s">
        <v>73</v>
      </c>
      <c r="B104" s="340"/>
      <c r="C104" s="350"/>
      <c r="D104" s="342">
        <f t="shared" si="4"/>
        <v>0</v>
      </c>
      <c r="E104" s="79" t="s">
        <v>119</v>
      </c>
    </row>
    <row r="105" spans="1:5" ht="15" customHeight="1">
      <c r="A105" s="61" t="s">
        <v>75</v>
      </c>
      <c r="B105" s="340"/>
      <c r="C105" s="350"/>
      <c r="D105" s="342">
        <f t="shared" si="4"/>
        <v>0</v>
      </c>
      <c r="E105" s="79"/>
    </row>
    <row r="106" spans="1:5" ht="15" customHeight="1">
      <c r="A106" s="61" t="s">
        <v>77</v>
      </c>
      <c r="B106" s="340"/>
      <c r="C106" s="351"/>
      <c r="D106" s="342">
        <f t="shared" si="4"/>
        <v>0</v>
      </c>
      <c r="E106" s="79" t="s">
        <v>120</v>
      </c>
    </row>
    <row r="107" spans="1:4" ht="15" customHeight="1">
      <c r="A107" s="17"/>
      <c r="B107" s="348"/>
      <c r="C107" s="30"/>
      <c r="D107" s="347"/>
    </row>
    <row r="108" spans="1:5" ht="15" customHeight="1">
      <c r="A108" s="14" t="s">
        <v>88</v>
      </c>
      <c r="B108" s="358">
        <f>B98+B88+B82+B78+B74+B67</f>
        <v>0</v>
      </c>
      <c r="C108" s="358"/>
      <c r="D108" s="358">
        <f>D98+D88+D82+D78+D74+D67</f>
        <v>0</v>
      </c>
      <c r="E108" s="172"/>
    </row>
    <row r="109" spans="1:4" ht="15" customHeight="1">
      <c r="A109" s="17"/>
      <c r="B109" s="358"/>
      <c r="C109" s="293"/>
      <c r="D109" s="347"/>
    </row>
    <row r="110" spans="1:5" ht="12.75">
      <c r="A110" s="14" t="s">
        <v>92</v>
      </c>
      <c r="B110" s="359" t="e">
        <f>100*(B67+B74)/(B108-B103-B93)</f>
        <v>#DIV/0!</v>
      </c>
      <c r="C110" s="347"/>
      <c r="D110" s="359">
        <f>IF((D108+D103+D93)=0,0,100*(D67+D74)/(D108-D103-D93))</f>
        <v>0</v>
      </c>
      <c r="E110" s="29" t="s">
        <v>106</v>
      </c>
    </row>
    <row r="111" spans="1:4" ht="15" customHeight="1">
      <c r="A111" s="20" t="s">
        <v>93</v>
      </c>
      <c r="B111" s="348"/>
      <c r="C111" s="30"/>
      <c r="D111" s="347"/>
    </row>
    <row r="112" spans="1:4" ht="15" customHeight="1">
      <c r="A112" s="17" t="s">
        <v>469</v>
      </c>
      <c r="B112" s="358">
        <f>B61</f>
        <v>0</v>
      </c>
      <c r="C112" s="347"/>
      <c r="D112" s="358">
        <f>D61</f>
        <v>0</v>
      </c>
    </row>
    <row r="113" spans="1:4" ht="15" customHeight="1">
      <c r="A113" s="17" t="s">
        <v>95</v>
      </c>
      <c r="B113" s="360">
        <f>B112/Tuloslaskelma!A10*1000</f>
        <v>0</v>
      </c>
      <c r="C113" s="347"/>
      <c r="D113" s="360">
        <f>D112/Tuloslaskelma!A10*1000</f>
        <v>0</v>
      </c>
    </row>
    <row r="114" spans="1:4" ht="15" customHeight="1">
      <c r="A114" s="20" t="s">
        <v>97</v>
      </c>
      <c r="B114" s="348"/>
      <c r="C114" s="30"/>
      <c r="D114" s="347"/>
    </row>
    <row r="115" spans="1:5" ht="15" customHeight="1">
      <c r="A115" s="17" t="s">
        <v>469</v>
      </c>
      <c r="B115" s="358">
        <f>B87-(B93+B103+B94+B104+B96+B106+B95+B105)</f>
        <v>0</v>
      </c>
      <c r="C115" s="347"/>
      <c r="D115" s="358">
        <f>D87-(D93+D103+D94+D104+D96+D106+D95+D105)</f>
        <v>0</v>
      </c>
      <c r="E115" s="29" t="s">
        <v>468</v>
      </c>
    </row>
    <row r="116" spans="1:4" ht="15" customHeight="1">
      <c r="A116" s="17" t="s">
        <v>95</v>
      </c>
      <c r="B116" s="360">
        <f>B115/Tuloslaskelma!$A$10*1000</f>
        <v>0</v>
      </c>
      <c r="C116" s="347"/>
      <c r="D116" s="360">
        <f>D115/Tuloslaskelma!$A$10*1000</f>
        <v>0</v>
      </c>
    </row>
    <row r="117" spans="1:4" ht="15" customHeight="1">
      <c r="A117" s="17"/>
      <c r="B117" s="361"/>
      <c r="C117" s="30"/>
      <c r="D117" s="347"/>
    </row>
    <row r="118" spans="1:4" ht="12.75">
      <c r="A118" s="25"/>
      <c r="B118" s="361"/>
      <c r="C118" s="362"/>
      <c r="D118" s="361"/>
    </row>
    <row r="119" spans="1:5" s="7" customFormat="1" ht="18.75" customHeight="1">
      <c r="A119" s="26" t="s">
        <v>601</v>
      </c>
      <c r="B119" s="363">
        <f>100*(B87-B93-B103)/(Tuloslaskelma!B12+Tuloslaskelma!B41+Tuloslaskelma!B46)</f>
        <v>0</v>
      </c>
      <c r="C119" s="347"/>
      <c r="D119" s="364">
        <f>100*(D87-D93-D103)/(Tuloslaskelma!D12+Tuloslaskelma!D41+Tuloslaskelma!D46)</f>
        <v>0</v>
      </c>
      <c r="E119" s="29" t="s">
        <v>107</v>
      </c>
    </row>
    <row r="121" ht="12.75">
      <c r="B121" s="38"/>
    </row>
    <row r="123" ht="12.75">
      <c r="B123" s="30"/>
    </row>
  </sheetData>
  <sheetProtection/>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1:DG329"/>
  <sheetViews>
    <sheetView zoomScale="115" zoomScaleNormal="115" zoomScalePageLayoutView="0" workbookViewId="0" topLeftCell="E3">
      <pane ySplit="14" topLeftCell="A17" activePane="bottomLeft" state="frozen"/>
      <selection pane="topLeft" activeCell="A3" sqref="A3"/>
      <selection pane="bottomLeft" activeCell="R10" sqref="R10"/>
    </sheetView>
  </sheetViews>
  <sheetFormatPr defaultColWidth="9.140625" defaultRowHeight="12.75"/>
  <cols>
    <col min="1" max="1" width="4.57421875" style="81" customWidth="1"/>
    <col min="2" max="2" width="11.8515625" style="81" customWidth="1"/>
    <col min="3" max="3" width="3.8515625" style="81" customWidth="1"/>
    <col min="4" max="4" width="8.57421875" style="85" customWidth="1"/>
    <col min="5" max="5" width="14.00390625" style="85" customWidth="1"/>
    <col min="6" max="6" width="11.57421875" style="85" customWidth="1"/>
    <col min="7" max="7" width="11.140625" style="85" customWidth="1"/>
    <col min="8" max="8" width="12.8515625" style="85" customWidth="1"/>
    <col min="9" max="10" width="11.28125" style="105" customWidth="1"/>
    <col min="11" max="11" width="9.8515625" style="85" customWidth="1"/>
    <col min="12" max="12" width="10.28125" style="85" customWidth="1"/>
    <col min="13" max="13" width="10.140625" style="118" customWidth="1"/>
    <col min="14" max="14" width="10.00390625" style="118" customWidth="1"/>
    <col min="15" max="15" width="12.57421875" style="86" customWidth="1"/>
    <col min="16" max="16" width="9.7109375" style="86" customWidth="1"/>
    <col min="17" max="17" width="3.00390625" style="85" customWidth="1"/>
    <col min="18" max="18" width="14.421875" style="85" customWidth="1"/>
    <col min="19" max="19" width="12.28125" style="85" customWidth="1"/>
    <col min="20" max="21" width="11.28125" style="85" customWidth="1"/>
    <col min="22" max="22" width="12.28125" style="85" customWidth="1"/>
    <col min="23" max="23" width="10.8515625" style="85" customWidth="1"/>
    <col min="24" max="24" width="12.140625" style="85" customWidth="1"/>
    <col min="25" max="25" width="11.140625" style="85" customWidth="1"/>
    <col min="26" max="26" width="2.28125" style="85" customWidth="1"/>
    <col min="27" max="27" width="12.140625" style="105" customWidth="1"/>
    <col min="28" max="28" width="10.28125" style="105" customWidth="1"/>
    <col min="29" max="29" width="8.57421875" style="0" customWidth="1"/>
    <col min="30" max="30" width="12.00390625" style="0" bestFit="1" customWidth="1"/>
    <col min="35" max="35" width="3.421875" style="287" customWidth="1"/>
    <col min="36" max="36" width="12.8515625" style="0" customWidth="1"/>
    <col min="37" max="37" width="9.8515625" style="0" customWidth="1"/>
    <col min="38" max="38" width="10.7109375" style="0" bestFit="1" customWidth="1"/>
    <col min="39" max="39" width="12.28125" style="0" customWidth="1"/>
    <col min="40" max="44" width="15.7109375" style="0" customWidth="1"/>
    <col min="50" max="50" width="14.140625" style="0" customWidth="1"/>
    <col min="51" max="51" width="15.7109375" style="0" customWidth="1"/>
    <col min="52" max="52" width="4.28125" style="108" customWidth="1"/>
    <col min="53" max="53" width="14.28125" style="0" bestFit="1" customWidth="1"/>
    <col min="54" max="59" width="8.8515625" style="0" customWidth="1"/>
  </cols>
  <sheetData>
    <row r="1" spans="2:111" ht="12.75">
      <c r="B1" s="103">
        <v>1</v>
      </c>
      <c r="C1" s="103">
        <v>2</v>
      </c>
      <c r="D1" s="103">
        <v>3</v>
      </c>
      <c r="E1" s="103">
        <v>4</v>
      </c>
      <c r="F1" s="103">
        <v>5</v>
      </c>
      <c r="G1" s="103">
        <v>6</v>
      </c>
      <c r="H1" s="103">
        <v>7</v>
      </c>
      <c r="I1" s="103">
        <v>8</v>
      </c>
      <c r="J1" s="103">
        <v>9</v>
      </c>
      <c r="K1" s="103">
        <v>10</v>
      </c>
      <c r="L1" s="103">
        <v>11</v>
      </c>
      <c r="M1" s="103">
        <v>12</v>
      </c>
      <c r="N1" s="103">
        <v>13</v>
      </c>
      <c r="O1" s="103">
        <v>14</v>
      </c>
      <c r="P1" s="103">
        <v>15</v>
      </c>
      <c r="Q1" s="103">
        <v>16</v>
      </c>
      <c r="R1" s="103">
        <v>17</v>
      </c>
      <c r="S1" s="103">
        <v>18</v>
      </c>
      <c r="T1" s="103">
        <v>19</v>
      </c>
      <c r="U1" s="103">
        <v>20</v>
      </c>
      <c r="V1" s="103">
        <v>21</v>
      </c>
      <c r="W1" s="103">
        <v>22</v>
      </c>
      <c r="X1" s="103">
        <v>23</v>
      </c>
      <c r="Y1" s="103">
        <v>24</v>
      </c>
      <c r="Z1" s="103">
        <v>25</v>
      </c>
      <c r="AA1" s="103">
        <v>26</v>
      </c>
      <c r="AB1" s="103">
        <v>27</v>
      </c>
      <c r="AC1" s="103">
        <v>28</v>
      </c>
      <c r="AD1" s="103">
        <v>29</v>
      </c>
      <c r="AE1" s="103">
        <v>30</v>
      </c>
      <c r="AF1" s="103">
        <v>31</v>
      </c>
      <c r="AG1" s="103">
        <v>32</v>
      </c>
      <c r="AH1" s="103">
        <v>33</v>
      </c>
      <c r="AI1" s="103">
        <v>34</v>
      </c>
      <c r="AJ1" s="103">
        <v>35</v>
      </c>
      <c r="AK1" s="103">
        <v>36</v>
      </c>
      <c r="AL1" s="103">
        <v>37</v>
      </c>
      <c r="AM1" s="103">
        <v>38</v>
      </c>
      <c r="AN1" s="103">
        <v>39</v>
      </c>
      <c r="AO1" s="103">
        <v>40</v>
      </c>
      <c r="AP1" s="103">
        <v>41</v>
      </c>
      <c r="AQ1" s="103">
        <v>42</v>
      </c>
      <c r="AR1" s="103">
        <v>43</v>
      </c>
      <c r="AS1" s="103">
        <v>44</v>
      </c>
      <c r="AT1" s="103">
        <v>45</v>
      </c>
      <c r="AU1" s="103">
        <v>46</v>
      </c>
      <c r="AV1" s="103">
        <v>47</v>
      </c>
      <c r="AW1" s="103">
        <v>48</v>
      </c>
      <c r="AX1" s="103">
        <v>49</v>
      </c>
      <c r="AY1" s="103">
        <v>50</v>
      </c>
      <c r="AZ1" s="405"/>
      <c r="BA1" s="103">
        <v>51</v>
      </c>
      <c r="BB1" s="103">
        <v>52</v>
      </c>
      <c r="BC1" s="103"/>
      <c r="BD1" s="103">
        <v>53</v>
      </c>
      <c r="BE1" s="103">
        <v>54</v>
      </c>
      <c r="BF1" s="103">
        <v>55</v>
      </c>
      <c r="BG1" s="103">
        <v>56</v>
      </c>
      <c r="BH1" s="103">
        <v>57</v>
      </c>
      <c r="BI1" s="103">
        <v>58</v>
      </c>
      <c r="BJ1" s="103">
        <v>59</v>
      </c>
      <c r="BK1" s="103">
        <v>60</v>
      </c>
      <c r="BL1" s="103">
        <v>61</v>
      </c>
      <c r="BM1" s="103">
        <v>62</v>
      </c>
      <c r="BN1" s="103">
        <v>63</v>
      </c>
      <c r="BO1" s="103">
        <v>64</v>
      </c>
      <c r="BP1" s="103">
        <v>65</v>
      </c>
      <c r="BQ1" s="103">
        <v>66</v>
      </c>
      <c r="BR1" s="103">
        <v>67</v>
      </c>
      <c r="BS1" s="103">
        <v>68</v>
      </c>
      <c r="BT1" s="103">
        <v>69</v>
      </c>
      <c r="BU1" s="103">
        <v>70</v>
      </c>
      <c r="BV1" s="103">
        <v>71</v>
      </c>
      <c r="BW1" s="103">
        <v>72</v>
      </c>
      <c r="BX1" s="103">
        <v>73</v>
      </c>
      <c r="BY1" s="103">
        <v>74</v>
      </c>
      <c r="BZ1" s="103">
        <v>75</v>
      </c>
      <c r="CA1" s="103">
        <v>76</v>
      </c>
      <c r="CB1" s="103">
        <v>77</v>
      </c>
      <c r="CC1" s="103">
        <v>78</v>
      </c>
      <c r="CD1" s="103">
        <v>79</v>
      </c>
      <c r="CE1" s="103">
        <v>80</v>
      </c>
      <c r="CF1" s="103">
        <v>81</v>
      </c>
      <c r="CG1" s="103">
        <v>82</v>
      </c>
      <c r="CH1" s="103">
        <v>83</v>
      </c>
      <c r="CI1" s="103">
        <v>84</v>
      </c>
      <c r="CJ1" s="103">
        <v>85</v>
      </c>
      <c r="CK1" s="103">
        <v>86</v>
      </c>
      <c r="CL1" s="103">
        <v>87</v>
      </c>
      <c r="CM1" s="103">
        <v>88</v>
      </c>
      <c r="CN1" s="103">
        <v>89</v>
      </c>
      <c r="CO1" s="103">
        <v>90</v>
      </c>
      <c r="CP1" s="103">
        <v>91</v>
      </c>
      <c r="CQ1" s="103">
        <v>92</v>
      </c>
      <c r="CR1" s="103">
        <v>93</v>
      </c>
      <c r="CS1" s="103">
        <v>94</v>
      </c>
      <c r="CT1" s="103">
        <v>95</v>
      </c>
      <c r="CU1" s="103">
        <v>96</v>
      </c>
      <c r="CV1" s="103">
        <v>97</v>
      </c>
      <c r="CW1" s="103">
        <v>98</v>
      </c>
      <c r="CX1" s="103">
        <v>99</v>
      </c>
      <c r="CY1" s="103">
        <v>100</v>
      </c>
      <c r="CZ1" s="103">
        <v>101</v>
      </c>
      <c r="DA1" s="103">
        <v>102</v>
      </c>
      <c r="DB1" s="103">
        <v>103</v>
      </c>
      <c r="DC1" s="103">
        <v>104</v>
      </c>
      <c r="DD1" s="103">
        <v>105</v>
      </c>
      <c r="DE1" s="103">
        <v>106</v>
      </c>
      <c r="DF1" s="103">
        <v>107</v>
      </c>
      <c r="DG1" s="103">
        <v>108</v>
      </c>
    </row>
    <row r="2" spans="1:2" ht="17.25">
      <c r="A2" s="186" t="s">
        <v>580</v>
      </c>
      <c r="B2" s="187"/>
    </row>
    <row r="3" spans="1:2" ht="13.5">
      <c r="A3" s="188" t="s">
        <v>581</v>
      </c>
      <c r="B3" s="187"/>
    </row>
    <row r="4" spans="1:2" ht="12.75">
      <c r="A4" s="189"/>
      <c r="B4" s="190"/>
    </row>
    <row r="5" spans="1:64" ht="12.75">
      <c r="A5" s="191"/>
      <c r="B5" s="187">
        <v>1</v>
      </c>
      <c r="C5" s="81">
        <v>2</v>
      </c>
      <c r="D5" s="85">
        <v>3</v>
      </c>
      <c r="E5" s="187">
        <v>4</v>
      </c>
      <c r="F5" s="81">
        <v>5</v>
      </c>
      <c r="G5" s="85">
        <v>6</v>
      </c>
      <c r="H5" s="187">
        <v>7</v>
      </c>
      <c r="I5" s="81">
        <v>8</v>
      </c>
      <c r="J5" s="85">
        <v>9</v>
      </c>
      <c r="K5" s="187">
        <v>10</v>
      </c>
      <c r="L5" s="81">
        <v>11</v>
      </c>
      <c r="M5" s="85">
        <v>12</v>
      </c>
      <c r="N5" s="187">
        <v>13</v>
      </c>
      <c r="O5" s="81">
        <v>14</v>
      </c>
      <c r="P5" s="85">
        <v>15</v>
      </c>
      <c r="Q5" s="187">
        <v>16</v>
      </c>
      <c r="R5" s="81">
        <v>17</v>
      </c>
      <c r="S5" s="85">
        <v>18</v>
      </c>
      <c r="T5" s="187">
        <v>19</v>
      </c>
      <c r="U5" s="81">
        <v>20</v>
      </c>
      <c r="V5" s="85">
        <v>21</v>
      </c>
      <c r="W5" s="187">
        <v>22</v>
      </c>
      <c r="X5" s="81">
        <v>23</v>
      </c>
      <c r="Y5" s="85">
        <v>24</v>
      </c>
      <c r="Z5" s="187">
        <v>25</v>
      </c>
      <c r="AA5" s="81">
        <v>26</v>
      </c>
      <c r="AB5" s="85">
        <v>27</v>
      </c>
      <c r="AC5" s="187">
        <v>28</v>
      </c>
      <c r="AD5" s="81">
        <v>29</v>
      </c>
      <c r="AE5" s="85">
        <v>30</v>
      </c>
      <c r="AF5" s="187">
        <v>31</v>
      </c>
      <c r="AG5" s="81">
        <v>32</v>
      </c>
      <c r="AH5" s="85">
        <v>33</v>
      </c>
      <c r="AI5" s="187">
        <v>34</v>
      </c>
      <c r="AJ5" s="81">
        <v>35</v>
      </c>
      <c r="AK5" s="85">
        <v>36</v>
      </c>
      <c r="AL5" s="187">
        <v>37</v>
      </c>
      <c r="AM5" s="81">
        <v>38</v>
      </c>
      <c r="AN5" s="85">
        <v>39</v>
      </c>
      <c r="AO5" s="187">
        <v>40</v>
      </c>
      <c r="AP5" s="81">
        <v>41</v>
      </c>
      <c r="AQ5" s="85">
        <v>42</v>
      </c>
      <c r="AR5" s="187">
        <v>43</v>
      </c>
      <c r="AS5" s="81">
        <v>44</v>
      </c>
      <c r="AT5" s="85">
        <v>45</v>
      </c>
      <c r="AU5" s="187">
        <v>46</v>
      </c>
      <c r="AV5" s="81">
        <v>47</v>
      </c>
      <c r="AW5" s="85">
        <v>48</v>
      </c>
      <c r="AX5" s="187">
        <v>49</v>
      </c>
      <c r="AY5" s="81">
        <v>50</v>
      </c>
      <c r="AZ5" s="430">
        <v>51</v>
      </c>
      <c r="BA5" s="187">
        <v>52</v>
      </c>
      <c r="BB5" s="81">
        <v>53</v>
      </c>
      <c r="BC5" s="85">
        <v>54</v>
      </c>
      <c r="BD5" s="187">
        <v>55</v>
      </c>
      <c r="BE5" s="81">
        <v>56</v>
      </c>
      <c r="BF5" s="85">
        <v>57</v>
      </c>
      <c r="BG5" s="187">
        <v>58</v>
      </c>
      <c r="BH5" s="81">
        <v>59</v>
      </c>
      <c r="BI5" s="85">
        <v>60</v>
      </c>
      <c r="BJ5" s="187">
        <v>61</v>
      </c>
      <c r="BK5" s="81">
        <v>62</v>
      </c>
      <c r="BL5" s="85">
        <v>63</v>
      </c>
    </row>
    <row r="6" spans="1:34" ht="12.75">
      <c r="A6" s="86"/>
      <c r="B6" s="190"/>
      <c r="AD6" s="144"/>
      <c r="AE6" s="144"/>
      <c r="AF6" s="144"/>
      <c r="AG6" s="144"/>
      <c r="AH6" s="144"/>
    </row>
    <row r="7" spans="1:2" ht="12.75">
      <c r="A7" s="86"/>
      <c r="B7" s="190"/>
    </row>
    <row r="8" spans="1:50" ht="12.75">
      <c r="A8" s="191"/>
      <c r="B8" s="190"/>
      <c r="R8" s="87" t="s">
        <v>582</v>
      </c>
      <c r="S8" s="277"/>
      <c r="T8" s="277"/>
      <c r="U8" s="277"/>
      <c r="V8" s="277"/>
      <c r="W8" s="278"/>
      <c r="X8" s="277"/>
      <c r="Y8" s="277"/>
      <c r="Z8" s="279"/>
      <c r="AD8" s="144"/>
      <c r="AE8" s="144"/>
      <c r="AF8" s="144"/>
      <c r="AG8" s="144"/>
      <c r="AH8" s="144"/>
      <c r="AX8" s="30"/>
    </row>
    <row r="9" spans="1:34" ht="12.75">
      <c r="A9" s="86"/>
      <c r="B9" s="190"/>
      <c r="R9" s="88" t="s">
        <v>689</v>
      </c>
      <c r="S9" s="89"/>
      <c r="T9" s="89"/>
      <c r="U9" s="89"/>
      <c r="V9" s="89"/>
      <c r="W9" s="90"/>
      <c r="X9" s="89"/>
      <c r="Y9" s="89"/>
      <c r="Z9" s="91"/>
      <c r="AD9" s="144"/>
      <c r="AE9" s="144"/>
      <c r="AF9" s="144"/>
      <c r="AG9" s="144"/>
      <c r="AH9" s="144"/>
    </row>
    <row r="10" spans="1:28" ht="12.75">
      <c r="A10" s="191"/>
      <c r="B10" s="190"/>
      <c r="I10" s="192"/>
      <c r="J10" s="192"/>
      <c r="AA10" s="147"/>
      <c r="AB10" s="83"/>
    </row>
    <row r="11" spans="1:53" ht="12.75">
      <c r="A11" s="193"/>
      <c r="B11" s="190"/>
      <c r="F11" s="194"/>
      <c r="H11" s="81"/>
      <c r="I11" s="156"/>
      <c r="J11" s="156"/>
      <c r="S11" s="194"/>
      <c r="U11" s="81"/>
      <c r="V11" s="81"/>
      <c r="AA11" s="147"/>
      <c r="AB11" s="83"/>
      <c r="AD11" s="280" t="s">
        <v>481</v>
      </c>
      <c r="AE11" s="281"/>
      <c r="AF11" s="281"/>
      <c r="AG11" s="281"/>
      <c r="AH11" s="282"/>
      <c r="BA11" s="289" t="s">
        <v>683</v>
      </c>
    </row>
    <row r="12" spans="1:65" ht="12.75">
      <c r="A12" s="193"/>
      <c r="B12" s="190"/>
      <c r="F12" s="194"/>
      <c r="H12" s="81"/>
      <c r="I12" s="156"/>
      <c r="J12" s="156"/>
      <c r="S12" s="194"/>
      <c r="U12" s="81"/>
      <c r="V12" s="81"/>
      <c r="AA12" s="147"/>
      <c r="AB12" s="83"/>
      <c r="AD12" s="283" t="s">
        <v>686</v>
      </c>
      <c r="AE12" s="284"/>
      <c r="AF12" s="284"/>
      <c r="AG12" s="284"/>
      <c r="AH12" s="285"/>
      <c r="AJ12" s="288"/>
      <c r="AK12" s="288"/>
      <c r="AL12" s="288"/>
      <c r="AM12" s="288"/>
      <c r="AN12" s="288"/>
      <c r="AO12" s="288"/>
      <c r="AP12" s="288"/>
      <c r="AQ12" s="288"/>
      <c r="AR12" s="289" t="s">
        <v>482</v>
      </c>
      <c r="AS12" s="289" t="s">
        <v>593</v>
      </c>
      <c r="AT12" s="289" t="s">
        <v>594</v>
      </c>
      <c r="AU12" s="289" t="s">
        <v>595</v>
      </c>
      <c r="AV12" s="289" t="s">
        <v>431</v>
      </c>
      <c r="AW12" s="289" t="s">
        <v>626</v>
      </c>
      <c r="AX12" s="289" t="s">
        <v>629</v>
      </c>
      <c r="AY12" s="289" t="s">
        <v>542</v>
      </c>
      <c r="AZ12" s="406"/>
      <c r="BA12" s="289" t="s">
        <v>586</v>
      </c>
      <c r="BB12" s="289" t="s">
        <v>586</v>
      </c>
      <c r="BC12" s="289" t="s">
        <v>671</v>
      </c>
      <c r="BD12" s="289" t="s">
        <v>586</v>
      </c>
      <c r="BE12" s="289" t="s">
        <v>586</v>
      </c>
      <c r="BF12" s="289" t="s">
        <v>586</v>
      </c>
      <c r="BG12" s="289" t="s">
        <v>586</v>
      </c>
      <c r="BH12" s="289" t="s">
        <v>567</v>
      </c>
      <c r="BI12" s="289" t="s">
        <v>567</v>
      </c>
      <c r="BJ12" s="289" t="s">
        <v>567</v>
      </c>
      <c r="BK12" s="289" t="s">
        <v>567</v>
      </c>
      <c r="BL12" s="289" t="s">
        <v>567</v>
      </c>
      <c r="BM12" s="289"/>
    </row>
    <row r="13" spans="5:65" ht="13.5">
      <c r="E13" s="148" t="s">
        <v>583</v>
      </c>
      <c r="G13" s="195"/>
      <c r="H13" s="195"/>
      <c r="I13" s="196"/>
      <c r="J13" s="196"/>
      <c r="K13" s="195"/>
      <c r="R13" s="148" t="s">
        <v>584</v>
      </c>
      <c r="T13" s="195"/>
      <c r="U13" s="195"/>
      <c r="W13" s="195"/>
      <c r="AA13" s="372" t="s">
        <v>647</v>
      </c>
      <c r="AB13" s="83"/>
      <c r="AD13" s="197" t="s">
        <v>652</v>
      </c>
      <c r="AE13" s="198"/>
      <c r="AF13" s="198"/>
      <c r="AG13" s="199"/>
      <c r="AH13" s="373" t="s">
        <v>482</v>
      </c>
      <c r="AJ13" s="289" t="s">
        <v>542</v>
      </c>
      <c r="AK13" s="289" t="s">
        <v>542</v>
      </c>
      <c r="AL13" s="289" t="s">
        <v>542</v>
      </c>
      <c r="AM13" s="289" t="s">
        <v>542</v>
      </c>
      <c r="AN13" s="289" t="s">
        <v>567</v>
      </c>
      <c r="AO13" s="289" t="s">
        <v>567</v>
      </c>
      <c r="AP13" s="289" t="s">
        <v>567</v>
      </c>
      <c r="AQ13" s="289" t="s">
        <v>567</v>
      </c>
      <c r="AR13" s="289" t="s">
        <v>567</v>
      </c>
      <c r="AS13" s="289" t="s">
        <v>558</v>
      </c>
      <c r="AT13" s="289" t="s">
        <v>558</v>
      </c>
      <c r="AU13" s="289" t="s">
        <v>558</v>
      </c>
      <c r="AV13" s="289" t="s">
        <v>558</v>
      </c>
      <c r="AW13" s="289" t="s">
        <v>486</v>
      </c>
      <c r="AX13" s="289" t="s">
        <v>630</v>
      </c>
      <c r="AY13" s="289" t="s">
        <v>644</v>
      </c>
      <c r="AZ13" s="406"/>
      <c r="BA13" s="289" t="s">
        <v>667</v>
      </c>
      <c r="BB13" s="289">
        <v>2023</v>
      </c>
      <c r="BC13" s="289"/>
      <c r="BD13" s="289">
        <v>2024</v>
      </c>
      <c r="BE13" s="289">
        <v>2025</v>
      </c>
      <c r="BF13" s="289">
        <v>2026</v>
      </c>
      <c r="BG13" s="289">
        <v>2027</v>
      </c>
      <c r="BH13" s="289">
        <v>2023</v>
      </c>
      <c r="BI13" s="289">
        <v>2024</v>
      </c>
      <c r="BJ13" s="289">
        <v>2025</v>
      </c>
      <c r="BK13" s="289">
        <v>2026</v>
      </c>
      <c r="BL13" s="289">
        <v>2027</v>
      </c>
      <c r="BM13" s="289"/>
    </row>
    <row r="14" spans="4:59" ht="12.75">
      <c r="D14" s="81"/>
      <c r="E14" s="96" t="s">
        <v>544</v>
      </c>
      <c r="F14" s="97" t="s">
        <v>124</v>
      </c>
      <c r="G14" s="98" t="s">
        <v>485</v>
      </c>
      <c r="H14" s="98" t="s">
        <v>442</v>
      </c>
      <c r="I14" s="97" t="s">
        <v>486</v>
      </c>
      <c r="J14" s="366" t="s">
        <v>644</v>
      </c>
      <c r="K14" s="98" t="s">
        <v>545</v>
      </c>
      <c r="L14" s="98" t="s">
        <v>486</v>
      </c>
      <c r="M14" s="98" t="s">
        <v>487</v>
      </c>
      <c r="N14" s="98" t="s">
        <v>488</v>
      </c>
      <c r="O14" s="200" t="s">
        <v>103</v>
      </c>
      <c r="P14" s="201" t="s">
        <v>103</v>
      </c>
      <c r="Q14" s="149"/>
      <c r="R14" s="96" t="s">
        <v>483</v>
      </c>
      <c r="S14" s="98" t="s">
        <v>484</v>
      </c>
      <c r="T14" s="98" t="s">
        <v>442</v>
      </c>
      <c r="U14" s="98" t="s">
        <v>486</v>
      </c>
      <c r="V14" s="366" t="s">
        <v>644</v>
      </c>
      <c r="W14" s="150" t="s">
        <v>546</v>
      </c>
      <c r="X14" s="202" t="s">
        <v>547</v>
      </c>
      <c r="Y14" s="203" t="s">
        <v>547</v>
      </c>
      <c r="Z14" s="149"/>
      <c r="AA14" s="151" t="s">
        <v>585</v>
      </c>
      <c r="AB14" s="152" t="s">
        <v>585</v>
      </c>
      <c r="AD14" s="204" t="s">
        <v>489</v>
      </c>
      <c r="AE14" s="205" t="s">
        <v>490</v>
      </c>
      <c r="AF14" s="205" t="s">
        <v>491</v>
      </c>
      <c r="AG14" s="205" t="s">
        <v>492</v>
      </c>
      <c r="AH14" s="206" t="s">
        <v>493</v>
      </c>
      <c r="AJ14" s="289" t="s">
        <v>573</v>
      </c>
      <c r="AK14" s="289" t="s">
        <v>143</v>
      </c>
      <c r="AL14" s="289" t="s">
        <v>613</v>
      </c>
      <c r="AM14" s="289" t="s">
        <v>142</v>
      </c>
      <c r="AN14" s="289" t="s">
        <v>568</v>
      </c>
      <c r="AO14" s="289" t="s">
        <v>592</v>
      </c>
      <c r="AP14" s="289" t="s">
        <v>648</v>
      </c>
      <c r="AQ14" s="289" t="s">
        <v>649</v>
      </c>
      <c r="AR14" s="289" t="s">
        <v>650</v>
      </c>
      <c r="AS14" s="289" t="s">
        <v>682</v>
      </c>
      <c r="AT14" s="289" t="s">
        <v>682</v>
      </c>
      <c r="AU14" s="289" t="s">
        <v>682</v>
      </c>
      <c r="AV14" s="289" t="s">
        <v>682</v>
      </c>
      <c r="AW14" s="289" t="s">
        <v>594</v>
      </c>
      <c r="AX14" s="289" t="s">
        <v>587</v>
      </c>
      <c r="AY14" s="289" t="s">
        <v>651</v>
      </c>
      <c r="AZ14" s="406"/>
      <c r="BA14" s="289" t="s">
        <v>668</v>
      </c>
      <c r="BB14" s="289"/>
      <c r="BC14" s="289"/>
      <c r="BD14" s="289"/>
      <c r="BE14" s="289"/>
      <c r="BF14" s="289"/>
      <c r="BG14" s="289"/>
    </row>
    <row r="15" spans="3:59" ht="12.75">
      <c r="C15" s="81" t="s">
        <v>138</v>
      </c>
      <c r="D15" s="81" t="s">
        <v>494</v>
      </c>
      <c r="E15" s="96" t="s">
        <v>548</v>
      </c>
      <c r="F15" s="97" t="s">
        <v>496</v>
      </c>
      <c r="G15" s="98" t="s">
        <v>496</v>
      </c>
      <c r="H15" s="98"/>
      <c r="I15" s="97" t="s">
        <v>497</v>
      </c>
      <c r="J15" s="366" t="s">
        <v>645</v>
      </c>
      <c r="K15" s="98" t="s">
        <v>498</v>
      </c>
      <c r="L15" s="98" t="s">
        <v>646</v>
      </c>
      <c r="M15" s="98" t="s">
        <v>685</v>
      </c>
      <c r="N15" s="98" t="s">
        <v>499</v>
      </c>
      <c r="O15" s="200" t="s">
        <v>586</v>
      </c>
      <c r="P15" s="201" t="s">
        <v>586</v>
      </c>
      <c r="Q15" s="149"/>
      <c r="R15" s="96" t="s">
        <v>549</v>
      </c>
      <c r="S15" s="98" t="s">
        <v>495</v>
      </c>
      <c r="T15" s="98"/>
      <c r="U15" s="98" t="s">
        <v>497</v>
      </c>
      <c r="V15" s="366" t="s">
        <v>645</v>
      </c>
      <c r="W15" s="150" t="s">
        <v>550</v>
      </c>
      <c r="X15" s="200" t="s">
        <v>586</v>
      </c>
      <c r="Y15" s="201" t="s">
        <v>586</v>
      </c>
      <c r="Z15" s="149"/>
      <c r="AA15" s="151" t="s">
        <v>587</v>
      </c>
      <c r="AB15" s="152" t="s">
        <v>587</v>
      </c>
      <c r="AD15" s="207" t="s">
        <v>500</v>
      </c>
      <c r="AE15" s="208" t="s">
        <v>500</v>
      </c>
      <c r="AF15" s="208" t="s">
        <v>500</v>
      </c>
      <c r="AG15" s="208" t="s">
        <v>500</v>
      </c>
      <c r="AH15" s="209" t="s">
        <v>500</v>
      </c>
      <c r="AJ15" s="290" t="s">
        <v>591</v>
      </c>
      <c r="AK15" s="290" t="s">
        <v>591</v>
      </c>
      <c r="AL15" s="290" t="s">
        <v>591</v>
      </c>
      <c r="AM15" s="290" t="s">
        <v>591</v>
      </c>
      <c r="AN15" s="290" t="s">
        <v>591</v>
      </c>
      <c r="AO15" s="290" t="s">
        <v>591</v>
      </c>
      <c r="AP15" s="290" t="s">
        <v>591</v>
      </c>
      <c r="AQ15" s="290" t="s">
        <v>591</v>
      </c>
      <c r="AR15" s="290" t="s">
        <v>591</v>
      </c>
      <c r="AS15" s="290">
        <v>1000</v>
      </c>
      <c r="AT15" s="290">
        <v>1000</v>
      </c>
      <c r="AU15" s="290">
        <v>1000</v>
      </c>
      <c r="AV15" s="290">
        <v>1000</v>
      </c>
      <c r="AW15" s="290" t="s">
        <v>627</v>
      </c>
      <c r="AX15" s="290" t="s">
        <v>654</v>
      </c>
      <c r="AY15" s="290" t="s">
        <v>591</v>
      </c>
      <c r="AZ15" s="407"/>
      <c r="BA15" s="290" t="s">
        <v>669</v>
      </c>
      <c r="BB15" s="290"/>
      <c r="BC15" s="290"/>
      <c r="BD15" s="290"/>
      <c r="BE15" s="290"/>
      <c r="BF15" s="290"/>
      <c r="BG15" s="290"/>
    </row>
    <row r="16" spans="3:65" ht="12.75">
      <c r="C16" s="81" t="s">
        <v>104</v>
      </c>
      <c r="D16" s="81" t="s">
        <v>642</v>
      </c>
      <c r="E16" s="96" t="s">
        <v>551</v>
      </c>
      <c r="F16" s="92" t="s">
        <v>552</v>
      </c>
      <c r="G16" s="82"/>
      <c r="H16" s="82"/>
      <c r="I16" s="84"/>
      <c r="J16" s="366" t="s">
        <v>497</v>
      </c>
      <c r="K16" s="95" t="s">
        <v>553</v>
      </c>
      <c r="L16" s="95" t="s">
        <v>501</v>
      </c>
      <c r="M16" s="95"/>
      <c r="N16" s="98" t="s">
        <v>502</v>
      </c>
      <c r="O16" s="200"/>
      <c r="P16" s="201"/>
      <c r="Q16" s="149"/>
      <c r="R16" s="99"/>
      <c r="S16" s="82" t="s">
        <v>554</v>
      </c>
      <c r="T16" s="82"/>
      <c r="U16" s="82"/>
      <c r="V16" s="366" t="s">
        <v>497</v>
      </c>
      <c r="W16" s="98" t="s">
        <v>555</v>
      </c>
      <c r="X16" s="200"/>
      <c r="Y16" s="201"/>
      <c r="Z16" s="149"/>
      <c r="AA16" s="210" t="s">
        <v>588</v>
      </c>
      <c r="AB16" s="152"/>
      <c r="AD16" s="207" t="s">
        <v>126</v>
      </c>
      <c r="AE16" s="208" t="s">
        <v>126</v>
      </c>
      <c r="AF16" s="208" t="s">
        <v>126</v>
      </c>
      <c r="AG16" s="208" t="s">
        <v>126</v>
      </c>
      <c r="AH16" s="209" t="s">
        <v>126</v>
      </c>
      <c r="AM16" s="81" t="s">
        <v>616</v>
      </c>
      <c r="AS16" s="30"/>
      <c r="AT16" s="30"/>
      <c r="AU16" s="30"/>
      <c r="AV16" s="3"/>
      <c r="AW16" s="378" t="s">
        <v>655</v>
      </c>
      <c r="AX16" s="378" t="s">
        <v>655</v>
      </c>
      <c r="BA16" s="289" t="s">
        <v>505</v>
      </c>
      <c r="BB16" s="289" t="s">
        <v>505</v>
      </c>
      <c r="BC16" s="289" t="s">
        <v>505</v>
      </c>
      <c r="BD16" s="289" t="s">
        <v>505</v>
      </c>
      <c r="BE16" s="289" t="s">
        <v>505</v>
      </c>
      <c r="BF16" s="289" t="s">
        <v>505</v>
      </c>
      <c r="BG16" s="289" t="s">
        <v>505</v>
      </c>
      <c r="BH16" s="289" t="s">
        <v>505</v>
      </c>
      <c r="BI16" s="289" t="s">
        <v>505</v>
      </c>
      <c r="BJ16" s="289" t="s">
        <v>505</v>
      </c>
      <c r="BK16" s="289" t="s">
        <v>505</v>
      </c>
      <c r="BL16" s="289" t="s">
        <v>505</v>
      </c>
      <c r="BM16" s="289"/>
    </row>
    <row r="17" spans="1:50" ht="12.75">
      <c r="A17" s="81" t="s">
        <v>503</v>
      </c>
      <c r="B17" s="81" t="s">
        <v>504</v>
      </c>
      <c r="D17" s="81"/>
      <c r="E17" s="365" t="s">
        <v>643</v>
      </c>
      <c r="F17" s="84"/>
      <c r="G17" s="82"/>
      <c r="H17" s="82"/>
      <c r="I17" s="84"/>
      <c r="J17" s="367"/>
      <c r="K17" s="95" t="s">
        <v>556</v>
      </c>
      <c r="L17" s="82"/>
      <c r="M17" s="95"/>
      <c r="N17" s="95" t="s">
        <v>557</v>
      </c>
      <c r="O17" s="200" t="s">
        <v>478</v>
      </c>
      <c r="P17" s="201" t="s">
        <v>125</v>
      </c>
      <c r="Q17" s="149"/>
      <c r="R17" s="99"/>
      <c r="S17" s="82"/>
      <c r="T17" s="82"/>
      <c r="U17" s="82"/>
      <c r="V17" s="82"/>
      <c r="W17" s="98"/>
      <c r="X17" s="200" t="s">
        <v>478</v>
      </c>
      <c r="Y17" s="201" t="s">
        <v>125</v>
      </c>
      <c r="Z17" s="149"/>
      <c r="AA17" s="151" t="s">
        <v>478</v>
      </c>
      <c r="AB17" s="152" t="s">
        <v>505</v>
      </c>
      <c r="AD17" s="211"/>
      <c r="AE17" s="212" t="s">
        <v>506</v>
      </c>
      <c r="AF17" s="212" t="s">
        <v>507</v>
      </c>
      <c r="AG17" s="212" t="s">
        <v>508</v>
      </c>
      <c r="AH17" s="213" t="s">
        <v>509</v>
      </c>
      <c r="AS17" s="30"/>
      <c r="AT17" s="30"/>
      <c r="AU17" s="30"/>
      <c r="AV17" s="3"/>
      <c r="AW17" s="30"/>
      <c r="AX17" s="30"/>
    </row>
    <row r="18" spans="1:64" ht="12.75">
      <c r="A18" s="93"/>
      <c r="B18" s="93" t="s">
        <v>611</v>
      </c>
      <c r="C18" s="93"/>
      <c r="D18" s="93">
        <f>SUM(D20:D314)</f>
        <v>5488130</v>
      </c>
      <c r="E18" s="101">
        <f aca="true" t="shared" si="0" ref="E18:N18">SUM(E20:E314)</f>
        <v>13975221483.820005</v>
      </c>
      <c r="F18" s="93">
        <f t="shared" si="0"/>
        <v>7122372269</v>
      </c>
      <c r="G18" s="93">
        <f t="shared" si="0"/>
        <v>1794999999.9999993</v>
      </c>
      <c r="H18" s="93">
        <f t="shared" si="0"/>
        <v>1144924704.1144934</v>
      </c>
      <c r="I18" s="93">
        <f t="shared" si="0"/>
        <v>2965940557.107705</v>
      </c>
      <c r="J18" s="93">
        <f t="shared" si="0"/>
        <v>794700004.5007005</v>
      </c>
      <c r="K18" s="93">
        <f t="shared" si="0"/>
        <v>-66999296.36359838</v>
      </c>
      <c r="L18" s="93">
        <f t="shared" si="0"/>
        <v>-37262547</v>
      </c>
      <c r="M18" s="93">
        <f t="shared" si="0"/>
        <v>401901238.05999994</v>
      </c>
      <c r="N18" s="93">
        <f t="shared" si="0"/>
        <v>70000000.00000001</v>
      </c>
      <c r="O18" s="214">
        <f>SUM(O20:O314)</f>
        <v>215355445.59929764</v>
      </c>
      <c r="P18" s="215">
        <f>O18/D18</f>
        <v>39.24022309954349</v>
      </c>
      <c r="Q18" s="93"/>
      <c r="R18" s="101">
        <f aca="true" t="shared" si="1" ref="R18:X18">SUM(R20:R314)</f>
        <v>33838515760</v>
      </c>
      <c r="S18" s="286">
        <f t="shared" si="1"/>
        <v>19946936118.5775</v>
      </c>
      <c r="T18" s="286">
        <f t="shared" si="1"/>
        <v>1717387056.1717384</v>
      </c>
      <c r="U18" s="286">
        <f t="shared" si="1"/>
        <v>7824247351.856115</v>
      </c>
      <c r="V18" s="286">
        <f t="shared" si="1"/>
        <v>2383000015.0007014</v>
      </c>
      <c r="W18" s="286">
        <f t="shared" si="1"/>
        <v>2159638691.059999</v>
      </c>
      <c r="X18" s="214">
        <f t="shared" si="1"/>
        <v>192693472.66605163</v>
      </c>
      <c r="Y18" s="215">
        <f>X18/D18</f>
        <v>35.11095266804023</v>
      </c>
      <c r="Z18" s="93"/>
      <c r="AA18" s="94">
        <f>SUM(AA20:AA314)</f>
        <v>22661972.933245916</v>
      </c>
      <c r="AB18" s="153">
        <f>AA18/D18</f>
        <v>4.129270431503247</v>
      </c>
      <c r="AD18" s="216"/>
      <c r="AE18" s="217"/>
      <c r="AF18" s="217"/>
      <c r="AG18" s="217"/>
      <c r="AH18" s="218"/>
      <c r="AJ18" s="81">
        <f>SUM(AJ20:AJ314)</f>
        <v>12824563849.577494</v>
      </c>
      <c r="AK18" s="81">
        <f aca="true" t="shared" si="2" ref="AK18:AY18">SUM(AK20:AK314)</f>
        <v>572462352.0572468</v>
      </c>
      <c r="AL18" s="81">
        <f t="shared" si="2"/>
        <v>4858306794.748407</v>
      </c>
      <c r="AM18" s="81">
        <f t="shared" si="2"/>
        <v>19863294276.17999</v>
      </c>
      <c r="AN18" s="81">
        <f>SUM(AN20:AN314)</f>
        <v>1.6670674085617065E-07</v>
      </c>
      <c r="AO18" s="81">
        <f>SUM(AO20:AO314)</f>
        <v>-9.313225746154785E-09</v>
      </c>
      <c r="AP18" s="81">
        <f t="shared" si="2"/>
        <v>-1.5366822481155396E-08</v>
      </c>
      <c r="AQ18" s="81">
        <f t="shared" si="2"/>
        <v>8.149072527885437E-09</v>
      </c>
      <c r="AR18" s="81">
        <f t="shared" si="2"/>
        <v>2.561137080192566E-09</v>
      </c>
      <c r="AS18" s="82">
        <f>SUM(AS20:AS314)</f>
        <v>2305725</v>
      </c>
      <c r="AT18" s="82">
        <f t="shared" si="2"/>
        <v>39450</v>
      </c>
      <c r="AU18" s="82">
        <f t="shared" si="2"/>
        <v>19543</v>
      </c>
      <c r="AV18" s="82">
        <f>SUM(AV20:AV314)</f>
        <v>58993</v>
      </c>
      <c r="AW18" s="82">
        <f>SUM(AW20:AW314)</f>
        <v>4880968.767681657</v>
      </c>
      <c r="AX18" s="149">
        <f t="shared" si="2"/>
        <v>-2.269189280923456E-10</v>
      </c>
      <c r="AY18" s="82">
        <f t="shared" si="2"/>
        <v>-1588300010.4999995</v>
      </c>
      <c r="AZ18" s="408"/>
      <c r="BA18" s="81">
        <f>(Tuloslaskelma!D29+Tuloslaskelma!D41+Tuloslaskelma!D47+Tuloslaskelma!D48+Tuloslaskelma!D49+Tuloslaskelma!D50+Tuloslaskelma!D53+Tuloslaskelma!D62)/Tuloslaskelma!A10*1000</f>
        <v>39.24022309954314</v>
      </c>
      <c r="BB18" s="81">
        <f>(Tuloslaskelma!B29+Tuloslaskelma!B41+Tuloslaskelma!B46+Tuloslaskelma!B53+Tuloslaskelma!B62)/Tuloslaskelma!A10*1000+AB18</f>
        <v>39.24022309954417</v>
      </c>
      <c r="BC18" s="81">
        <f>BA18-BB18+AB18</f>
        <v>4.129270431502217</v>
      </c>
      <c r="BD18" s="81"/>
      <c r="BE18" s="81"/>
      <c r="BF18" s="81"/>
      <c r="BG18" s="81"/>
      <c r="BH18" s="81">
        <f>BB18-BA18</f>
        <v>1.0302869668521453E-12</v>
      </c>
      <c r="BI18" s="81">
        <f>IF($BC$18&lt;-15,-$BC$18-15,IF($BC$18&gt;15,15-$BC$18,0))</f>
        <v>0</v>
      </c>
      <c r="BJ18" s="81">
        <f>IF($BC$18&lt;-30,-$BC$18-30,IF($BC$18&gt;30,30-$BC$18,0))</f>
        <v>0</v>
      </c>
      <c r="BK18" s="81">
        <f>IF($BC$18&lt;-45,-$BC$18-45,IF($BC$18&gt;45,45-$BC$18,0))</f>
        <v>0</v>
      </c>
      <c r="BL18" s="81">
        <f>IF($BC$18&lt;-60,-$BC$18-60,IF($BC$18&gt;60,60-$BC$18,0))</f>
        <v>0</v>
      </c>
    </row>
    <row r="19" spans="4:50" ht="12.75">
      <c r="D19" s="81"/>
      <c r="E19" s="100"/>
      <c r="F19" s="81"/>
      <c r="G19" s="81"/>
      <c r="H19" s="81"/>
      <c r="I19" s="156"/>
      <c r="J19" s="156"/>
      <c r="K19" s="81"/>
      <c r="L19" s="81"/>
      <c r="M19" s="82"/>
      <c r="N19" s="82"/>
      <c r="O19" s="214"/>
      <c r="P19" s="215"/>
      <c r="Q19" s="81"/>
      <c r="R19" s="100"/>
      <c r="S19" s="81"/>
      <c r="T19" s="81"/>
      <c r="U19" s="81"/>
      <c r="V19" s="81"/>
      <c r="W19" s="81"/>
      <c r="X19" s="219"/>
      <c r="Y19" s="215"/>
      <c r="Z19" s="81"/>
      <c r="AA19" s="102"/>
      <c r="AB19" s="153"/>
      <c r="AD19" s="216"/>
      <c r="AE19" s="220"/>
      <c r="AF19" s="221"/>
      <c r="AG19" s="199"/>
      <c r="AH19" s="222"/>
      <c r="AS19" s="30"/>
      <c r="AT19" s="30"/>
      <c r="AU19" s="30"/>
      <c r="AV19" s="30"/>
      <c r="AW19" s="30"/>
      <c r="AX19" s="30"/>
    </row>
    <row r="20" spans="1:66" ht="12.75">
      <c r="A20" s="81">
        <v>5</v>
      </c>
      <c r="B20" s="81" t="s">
        <v>144</v>
      </c>
      <c r="C20" s="81">
        <v>14</v>
      </c>
      <c r="D20" s="81">
        <v>9700</v>
      </c>
      <c r="E20" s="100">
        <v>28430395.697026186</v>
      </c>
      <c r="F20" s="81">
        <v>10707587</v>
      </c>
      <c r="G20" s="81">
        <v>2008713.8569679842</v>
      </c>
      <c r="H20" s="81">
        <v>1252057.7128951582</v>
      </c>
      <c r="I20" s="156">
        <v>9734660.661401253</v>
      </c>
      <c r="J20" s="156">
        <v>1817589.1575388955</v>
      </c>
      <c r="K20" s="81">
        <v>183940.09789475385</v>
      </c>
      <c r="L20" s="81">
        <v>1306302</v>
      </c>
      <c r="M20" s="82">
        <v>-101549</v>
      </c>
      <c r="N20" s="82">
        <v>78500.90017910108</v>
      </c>
      <c r="O20" s="214">
        <f aca="true" t="shared" si="3" ref="O20:O83">N20+M20+L20+K20+J20+I20+H20+G20+F20-E20</f>
        <v>-1442593.31014904</v>
      </c>
      <c r="P20" s="215">
        <f aca="true" t="shared" si="4" ref="P20:P83">O20/D20</f>
        <v>-148.7209598091794</v>
      </c>
      <c r="Q20" s="81"/>
      <c r="R20" s="223">
        <v>68598740</v>
      </c>
      <c r="S20" s="156">
        <v>25105538.38</v>
      </c>
      <c r="T20" s="156">
        <v>1878086.5693427376</v>
      </c>
      <c r="U20" s="156">
        <v>30734125.125755068</v>
      </c>
      <c r="V20" s="156">
        <v>5720611.717460206</v>
      </c>
      <c r="W20" s="156">
        <v>3213466.8569679842</v>
      </c>
      <c r="X20" s="214">
        <f aca="true" t="shared" si="5" ref="X20:X83">W20+V20+U20+T20+S20-R20</f>
        <v>-1946911.350474</v>
      </c>
      <c r="Y20" s="215">
        <f aca="true" t="shared" si="6" ref="Y20:Y83">X20/D20</f>
        <v>-200.71251035814433</v>
      </c>
      <c r="Z20" s="81"/>
      <c r="AA20" s="94">
        <f aca="true" t="shared" si="7" ref="AA20:AA83">O20-X20</f>
        <v>504318.0403249599</v>
      </c>
      <c r="AB20" s="153">
        <f aca="true" t="shared" si="8" ref="AB20:AB83">AA20/D20</f>
        <v>51.99155054896494</v>
      </c>
      <c r="AD20" s="216">
        <v>-464264.1171393859</v>
      </c>
      <c r="AE20" s="224">
        <v>-339387.75556273514</v>
      </c>
      <c r="AF20" s="224">
        <v>-202802.306251263</v>
      </c>
      <c r="AG20" s="224">
        <v>-55452.713380770736</v>
      </c>
      <c r="AH20" s="225">
        <v>14410.945975414119</v>
      </c>
      <c r="AJ20" s="81">
        <f aca="true" t="shared" si="9" ref="AJ20:AJ83">S20-F20</f>
        <v>14397951.379999999</v>
      </c>
      <c r="AK20" s="81">
        <f aca="true" t="shared" si="10" ref="AK20:AK83">T20-H20</f>
        <v>626028.8564475793</v>
      </c>
      <c r="AL20" s="81">
        <f aca="true" t="shared" si="11" ref="AL20:AL83">U20-I20</f>
        <v>20999464.464353815</v>
      </c>
      <c r="AM20" s="81">
        <f aca="true" t="shared" si="12" ref="AM20:AM83">R20-E20</f>
        <v>40168344.302973814</v>
      </c>
      <c r="AN20" s="81">
        <f aca="true" t="shared" si="13" ref="AN20:AN83">AD20</f>
        <v>-464264.1171393859</v>
      </c>
      <c r="AO20" s="81">
        <f aca="true" t="shared" si="14" ref="AO20:AO83">AE20</f>
        <v>-339387.75556273514</v>
      </c>
      <c r="AP20" s="81">
        <f aca="true" t="shared" si="15" ref="AP20:AP83">AF20</f>
        <v>-202802.306251263</v>
      </c>
      <c r="AQ20" s="81">
        <f aca="true" t="shared" si="16" ref="AQ20:AQ83">AG20</f>
        <v>-55452.713380770736</v>
      </c>
      <c r="AR20" s="81">
        <f aca="true" t="shared" si="17" ref="AR20:AR83">AH20</f>
        <v>14410.945975414119</v>
      </c>
      <c r="AS20" s="82">
        <v>3246</v>
      </c>
      <c r="AT20" s="82">
        <v>26</v>
      </c>
      <c r="AU20" s="82"/>
      <c r="AV20" s="82">
        <f aca="true" t="shared" si="18" ref="AV20:AV83">AT20+AU20</f>
        <v>26</v>
      </c>
      <c r="AW20" s="82">
        <v>16609.728673039335</v>
      </c>
      <c r="AX20" s="149">
        <v>-5095.625872168863</v>
      </c>
      <c r="AY20" s="81">
        <f aca="true" t="shared" si="19" ref="AY20:AY83">J20-V20</f>
        <v>-3903022.5599213103</v>
      </c>
      <c r="AZ20" s="409"/>
      <c r="BA20" s="81"/>
      <c r="BB20" s="81"/>
      <c r="BC20" s="81"/>
      <c r="BD20" s="81"/>
      <c r="BE20" s="81"/>
      <c r="BF20" s="81"/>
      <c r="BG20" s="81"/>
      <c r="BH20" s="81"/>
      <c r="BI20" s="81"/>
      <c r="BJ20" s="81"/>
      <c r="BK20" s="81"/>
      <c r="BL20" s="81"/>
      <c r="BM20" s="81"/>
      <c r="BN20" s="81"/>
    </row>
    <row r="21" spans="1:64" ht="12.75">
      <c r="A21" s="81">
        <v>9</v>
      </c>
      <c r="B21" s="81" t="s">
        <v>145</v>
      </c>
      <c r="C21" s="81">
        <v>17</v>
      </c>
      <c r="D21" s="81">
        <v>2573</v>
      </c>
      <c r="E21" s="100">
        <v>5983990.12072623</v>
      </c>
      <c r="F21" s="81">
        <v>2956680</v>
      </c>
      <c r="G21" s="81">
        <v>694616.215674653</v>
      </c>
      <c r="H21" s="81">
        <v>179081.680189104</v>
      </c>
      <c r="I21" s="156">
        <v>3125768.0131253735</v>
      </c>
      <c r="J21" s="156">
        <v>475788.0006162351</v>
      </c>
      <c r="K21" s="81">
        <v>44298.25622791331</v>
      </c>
      <c r="L21" s="81">
        <v>-543054</v>
      </c>
      <c r="M21" s="82">
        <v>-18500</v>
      </c>
      <c r="N21" s="82">
        <v>20408.666631797416</v>
      </c>
      <c r="O21" s="214">
        <f t="shared" si="3"/>
        <v>951096.7117388463</v>
      </c>
      <c r="P21" s="215">
        <f t="shared" si="4"/>
        <v>369.64504925722747</v>
      </c>
      <c r="Q21" s="81"/>
      <c r="R21" s="223">
        <v>16722076</v>
      </c>
      <c r="S21" s="156">
        <v>6773074.04</v>
      </c>
      <c r="T21" s="156">
        <v>268622.520283656</v>
      </c>
      <c r="U21" s="156">
        <v>8826670.672342107</v>
      </c>
      <c r="V21" s="156">
        <v>1494201.4214313482</v>
      </c>
      <c r="W21" s="156">
        <v>133062.21567465295</v>
      </c>
      <c r="X21" s="214">
        <f t="shared" si="5"/>
        <v>773554.8697317652</v>
      </c>
      <c r="Y21" s="215">
        <f t="shared" si="6"/>
        <v>300.6431674044949</v>
      </c>
      <c r="Z21" s="81"/>
      <c r="AA21" s="94">
        <f t="shared" si="7"/>
        <v>177541.84200708102</v>
      </c>
      <c r="AB21" s="153">
        <f t="shared" si="8"/>
        <v>69.00188185273262</v>
      </c>
      <c r="AD21" s="216">
        <v>-166917.22918682225</v>
      </c>
      <c r="AE21" s="224">
        <v>-133792.80873973746</v>
      </c>
      <c r="AF21" s="224">
        <v>-97562.46223680778</v>
      </c>
      <c r="AG21" s="224">
        <v>-58476.84342693392</v>
      </c>
      <c r="AH21" s="225">
        <v>-19339.227162261475</v>
      </c>
      <c r="AJ21" s="81">
        <f t="shared" si="9"/>
        <v>3816394.04</v>
      </c>
      <c r="AK21" s="81">
        <f t="shared" si="10"/>
        <v>89540.84009455203</v>
      </c>
      <c r="AL21" s="81">
        <f t="shared" si="11"/>
        <v>5700902.659216734</v>
      </c>
      <c r="AM21" s="81">
        <f t="shared" si="12"/>
        <v>10738085.87927377</v>
      </c>
      <c r="AN21" s="81">
        <f t="shared" si="13"/>
        <v>-166917.22918682225</v>
      </c>
      <c r="AO21" s="81">
        <f t="shared" si="14"/>
        <v>-133792.80873973746</v>
      </c>
      <c r="AP21" s="81">
        <f t="shared" si="15"/>
        <v>-97562.46223680778</v>
      </c>
      <c r="AQ21" s="81">
        <f t="shared" si="16"/>
        <v>-58476.84342693392</v>
      </c>
      <c r="AR21" s="81">
        <f t="shared" si="17"/>
        <v>-19339.227162261475</v>
      </c>
      <c r="AS21" s="82">
        <v>745</v>
      </c>
      <c r="AT21" s="82"/>
      <c r="AU21" s="82">
        <v>4</v>
      </c>
      <c r="AV21" s="82">
        <f t="shared" si="18"/>
        <v>4</v>
      </c>
      <c r="AW21" s="82">
        <v>4550.160438282879</v>
      </c>
      <c r="AX21" s="149">
        <v>-1378.7570872674553</v>
      </c>
      <c r="AY21" s="81">
        <f t="shared" si="19"/>
        <v>-1018413.4208151131</v>
      </c>
      <c r="AZ21" s="409"/>
      <c r="BA21" t="s">
        <v>670</v>
      </c>
      <c r="BH21" s="144"/>
      <c r="BI21" s="144"/>
      <c r="BJ21" s="144"/>
      <c r="BK21" s="144"/>
      <c r="BL21" s="144"/>
    </row>
    <row r="22" spans="1:59" ht="12.75">
      <c r="A22" s="81">
        <v>10</v>
      </c>
      <c r="B22" s="81" t="s">
        <v>146</v>
      </c>
      <c r="C22" s="81">
        <v>14</v>
      </c>
      <c r="D22" s="81">
        <v>11544</v>
      </c>
      <c r="E22" s="100">
        <v>28571965.285595074</v>
      </c>
      <c r="F22" s="81">
        <v>12320651</v>
      </c>
      <c r="G22" s="81">
        <v>2608866.850913912</v>
      </c>
      <c r="H22" s="81">
        <v>1651609.1853832032</v>
      </c>
      <c r="I22" s="156">
        <v>10663363.993647354</v>
      </c>
      <c r="J22" s="156">
        <v>2192402.8247112893</v>
      </c>
      <c r="K22" s="81">
        <v>-920606.8809643066</v>
      </c>
      <c r="L22" s="81">
        <v>-659446</v>
      </c>
      <c r="M22" s="82">
        <v>406000</v>
      </c>
      <c r="N22" s="82">
        <v>95038.72258293023</v>
      </c>
      <c r="O22" s="214">
        <f t="shared" si="3"/>
        <v>-214085.58932069317</v>
      </c>
      <c r="P22" s="215">
        <f t="shared" si="4"/>
        <v>-18.545182720087766</v>
      </c>
      <c r="Q22" s="81"/>
      <c r="R22" s="223">
        <v>78591996</v>
      </c>
      <c r="S22" s="156">
        <v>29683935.787499998</v>
      </c>
      <c r="T22" s="156">
        <v>2477413.7780748047</v>
      </c>
      <c r="U22" s="156">
        <v>35659615.45371582</v>
      </c>
      <c r="V22" s="156">
        <v>6904625.396614446</v>
      </c>
      <c r="W22" s="156">
        <v>2355420.850913912</v>
      </c>
      <c r="X22" s="214">
        <f t="shared" si="5"/>
        <v>-1510984.7331810147</v>
      </c>
      <c r="Y22" s="215">
        <f t="shared" si="6"/>
        <v>-130.8891834009888</v>
      </c>
      <c r="Z22" s="81"/>
      <c r="AA22" s="94">
        <f t="shared" si="7"/>
        <v>1296899.1438603215</v>
      </c>
      <c r="AB22" s="153">
        <f t="shared" si="8"/>
        <v>112.34400068090103</v>
      </c>
      <c r="AD22" s="216">
        <v>-1249230.8459990483</v>
      </c>
      <c r="AE22" s="224">
        <v>-1100615.1018711247</v>
      </c>
      <c r="AF22" s="224">
        <v>-938064.336216317</v>
      </c>
      <c r="AG22" s="224">
        <v>-762703.1300207538</v>
      </c>
      <c r="AH22" s="225">
        <v>-587108.6324850451</v>
      </c>
      <c r="AJ22" s="81">
        <f t="shared" si="9"/>
        <v>17363284.787499998</v>
      </c>
      <c r="AK22" s="81">
        <f t="shared" si="10"/>
        <v>825804.5926916015</v>
      </c>
      <c r="AL22" s="81">
        <f t="shared" si="11"/>
        <v>24996251.46006847</v>
      </c>
      <c r="AM22" s="81">
        <f t="shared" si="12"/>
        <v>50020030.714404926</v>
      </c>
      <c r="AN22" s="81">
        <f t="shared" si="13"/>
        <v>-1249230.8459990483</v>
      </c>
      <c r="AO22" s="81">
        <f t="shared" si="14"/>
        <v>-1100615.1018711247</v>
      </c>
      <c r="AP22" s="81">
        <f t="shared" si="15"/>
        <v>-938064.336216317</v>
      </c>
      <c r="AQ22" s="81">
        <f t="shared" si="16"/>
        <v>-762703.1300207538</v>
      </c>
      <c r="AR22" s="81">
        <f t="shared" si="17"/>
        <v>-587108.6324850451</v>
      </c>
      <c r="AS22" s="82">
        <v>3653</v>
      </c>
      <c r="AT22" s="82">
        <v>105</v>
      </c>
      <c r="AU22" s="82"/>
      <c r="AV22" s="82">
        <f t="shared" si="18"/>
        <v>105</v>
      </c>
      <c r="AW22" s="82">
        <v>19686.32553013725</v>
      </c>
      <c r="AX22" s="149">
        <v>-6087.040209073781</v>
      </c>
      <c r="AY22" s="81">
        <f t="shared" si="19"/>
        <v>-4712222.571903157</v>
      </c>
      <c r="AZ22" s="409"/>
      <c r="BA22" s="81"/>
      <c r="BB22" s="81"/>
      <c r="BC22" s="81"/>
      <c r="BD22" s="81"/>
      <c r="BE22" s="81"/>
      <c r="BF22" s="81"/>
      <c r="BG22" s="81"/>
    </row>
    <row r="23" spans="1:59" ht="12.75">
      <c r="A23" s="81">
        <v>16</v>
      </c>
      <c r="B23" s="81" t="s">
        <v>147</v>
      </c>
      <c r="C23" s="81">
        <v>7</v>
      </c>
      <c r="D23" s="81">
        <v>8149</v>
      </c>
      <c r="E23" s="100">
        <v>18099338.53124744</v>
      </c>
      <c r="F23" s="81">
        <v>10024415</v>
      </c>
      <c r="G23" s="81">
        <v>2767662.850862833</v>
      </c>
      <c r="H23" s="81">
        <v>1017499.9655909088</v>
      </c>
      <c r="I23" s="156">
        <v>3824663.7019541496</v>
      </c>
      <c r="J23" s="156">
        <v>1315362.2589241685</v>
      </c>
      <c r="K23" s="81">
        <v>174009.04566414715</v>
      </c>
      <c r="L23" s="81">
        <v>-561000</v>
      </c>
      <c r="M23" s="82">
        <v>-205000</v>
      </c>
      <c r="N23" s="82">
        <v>86221.768645547</v>
      </c>
      <c r="O23" s="214">
        <f t="shared" si="3"/>
        <v>344496.0603943132</v>
      </c>
      <c r="P23" s="215">
        <f t="shared" si="4"/>
        <v>42.27464233578515</v>
      </c>
      <c r="Q23" s="81"/>
      <c r="R23" s="223">
        <v>49845068</v>
      </c>
      <c r="S23" s="156">
        <v>26017312.07</v>
      </c>
      <c r="T23" s="156">
        <v>1526249.9483863632</v>
      </c>
      <c r="U23" s="156">
        <v>17464995.247307852</v>
      </c>
      <c r="V23" s="156">
        <v>4037569.267596895</v>
      </c>
      <c r="W23" s="156">
        <v>2001662.8508628332</v>
      </c>
      <c r="X23" s="214">
        <f t="shared" si="5"/>
        <v>1202721.3841539472</v>
      </c>
      <c r="Y23" s="215">
        <f t="shared" si="6"/>
        <v>147.59128532997266</v>
      </c>
      <c r="Z23" s="81"/>
      <c r="AA23" s="94">
        <f t="shared" si="7"/>
        <v>-858225.323759634</v>
      </c>
      <c r="AB23" s="153">
        <f t="shared" si="8"/>
        <v>-105.31664299418752</v>
      </c>
      <c r="AD23" s="216">
        <v>891874.7485059465</v>
      </c>
      <c r="AE23" s="224">
        <v>752313.7660820421</v>
      </c>
      <c r="AF23" s="224">
        <v>622589.6244778344</v>
      </c>
      <c r="AG23" s="224">
        <v>501908.4731687253</v>
      </c>
      <c r="AH23" s="225">
        <v>381392.004043508</v>
      </c>
      <c r="AJ23" s="81">
        <f t="shared" si="9"/>
        <v>15992897.07</v>
      </c>
      <c r="AK23" s="81">
        <f t="shared" si="10"/>
        <v>508749.98279545445</v>
      </c>
      <c r="AL23" s="81">
        <f t="shared" si="11"/>
        <v>13640331.545353703</v>
      </c>
      <c r="AM23" s="81">
        <f t="shared" si="12"/>
        <v>31745729.46875256</v>
      </c>
      <c r="AN23" s="81">
        <f t="shared" si="13"/>
        <v>891874.7485059465</v>
      </c>
      <c r="AO23" s="81">
        <f t="shared" si="14"/>
        <v>752313.7660820421</v>
      </c>
      <c r="AP23" s="81">
        <f t="shared" si="15"/>
        <v>622589.6244778344</v>
      </c>
      <c r="AQ23" s="81">
        <f t="shared" si="16"/>
        <v>501908.4731687253</v>
      </c>
      <c r="AR23" s="81">
        <f t="shared" si="17"/>
        <v>381392.004043508</v>
      </c>
      <c r="AS23" s="82">
        <v>2215</v>
      </c>
      <c r="AT23" s="82"/>
      <c r="AU23" s="82"/>
      <c r="AV23" s="82">
        <f t="shared" si="18"/>
        <v>0</v>
      </c>
      <c r="AW23" s="82">
        <v>11078.401586705135</v>
      </c>
      <c r="AX23" s="149">
        <v>-1886.0328632469552</v>
      </c>
      <c r="AY23" s="81">
        <f t="shared" si="19"/>
        <v>-2722207.0086727263</v>
      </c>
      <c r="AZ23" s="409"/>
      <c r="BA23" s="81"/>
      <c r="BB23" s="81"/>
      <c r="BC23" s="81"/>
      <c r="BD23" s="81"/>
      <c r="BE23" s="81"/>
      <c r="BF23" s="81"/>
      <c r="BG23" s="81"/>
    </row>
    <row r="24" spans="1:59" ht="12.75">
      <c r="A24" s="81">
        <v>18</v>
      </c>
      <c r="B24" s="81" t="s">
        <v>148</v>
      </c>
      <c r="C24" s="81">
        <v>1</v>
      </c>
      <c r="D24" s="81">
        <v>4958</v>
      </c>
      <c r="E24" s="100">
        <v>11777718.42906927</v>
      </c>
      <c r="F24" s="81">
        <v>7404496</v>
      </c>
      <c r="G24" s="81">
        <v>1108337.4133908572</v>
      </c>
      <c r="H24" s="81">
        <v>588393.1778088672</v>
      </c>
      <c r="I24" s="156">
        <v>4404130.727581996</v>
      </c>
      <c r="J24" s="156">
        <v>735618.9264985952</v>
      </c>
      <c r="K24" s="81">
        <v>-735949.8485694558</v>
      </c>
      <c r="L24" s="81">
        <v>-216876</v>
      </c>
      <c r="M24" s="82">
        <v>87000</v>
      </c>
      <c r="N24" s="82">
        <v>57436.706108659855</v>
      </c>
      <c r="O24" s="214">
        <f t="shared" si="3"/>
        <v>1654868.6737502497</v>
      </c>
      <c r="P24" s="215">
        <f t="shared" si="4"/>
        <v>333.77746545991323</v>
      </c>
      <c r="Q24" s="81"/>
      <c r="R24" s="223">
        <v>28119112</v>
      </c>
      <c r="S24" s="156">
        <v>18102885.935</v>
      </c>
      <c r="T24" s="156">
        <v>882589.7667133007</v>
      </c>
      <c r="U24" s="156">
        <v>7103738.5058917925</v>
      </c>
      <c r="V24" s="156">
        <v>2221994.8133744425</v>
      </c>
      <c r="W24" s="156">
        <v>978461.4133908572</v>
      </c>
      <c r="X24" s="214">
        <f t="shared" si="5"/>
        <v>1170558.434370391</v>
      </c>
      <c r="Y24" s="215">
        <f t="shared" si="6"/>
        <v>236.09488389882839</v>
      </c>
      <c r="Z24" s="81"/>
      <c r="AA24" s="94">
        <f t="shared" si="7"/>
        <v>484310.2393798586</v>
      </c>
      <c r="AB24" s="153">
        <f t="shared" si="8"/>
        <v>97.68258156108483</v>
      </c>
      <c r="AD24" s="216">
        <v>-463837.3165804637</v>
      </c>
      <c r="AE24" s="224">
        <v>-400008.7598075734</v>
      </c>
      <c r="AF24" s="224">
        <v>-330195.2899430086</v>
      </c>
      <c r="AG24" s="224">
        <v>-254879.9001026065</v>
      </c>
      <c r="AH24" s="225">
        <v>-179464.31462252646</v>
      </c>
      <c r="AJ24" s="81">
        <f t="shared" si="9"/>
        <v>10698389.934999999</v>
      </c>
      <c r="AK24" s="81">
        <f t="shared" si="10"/>
        <v>294196.58890443353</v>
      </c>
      <c r="AL24" s="81">
        <f t="shared" si="11"/>
        <v>2699607.778309797</v>
      </c>
      <c r="AM24" s="81">
        <f t="shared" si="12"/>
        <v>16341393.57093073</v>
      </c>
      <c r="AN24" s="81">
        <f t="shared" si="13"/>
        <v>-463837.3165804637</v>
      </c>
      <c r="AO24" s="81">
        <f t="shared" si="14"/>
        <v>-400008.7598075734</v>
      </c>
      <c r="AP24" s="81">
        <f t="shared" si="15"/>
        <v>-330195.2899430086</v>
      </c>
      <c r="AQ24" s="81">
        <f t="shared" si="16"/>
        <v>-254879.9001026065</v>
      </c>
      <c r="AR24" s="81">
        <f t="shared" si="17"/>
        <v>-179464.31462252646</v>
      </c>
      <c r="AS24" s="82">
        <v>1274</v>
      </c>
      <c r="AT24" s="82">
        <v>74</v>
      </c>
      <c r="AU24" s="82">
        <v>36</v>
      </c>
      <c r="AV24" s="82">
        <f t="shared" si="18"/>
        <v>110</v>
      </c>
      <c r="AW24" s="82">
        <v>2384.1410426139773</v>
      </c>
      <c r="AX24" s="149">
        <v>-349.4953756895163</v>
      </c>
      <c r="AY24" s="81">
        <f t="shared" si="19"/>
        <v>-1486375.8868758474</v>
      </c>
      <c r="AZ24" s="409"/>
      <c r="BA24" s="81"/>
      <c r="BB24" s="81"/>
      <c r="BC24" s="81"/>
      <c r="BD24" s="81"/>
      <c r="BE24" s="81"/>
      <c r="BF24" s="81"/>
      <c r="BG24" s="81"/>
    </row>
    <row r="25" spans="1:59" ht="12.75">
      <c r="A25" s="81">
        <v>19</v>
      </c>
      <c r="B25" s="81" t="s">
        <v>149</v>
      </c>
      <c r="C25" s="81">
        <v>2</v>
      </c>
      <c r="D25" s="81">
        <v>3984</v>
      </c>
      <c r="E25" s="100">
        <v>8956249.031551315</v>
      </c>
      <c r="F25" s="81">
        <v>5618871</v>
      </c>
      <c r="G25" s="81">
        <v>703611.8711013213</v>
      </c>
      <c r="H25" s="81">
        <v>311987.0586637728</v>
      </c>
      <c r="I25" s="156">
        <v>3608378.914407584</v>
      </c>
      <c r="J25" s="156">
        <v>597710.653690818</v>
      </c>
      <c r="K25" s="81">
        <v>-561103.5997786846</v>
      </c>
      <c r="L25" s="81">
        <v>-649165</v>
      </c>
      <c r="M25" s="82">
        <v>-26980</v>
      </c>
      <c r="N25" s="82">
        <v>42267.11104619145</v>
      </c>
      <c r="O25" s="214">
        <f t="shared" si="3"/>
        <v>689328.9775796887</v>
      </c>
      <c r="P25" s="215">
        <f t="shared" si="4"/>
        <v>173.02434176197005</v>
      </c>
      <c r="Q25" s="81"/>
      <c r="R25" s="223">
        <v>21703164</v>
      </c>
      <c r="S25" s="156">
        <v>13552214.53</v>
      </c>
      <c r="T25" s="156">
        <v>467980.5879956592</v>
      </c>
      <c r="U25" s="156">
        <v>5885040.36480438</v>
      </c>
      <c r="V25" s="156">
        <v>1823954.2523473394</v>
      </c>
      <c r="W25" s="156">
        <v>27466.871101321303</v>
      </c>
      <c r="X25" s="214">
        <f t="shared" si="5"/>
        <v>53492.60624869913</v>
      </c>
      <c r="Y25" s="215">
        <f t="shared" si="6"/>
        <v>13.426858998167452</v>
      </c>
      <c r="Z25" s="81"/>
      <c r="AA25" s="94">
        <f t="shared" si="7"/>
        <v>635836.3713309895</v>
      </c>
      <c r="AB25" s="153">
        <f t="shared" si="8"/>
        <v>159.5974827638026</v>
      </c>
      <c r="AD25" s="216">
        <v>-619385.3579318862</v>
      </c>
      <c r="AE25" s="224">
        <v>-568095.9327234968</v>
      </c>
      <c r="AF25" s="224">
        <v>-511997.3316867025</v>
      </c>
      <c r="AG25" s="224">
        <v>-451477.66385205905</v>
      </c>
      <c r="AH25" s="225">
        <v>-390877.48382934043</v>
      </c>
      <c r="AJ25" s="81">
        <f t="shared" si="9"/>
        <v>7933343.529999999</v>
      </c>
      <c r="AK25" s="81">
        <f t="shared" si="10"/>
        <v>155993.52933188638</v>
      </c>
      <c r="AL25" s="81">
        <f t="shared" si="11"/>
        <v>2276661.4503967958</v>
      </c>
      <c r="AM25" s="81">
        <f t="shared" si="12"/>
        <v>12746914.968448685</v>
      </c>
      <c r="AN25" s="81">
        <f t="shared" si="13"/>
        <v>-619385.3579318862</v>
      </c>
      <c r="AO25" s="81">
        <f t="shared" si="14"/>
        <v>-568095.9327234968</v>
      </c>
      <c r="AP25" s="81">
        <f t="shared" si="15"/>
        <v>-511997.3316867025</v>
      </c>
      <c r="AQ25" s="81">
        <f t="shared" si="16"/>
        <v>-451477.66385205905</v>
      </c>
      <c r="AR25" s="81">
        <f t="shared" si="17"/>
        <v>-390877.48382934043</v>
      </c>
      <c r="AS25" s="82">
        <v>847</v>
      </c>
      <c r="AT25" s="82"/>
      <c r="AU25" s="82"/>
      <c r="AV25" s="82">
        <f t="shared" si="18"/>
        <v>0</v>
      </c>
      <c r="AW25" s="82">
        <v>1858.9967688549646</v>
      </c>
      <c r="AX25" s="149">
        <v>-711.856533720781</v>
      </c>
      <c r="AY25" s="81">
        <f t="shared" si="19"/>
        <v>-1226243.5986565214</v>
      </c>
      <c r="AZ25" s="409"/>
      <c r="BA25" s="81"/>
      <c r="BB25" s="81"/>
      <c r="BC25" s="81"/>
      <c r="BD25" s="81"/>
      <c r="BE25" s="81"/>
      <c r="BF25" s="81"/>
      <c r="BG25" s="81"/>
    </row>
    <row r="26" spans="1:59" ht="12.75">
      <c r="A26" s="81">
        <v>20</v>
      </c>
      <c r="B26" s="81" t="s">
        <v>127</v>
      </c>
      <c r="C26" s="81">
        <v>6</v>
      </c>
      <c r="D26" s="81">
        <v>16611</v>
      </c>
      <c r="E26" s="100">
        <v>39028537.69315758</v>
      </c>
      <c r="F26" s="81">
        <v>25235436</v>
      </c>
      <c r="G26" s="81">
        <v>3347166.704229901</v>
      </c>
      <c r="H26" s="81">
        <v>1039469.124288672</v>
      </c>
      <c r="I26" s="156">
        <v>12878328.95412817</v>
      </c>
      <c r="J26" s="156">
        <v>2512307.9935673308</v>
      </c>
      <c r="K26" s="81">
        <v>-2116756.582080281</v>
      </c>
      <c r="L26" s="81">
        <v>-2443778</v>
      </c>
      <c r="M26" s="82">
        <v>179000</v>
      </c>
      <c r="N26" s="82">
        <v>175734.2443700546</v>
      </c>
      <c r="O26" s="214">
        <f t="shared" si="3"/>
        <v>1778370.745346263</v>
      </c>
      <c r="P26" s="215">
        <f t="shared" si="4"/>
        <v>107.05982453472176</v>
      </c>
      <c r="Q26" s="81"/>
      <c r="R26" s="223">
        <v>98248024</v>
      </c>
      <c r="S26" s="156">
        <v>58348791.1</v>
      </c>
      <c r="T26" s="156">
        <v>1559203.686433008</v>
      </c>
      <c r="U26" s="156">
        <v>29486497.544144083</v>
      </c>
      <c r="V26" s="156">
        <v>7638978.122277235</v>
      </c>
      <c r="W26" s="156">
        <v>1082388.704229901</v>
      </c>
      <c r="X26" s="214">
        <f t="shared" si="5"/>
        <v>-132164.8429157734</v>
      </c>
      <c r="Y26" s="215">
        <f t="shared" si="6"/>
        <v>-7.95646516860956</v>
      </c>
      <c r="Z26" s="81"/>
      <c r="AA26" s="94">
        <f t="shared" si="7"/>
        <v>1910535.5882620364</v>
      </c>
      <c r="AB26" s="153">
        <f t="shared" si="8"/>
        <v>115.01628970333131</v>
      </c>
      <c r="AD26" s="216">
        <v>-1841944.2771243437</v>
      </c>
      <c r="AE26" s="224">
        <v>-1628096.726387256</v>
      </c>
      <c r="AF26" s="224">
        <v>-1394197.6646848992</v>
      </c>
      <c r="AG26" s="224">
        <v>-1141865.2845641004</v>
      </c>
      <c r="AH26" s="225">
        <v>-889197.2146952804</v>
      </c>
      <c r="AJ26" s="81">
        <f t="shared" si="9"/>
        <v>33113355.1</v>
      </c>
      <c r="AK26" s="81">
        <f t="shared" si="10"/>
        <v>519734.56214433594</v>
      </c>
      <c r="AL26" s="81">
        <f t="shared" si="11"/>
        <v>16608168.590015912</v>
      </c>
      <c r="AM26" s="81">
        <f t="shared" si="12"/>
        <v>59219486.30684242</v>
      </c>
      <c r="AN26" s="81">
        <f t="shared" si="13"/>
        <v>-1841944.2771243437</v>
      </c>
      <c r="AO26" s="81">
        <f t="shared" si="14"/>
        <v>-1628096.726387256</v>
      </c>
      <c r="AP26" s="81">
        <f t="shared" si="15"/>
        <v>-1394197.6646848992</v>
      </c>
      <c r="AQ26" s="81">
        <f t="shared" si="16"/>
        <v>-1141865.2845641004</v>
      </c>
      <c r="AR26" s="81">
        <f t="shared" si="17"/>
        <v>-889197.2146952804</v>
      </c>
      <c r="AS26" s="82">
        <v>6043</v>
      </c>
      <c r="AT26" s="82">
        <v>45</v>
      </c>
      <c r="AU26" s="82"/>
      <c r="AV26" s="82">
        <f t="shared" si="18"/>
        <v>45</v>
      </c>
      <c r="AW26" s="82">
        <v>14107.97300293491</v>
      </c>
      <c r="AX26" s="149">
        <v>-3134.7519269267236</v>
      </c>
      <c r="AY26" s="81">
        <f t="shared" si="19"/>
        <v>-5126670.128709904</v>
      </c>
      <c r="AZ26" s="409"/>
      <c r="BA26" s="81"/>
      <c r="BB26" s="81"/>
      <c r="BC26" s="81"/>
      <c r="BD26" s="81"/>
      <c r="BE26" s="81"/>
      <c r="BF26" s="81"/>
      <c r="BG26" s="81"/>
    </row>
    <row r="27" spans="1:59" ht="12.75">
      <c r="A27" s="81">
        <v>46</v>
      </c>
      <c r="B27" s="81" t="s">
        <v>150</v>
      </c>
      <c r="C27" s="81">
        <v>11</v>
      </c>
      <c r="D27" s="81">
        <v>1405</v>
      </c>
      <c r="E27" s="100">
        <v>3420158.256025385</v>
      </c>
      <c r="F27" s="81">
        <v>1468933</v>
      </c>
      <c r="G27" s="81">
        <v>504978.2824400289</v>
      </c>
      <c r="H27" s="81">
        <v>399981.27722192643</v>
      </c>
      <c r="I27" s="156">
        <v>1312851.1836849076</v>
      </c>
      <c r="J27" s="156">
        <v>278531.3415122889</v>
      </c>
      <c r="K27" s="81">
        <v>-85227.50397000511</v>
      </c>
      <c r="L27" s="81">
        <v>-348479</v>
      </c>
      <c r="M27" s="82">
        <v>93820</v>
      </c>
      <c r="N27" s="82">
        <v>12671.406456012824</v>
      </c>
      <c r="O27" s="214">
        <f t="shared" si="3"/>
        <v>217901.7313197744</v>
      </c>
      <c r="P27" s="215">
        <f t="shared" si="4"/>
        <v>155.09020022759745</v>
      </c>
      <c r="Q27" s="81"/>
      <c r="R27" s="223">
        <v>10255364</v>
      </c>
      <c r="S27" s="156">
        <v>3694073.28</v>
      </c>
      <c r="T27" s="156">
        <v>599971.9158328896</v>
      </c>
      <c r="U27" s="156">
        <v>5064369.497982066</v>
      </c>
      <c r="V27" s="156">
        <v>875640.4983263587</v>
      </c>
      <c r="W27" s="156">
        <v>250319.2824400289</v>
      </c>
      <c r="X27" s="214">
        <f t="shared" si="5"/>
        <v>229010.4745813422</v>
      </c>
      <c r="Y27" s="215">
        <f t="shared" si="6"/>
        <v>162.9967790614535</v>
      </c>
      <c r="Z27" s="81"/>
      <c r="AA27" s="94">
        <f t="shared" si="7"/>
        <v>-11108.743261567783</v>
      </c>
      <c r="AB27" s="153">
        <f t="shared" si="8"/>
        <v>-7.906578833856073</v>
      </c>
      <c r="AD27" s="216">
        <v>16910.368217832176</v>
      </c>
      <c r="AE27" s="224">
        <v>2814.3866073130193</v>
      </c>
      <c r="AF27" s="224">
        <v>1523.1552962427406</v>
      </c>
      <c r="AG27" s="224">
        <v>1791.0602429480643</v>
      </c>
      <c r="AH27" s="225">
        <v>2087.3586696347256</v>
      </c>
      <c r="AJ27" s="81">
        <f t="shared" si="9"/>
        <v>2225140.28</v>
      </c>
      <c r="AK27" s="81">
        <f t="shared" si="10"/>
        <v>199990.6386109632</v>
      </c>
      <c r="AL27" s="81">
        <f t="shared" si="11"/>
        <v>3751518.3142971583</v>
      </c>
      <c r="AM27" s="81">
        <f t="shared" si="12"/>
        <v>6835205.743974615</v>
      </c>
      <c r="AN27" s="81">
        <f t="shared" si="13"/>
        <v>16910.368217832176</v>
      </c>
      <c r="AO27" s="81">
        <f t="shared" si="14"/>
        <v>2814.3866073130193</v>
      </c>
      <c r="AP27" s="81">
        <f t="shared" si="15"/>
        <v>1523.1552962427406</v>
      </c>
      <c r="AQ27" s="81">
        <f t="shared" si="16"/>
        <v>1791.0602429480643</v>
      </c>
      <c r="AR27" s="81">
        <f t="shared" si="17"/>
        <v>2087.3586696347256</v>
      </c>
      <c r="AS27" s="82">
        <v>655</v>
      </c>
      <c r="AT27" s="82"/>
      <c r="AU27" s="82"/>
      <c r="AV27" s="82">
        <f t="shared" si="18"/>
        <v>0</v>
      </c>
      <c r="AW27" s="82">
        <v>3054.764310462444</v>
      </c>
      <c r="AX27" s="149">
        <v>-640.2617863026692</v>
      </c>
      <c r="AY27" s="81">
        <f t="shared" si="19"/>
        <v>-597109.1568140698</v>
      </c>
      <c r="AZ27" s="409"/>
      <c r="BA27" s="81"/>
      <c r="BB27" s="81"/>
      <c r="BC27" s="81"/>
      <c r="BD27" s="81"/>
      <c r="BE27" s="81"/>
      <c r="BF27" s="81"/>
      <c r="BG27" s="81"/>
    </row>
    <row r="28" spans="1:59" ht="12.75">
      <c r="A28" s="81">
        <v>47</v>
      </c>
      <c r="B28" s="81" t="s">
        <v>151</v>
      </c>
      <c r="C28" s="81">
        <v>19</v>
      </c>
      <c r="D28" s="81">
        <v>1852</v>
      </c>
      <c r="E28" s="100">
        <v>6548389.63898376</v>
      </c>
      <c r="F28" s="81">
        <v>2150524</v>
      </c>
      <c r="G28" s="81">
        <v>799248.3648211755</v>
      </c>
      <c r="H28" s="81">
        <v>270441.519407136</v>
      </c>
      <c r="I28" s="156">
        <v>2821827.833204476</v>
      </c>
      <c r="J28" s="156">
        <v>354833.31573978835</v>
      </c>
      <c r="K28" s="81">
        <v>-356942.16733160743</v>
      </c>
      <c r="L28" s="81">
        <v>-19397</v>
      </c>
      <c r="M28" s="82">
        <v>289566</v>
      </c>
      <c r="N28" s="82">
        <v>16869.704890304103</v>
      </c>
      <c r="O28" s="214">
        <f t="shared" si="3"/>
        <v>-221418.0682524871</v>
      </c>
      <c r="P28" s="215">
        <f t="shared" si="4"/>
        <v>-119.55619236095416</v>
      </c>
      <c r="Q28" s="81"/>
      <c r="R28" s="223">
        <v>15918140</v>
      </c>
      <c r="S28" s="156">
        <v>5243930.075</v>
      </c>
      <c r="T28" s="156">
        <v>405662.279110704</v>
      </c>
      <c r="U28" s="156">
        <v>8343756.821153129</v>
      </c>
      <c r="V28" s="156">
        <v>1108552.5031718558</v>
      </c>
      <c r="W28" s="156">
        <v>1069417.3648211756</v>
      </c>
      <c r="X28" s="214">
        <f t="shared" si="5"/>
        <v>253179.04325686395</v>
      </c>
      <c r="Y28" s="215">
        <f t="shared" si="6"/>
        <v>136.70574689895463</v>
      </c>
      <c r="Z28" s="81"/>
      <c r="AA28" s="94">
        <f t="shared" si="7"/>
        <v>-474597.11150935106</v>
      </c>
      <c r="AB28" s="153">
        <f t="shared" si="8"/>
        <v>-256.2619392599088</v>
      </c>
      <c r="AD28" s="216">
        <v>482244.520348495</v>
      </c>
      <c r="AE28" s="224">
        <v>450526.8937134391</v>
      </c>
      <c r="AF28" s="224">
        <v>421044.8578500212</v>
      </c>
      <c r="AG28" s="224">
        <v>393617.9966125111</v>
      </c>
      <c r="AH28" s="225">
        <v>366228.56222548167</v>
      </c>
      <c r="AJ28" s="81">
        <f t="shared" si="9"/>
        <v>3093406.075</v>
      </c>
      <c r="AK28" s="81">
        <f t="shared" si="10"/>
        <v>135220.759703568</v>
      </c>
      <c r="AL28" s="81">
        <f t="shared" si="11"/>
        <v>5521928.987948653</v>
      </c>
      <c r="AM28" s="81">
        <f t="shared" si="12"/>
        <v>9369750.36101624</v>
      </c>
      <c r="AN28" s="81">
        <f t="shared" si="13"/>
        <v>482244.520348495</v>
      </c>
      <c r="AO28" s="81">
        <f t="shared" si="14"/>
        <v>450526.8937134391</v>
      </c>
      <c r="AP28" s="81">
        <f t="shared" si="15"/>
        <v>421044.8578500212</v>
      </c>
      <c r="AQ28" s="81">
        <f t="shared" si="16"/>
        <v>393617.9966125111</v>
      </c>
      <c r="AR28" s="81">
        <f t="shared" si="17"/>
        <v>366228.56222548167</v>
      </c>
      <c r="AS28" s="82">
        <v>366</v>
      </c>
      <c r="AT28" s="82">
        <v>38</v>
      </c>
      <c r="AU28" s="82"/>
      <c r="AV28" s="82">
        <f t="shared" si="18"/>
        <v>38</v>
      </c>
      <c r="AW28" s="82">
        <v>4029.263386088822</v>
      </c>
      <c r="AX28" s="149">
        <v>-795.179902321135</v>
      </c>
      <c r="AY28" s="81">
        <f t="shared" si="19"/>
        <v>-753719.1874320675</v>
      </c>
      <c r="AZ28" s="409"/>
      <c r="BA28" s="81"/>
      <c r="BB28" s="81"/>
      <c r="BC28" s="81"/>
      <c r="BD28" s="81"/>
      <c r="BE28" s="81"/>
      <c r="BF28" s="81"/>
      <c r="BG28" s="81"/>
    </row>
    <row r="29" spans="1:59" ht="12.75">
      <c r="A29" s="81">
        <v>49</v>
      </c>
      <c r="B29" s="81" t="s">
        <v>152</v>
      </c>
      <c r="C29" s="81">
        <v>1</v>
      </c>
      <c r="D29" s="81">
        <v>283632</v>
      </c>
      <c r="E29" s="100">
        <v>877557274.3810833</v>
      </c>
      <c r="F29" s="81">
        <v>368730588</v>
      </c>
      <c r="G29" s="81">
        <v>116972397.78655492</v>
      </c>
      <c r="H29" s="81">
        <v>79457675.30712064</v>
      </c>
      <c r="I29" s="156">
        <v>198186684.1628073</v>
      </c>
      <c r="J29" s="156">
        <v>31104338.4427132</v>
      </c>
      <c r="K29" s="81">
        <v>97837904.06149864</v>
      </c>
      <c r="L29" s="81">
        <v>-12341988</v>
      </c>
      <c r="M29" s="82">
        <v>19821000</v>
      </c>
      <c r="N29" s="82">
        <v>5330602.283082424</v>
      </c>
      <c r="O29" s="214">
        <f t="shared" si="3"/>
        <v>27541927.66269386</v>
      </c>
      <c r="P29" s="215">
        <f t="shared" si="4"/>
        <v>97.1044440073541</v>
      </c>
      <c r="Q29" s="81"/>
      <c r="R29" s="223">
        <v>1693507760</v>
      </c>
      <c r="S29" s="156">
        <v>1349204871.1599998</v>
      </c>
      <c r="T29" s="156">
        <v>119186512.96068095</v>
      </c>
      <c r="U29" s="156">
        <v>81415709.58907288</v>
      </c>
      <c r="V29" s="156">
        <v>85834325.17010912</v>
      </c>
      <c r="W29" s="156">
        <v>124451409.78655492</v>
      </c>
      <c r="X29" s="214">
        <f t="shared" si="5"/>
        <v>66585068.6664176</v>
      </c>
      <c r="Y29" s="215">
        <f t="shared" si="6"/>
        <v>234.7586614571614</v>
      </c>
      <c r="Z29" s="81"/>
      <c r="AA29" s="94">
        <f t="shared" si="7"/>
        <v>-39043141.00372374</v>
      </c>
      <c r="AB29" s="153">
        <f t="shared" si="8"/>
        <v>-137.65421744980728</v>
      </c>
      <c r="AD29" s="216">
        <v>40214334.234751865</v>
      </c>
      <c r="AE29" s="224">
        <v>35356810.54265997</v>
      </c>
      <c r="AF29" s="224">
        <v>30841665.404424038</v>
      </c>
      <c r="AG29" s="224">
        <v>26641268.26267594</v>
      </c>
      <c r="AH29" s="225">
        <v>22446603.006702982</v>
      </c>
      <c r="AJ29" s="81">
        <f t="shared" si="9"/>
        <v>980474283.1599998</v>
      </c>
      <c r="AK29" s="81">
        <f t="shared" si="10"/>
        <v>39728837.65356031</v>
      </c>
      <c r="AL29" s="81">
        <f t="shared" si="11"/>
        <v>-116770974.5737344</v>
      </c>
      <c r="AM29" s="81">
        <f t="shared" si="12"/>
        <v>815950485.6189167</v>
      </c>
      <c r="AN29" s="81">
        <f t="shared" si="13"/>
        <v>40214334.234751865</v>
      </c>
      <c r="AO29" s="81">
        <f t="shared" si="14"/>
        <v>35356810.54265997</v>
      </c>
      <c r="AP29" s="81">
        <f t="shared" si="15"/>
        <v>30841665.404424038</v>
      </c>
      <c r="AQ29" s="81">
        <f t="shared" si="16"/>
        <v>26641268.26267594</v>
      </c>
      <c r="AR29" s="81">
        <f t="shared" si="17"/>
        <v>22446603.006702982</v>
      </c>
      <c r="AS29" s="82">
        <v>178942</v>
      </c>
      <c r="AT29" s="82">
        <v>1964</v>
      </c>
      <c r="AU29" s="82">
        <v>1361</v>
      </c>
      <c r="AV29" s="82">
        <f t="shared" si="18"/>
        <v>3325</v>
      </c>
      <c r="AW29" s="82">
        <v>38859.850826619506</v>
      </c>
      <c r="AX29" s="149">
        <v>127140.30365152715</v>
      </c>
      <c r="AY29" s="81">
        <f t="shared" si="19"/>
        <v>-54729986.72739592</v>
      </c>
      <c r="AZ29" s="409"/>
      <c r="BA29" s="81"/>
      <c r="BB29" s="81"/>
      <c r="BC29" s="81"/>
      <c r="BD29" s="81"/>
      <c r="BE29" s="81"/>
      <c r="BF29" s="81"/>
      <c r="BG29" s="81"/>
    </row>
    <row r="30" spans="1:59" ht="12.75">
      <c r="A30" s="81">
        <v>50</v>
      </c>
      <c r="B30" s="81" t="s">
        <v>153</v>
      </c>
      <c r="C30" s="81">
        <v>4</v>
      </c>
      <c r="D30" s="81">
        <v>11748</v>
      </c>
      <c r="E30" s="100">
        <v>28436852.70812972</v>
      </c>
      <c r="F30" s="81">
        <v>15905098</v>
      </c>
      <c r="G30" s="81">
        <v>2944461.6801755475</v>
      </c>
      <c r="H30" s="81">
        <v>1463033.1025937088</v>
      </c>
      <c r="I30" s="156">
        <v>7357197.771906488</v>
      </c>
      <c r="J30" s="156">
        <v>1890129.5726804794</v>
      </c>
      <c r="K30" s="81">
        <v>-971883.5837005383</v>
      </c>
      <c r="L30" s="81">
        <v>-1216655</v>
      </c>
      <c r="M30" s="82">
        <v>-84000</v>
      </c>
      <c r="N30" s="82">
        <v>132043.20829610105</v>
      </c>
      <c r="O30" s="214">
        <f t="shared" si="3"/>
        <v>-1017427.9561779313</v>
      </c>
      <c r="P30" s="215">
        <f t="shared" si="4"/>
        <v>-86.60435445845516</v>
      </c>
      <c r="Q30" s="81"/>
      <c r="R30" s="223">
        <v>74204536</v>
      </c>
      <c r="S30" s="156">
        <v>40444814.61</v>
      </c>
      <c r="T30" s="156">
        <v>2194549.653890563</v>
      </c>
      <c r="U30" s="156">
        <v>22518334.49011391</v>
      </c>
      <c r="V30" s="156">
        <v>5777115.749327645</v>
      </c>
      <c r="W30" s="156">
        <v>1643806.6801755475</v>
      </c>
      <c r="X30" s="214">
        <f t="shared" si="5"/>
        <v>-1625914.816492334</v>
      </c>
      <c r="Y30" s="215">
        <f t="shared" si="6"/>
        <v>-138.3992863885201</v>
      </c>
      <c r="Z30" s="81"/>
      <c r="AA30" s="94">
        <f t="shared" si="7"/>
        <v>608486.8603144027</v>
      </c>
      <c r="AB30" s="153">
        <f t="shared" si="8"/>
        <v>51.79493193006493</v>
      </c>
      <c r="AD30" s="216">
        <v>-559976.1912851031</v>
      </c>
      <c r="AE30" s="224">
        <v>-408734.18140855705</v>
      </c>
      <c r="AF30" s="224">
        <v>-243310.89702596178</v>
      </c>
      <c r="AG30" s="224">
        <v>-64850.792176215036</v>
      </c>
      <c r="AH30" s="225">
        <v>17453.58694012011</v>
      </c>
      <c r="AJ30" s="81">
        <f t="shared" si="9"/>
        <v>24539716.61</v>
      </c>
      <c r="AK30" s="81">
        <f t="shared" si="10"/>
        <v>731516.5512968544</v>
      </c>
      <c r="AL30" s="81">
        <f t="shared" si="11"/>
        <v>15161136.718207423</v>
      </c>
      <c r="AM30" s="81">
        <f t="shared" si="12"/>
        <v>45767683.29187028</v>
      </c>
      <c r="AN30" s="81">
        <f t="shared" si="13"/>
        <v>-559976.1912851031</v>
      </c>
      <c r="AO30" s="81">
        <f t="shared" si="14"/>
        <v>-408734.18140855705</v>
      </c>
      <c r="AP30" s="81">
        <f t="shared" si="15"/>
        <v>-243310.89702596178</v>
      </c>
      <c r="AQ30" s="81">
        <f t="shared" si="16"/>
        <v>-64850.792176215036</v>
      </c>
      <c r="AR30" s="81">
        <f t="shared" si="17"/>
        <v>17453.58694012011</v>
      </c>
      <c r="AS30" s="82">
        <v>3726</v>
      </c>
      <c r="AT30" s="82">
        <v>72</v>
      </c>
      <c r="AU30" s="82"/>
      <c r="AV30" s="82">
        <f t="shared" si="18"/>
        <v>72</v>
      </c>
      <c r="AW30" s="82">
        <v>13661.189507124607</v>
      </c>
      <c r="AX30" s="149">
        <v>-1556.1250312767097</v>
      </c>
      <c r="AY30" s="81">
        <f t="shared" si="19"/>
        <v>-3886986.1766471653</v>
      </c>
      <c r="AZ30" s="409"/>
      <c r="BA30" s="81"/>
      <c r="BB30" s="81"/>
      <c r="BC30" s="81"/>
      <c r="BD30" s="81"/>
      <c r="BE30" s="81"/>
      <c r="BF30" s="81"/>
      <c r="BG30" s="81"/>
    </row>
    <row r="31" spans="1:59" ht="12.75">
      <c r="A31" s="81">
        <v>51</v>
      </c>
      <c r="B31" s="81" t="s">
        <v>154</v>
      </c>
      <c r="C31" s="81">
        <v>4</v>
      </c>
      <c r="D31" s="81">
        <v>9454</v>
      </c>
      <c r="E31" s="100">
        <v>31941994.62732383</v>
      </c>
      <c r="F31" s="81">
        <v>8605116</v>
      </c>
      <c r="G31" s="81">
        <v>19376210.34160714</v>
      </c>
      <c r="H31" s="81">
        <v>1561300.0435660318</v>
      </c>
      <c r="I31" s="156">
        <v>4209794.13553253</v>
      </c>
      <c r="J31" s="156">
        <v>1725581.085219379</v>
      </c>
      <c r="K31" s="81">
        <v>-2864056.340823758</v>
      </c>
      <c r="L31" s="81">
        <v>-924442</v>
      </c>
      <c r="M31" s="82">
        <v>30900</v>
      </c>
      <c r="N31" s="82">
        <v>117766.6251882297</v>
      </c>
      <c r="O31" s="214">
        <f t="shared" si="3"/>
        <v>-103824.73703427613</v>
      </c>
      <c r="P31" s="215">
        <f t="shared" si="4"/>
        <v>-10.982096153403441</v>
      </c>
      <c r="Q31" s="81"/>
      <c r="R31" s="223">
        <v>68959268</v>
      </c>
      <c r="S31" s="156">
        <v>30363359.74</v>
      </c>
      <c r="T31" s="156">
        <v>2341950.065349048</v>
      </c>
      <c r="U31" s="156">
        <v>8848680.376653008</v>
      </c>
      <c r="V31" s="156">
        <v>5152474.17073025</v>
      </c>
      <c r="W31" s="156">
        <v>18482668.34160714</v>
      </c>
      <c r="X31" s="214">
        <f t="shared" si="5"/>
        <v>-3770135.3056605607</v>
      </c>
      <c r="Y31" s="215">
        <f t="shared" si="6"/>
        <v>-398.7873181362979</v>
      </c>
      <c r="Z31" s="81"/>
      <c r="AA31" s="94">
        <f t="shared" si="7"/>
        <v>3666310.5686262846</v>
      </c>
      <c r="AB31" s="153">
        <f t="shared" si="8"/>
        <v>387.8052219828945</v>
      </c>
      <c r="AD31" s="216">
        <v>-3627272.4459668486</v>
      </c>
      <c r="AE31" s="224">
        <v>-3505563.051910596</v>
      </c>
      <c r="AF31" s="224">
        <v>-3372441.522241456</v>
      </c>
      <c r="AG31" s="224">
        <v>-3228828.8365715966</v>
      </c>
      <c r="AH31" s="225">
        <v>-3085025.096126119</v>
      </c>
      <c r="AJ31" s="81">
        <f t="shared" si="9"/>
        <v>21758243.74</v>
      </c>
      <c r="AK31" s="81">
        <f t="shared" si="10"/>
        <v>780650.0217830162</v>
      </c>
      <c r="AL31" s="81">
        <f t="shared" si="11"/>
        <v>4638886.241120478</v>
      </c>
      <c r="AM31" s="81">
        <f t="shared" si="12"/>
        <v>37017273.37267617</v>
      </c>
      <c r="AN31" s="81">
        <f t="shared" si="13"/>
        <v>-3627272.4459668486</v>
      </c>
      <c r="AO31" s="81">
        <f t="shared" si="14"/>
        <v>-3505563.051910596</v>
      </c>
      <c r="AP31" s="81">
        <f t="shared" si="15"/>
        <v>-3372441.522241456</v>
      </c>
      <c r="AQ31" s="81">
        <f t="shared" si="16"/>
        <v>-3228828.8365715966</v>
      </c>
      <c r="AR31" s="81">
        <f t="shared" si="17"/>
        <v>-3085025.096126119</v>
      </c>
      <c r="AS31" s="82">
        <v>4915</v>
      </c>
      <c r="AT31" s="82"/>
      <c r="AU31" s="82"/>
      <c r="AV31" s="82">
        <f t="shared" si="18"/>
        <v>0</v>
      </c>
      <c r="AW31" s="82">
        <v>6960.285694136245</v>
      </c>
      <c r="AX31" s="149">
        <v>487.51658780803643</v>
      </c>
      <c r="AY31" s="81">
        <f t="shared" si="19"/>
        <v>-3426893.085510871</v>
      </c>
      <c r="AZ31" s="409"/>
      <c r="BA31" s="81"/>
      <c r="BB31" s="81"/>
      <c r="BC31" s="81"/>
      <c r="BD31" s="81"/>
      <c r="BE31" s="81"/>
      <c r="BF31" s="81"/>
      <c r="BG31" s="81"/>
    </row>
    <row r="32" spans="1:59" ht="12.75">
      <c r="A32" s="81">
        <v>52</v>
      </c>
      <c r="B32" s="81" t="s">
        <v>155</v>
      </c>
      <c r="C32" s="81">
        <v>14</v>
      </c>
      <c r="D32" s="81">
        <v>2473</v>
      </c>
      <c r="E32" s="100">
        <v>7548949.135079211</v>
      </c>
      <c r="F32" s="81">
        <v>2831551</v>
      </c>
      <c r="G32" s="81">
        <v>758741.8361312196</v>
      </c>
      <c r="H32" s="81">
        <v>387935.409918672</v>
      </c>
      <c r="I32" s="156">
        <v>2073146.4854014888</v>
      </c>
      <c r="J32" s="156">
        <v>494682.74742855993</v>
      </c>
      <c r="K32" s="81">
        <v>-452583.4728845662</v>
      </c>
      <c r="L32" s="81">
        <v>222507</v>
      </c>
      <c r="M32" s="82">
        <v>400000</v>
      </c>
      <c r="N32" s="82">
        <v>21418.678755897305</v>
      </c>
      <c r="O32" s="214">
        <f t="shared" si="3"/>
        <v>-811549.4503279384</v>
      </c>
      <c r="P32" s="215">
        <f t="shared" si="4"/>
        <v>-328.16395079981334</v>
      </c>
      <c r="Q32" s="81"/>
      <c r="R32" s="223">
        <v>19096588</v>
      </c>
      <c r="S32" s="156">
        <v>6736820.445</v>
      </c>
      <c r="T32" s="156">
        <v>581903.114878008</v>
      </c>
      <c r="U32" s="156">
        <v>7672840.0516697345</v>
      </c>
      <c r="V32" s="156">
        <v>1556428.0702302537</v>
      </c>
      <c r="W32" s="156">
        <v>1381248.8361312198</v>
      </c>
      <c r="X32" s="214">
        <f t="shared" si="5"/>
        <v>-1167347.482090786</v>
      </c>
      <c r="Y32" s="215">
        <f t="shared" si="6"/>
        <v>-472.0369923537348</v>
      </c>
      <c r="Z32" s="81"/>
      <c r="AA32" s="94">
        <f t="shared" si="7"/>
        <v>355798.0317628477</v>
      </c>
      <c r="AB32" s="153">
        <f t="shared" si="8"/>
        <v>143.8730415539214</v>
      </c>
      <c r="AD32" s="216">
        <v>-345586.3459857392</v>
      </c>
      <c r="AE32" s="224">
        <v>-313749.3107095477</v>
      </c>
      <c r="AF32" s="224">
        <v>-278927.06162220024</v>
      </c>
      <c r="AG32" s="224">
        <v>-241360.5107800634</v>
      </c>
      <c r="AH32" s="225">
        <v>-203743.9833713829</v>
      </c>
      <c r="AJ32" s="81">
        <f t="shared" si="9"/>
        <v>3905269.4450000003</v>
      </c>
      <c r="AK32" s="81">
        <f t="shared" si="10"/>
        <v>193967.70495933603</v>
      </c>
      <c r="AL32" s="81">
        <f t="shared" si="11"/>
        <v>5599693.566268246</v>
      </c>
      <c r="AM32" s="81">
        <f t="shared" si="12"/>
        <v>11547638.86492079</v>
      </c>
      <c r="AN32" s="81">
        <f t="shared" si="13"/>
        <v>-345586.3459857392</v>
      </c>
      <c r="AO32" s="81">
        <f t="shared" si="14"/>
        <v>-313749.3107095477</v>
      </c>
      <c r="AP32" s="81">
        <f t="shared" si="15"/>
        <v>-278927.06162220024</v>
      </c>
      <c r="AQ32" s="81">
        <f t="shared" si="16"/>
        <v>-241360.5107800634</v>
      </c>
      <c r="AR32" s="81">
        <f t="shared" si="17"/>
        <v>-203743.9833713829</v>
      </c>
      <c r="AS32" s="82">
        <v>619</v>
      </c>
      <c r="AT32" s="82"/>
      <c r="AU32" s="82">
        <v>20</v>
      </c>
      <c r="AV32" s="82">
        <f t="shared" si="18"/>
        <v>20</v>
      </c>
      <c r="AW32" s="82">
        <v>4578.068783288875</v>
      </c>
      <c r="AX32" s="149">
        <v>-1095.8274838329246</v>
      </c>
      <c r="AY32" s="81">
        <f t="shared" si="19"/>
        <v>-1061745.3228016938</v>
      </c>
      <c r="AZ32" s="409"/>
      <c r="BA32" s="81"/>
      <c r="BB32" s="81"/>
      <c r="BC32" s="81"/>
      <c r="BD32" s="81"/>
      <c r="BE32" s="81"/>
      <c r="BF32" s="81"/>
      <c r="BG32" s="81"/>
    </row>
    <row r="33" spans="1:59" ht="12.75">
      <c r="A33" s="81">
        <v>61</v>
      </c>
      <c r="B33" s="81" t="s">
        <v>156</v>
      </c>
      <c r="C33" s="81">
        <v>5</v>
      </c>
      <c r="D33" s="81">
        <v>17028</v>
      </c>
      <c r="E33" s="100">
        <v>37076274.06419648</v>
      </c>
      <c r="F33" s="81">
        <v>20447844</v>
      </c>
      <c r="G33" s="81">
        <v>5065136.4056962</v>
      </c>
      <c r="H33" s="81">
        <v>2320922.4354816196</v>
      </c>
      <c r="I33" s="156">
        <v>6287210.776514523</v>
      </c>
      <c r="J33" s="156">
        <v>2758764.2099380763</v>
      </c>
      <c r="K33" s="81">
        <v>685826.7805009717</v>
      </c>
      <c r="L33" s="81">
        <v>933750</v>
      </c>
      <c r="M33" s="82">
        <v>-375000</v>
      </c>
      <c r="N33" s="82">
        <v>180295.7497908842</v>
      </c>
      <c r="O33" s="214">
        <f t="shared" si="3"/>
        <v>1228476.2937257886</v>
      </c>
      <c r="P33" s="215">
        <f t="shared" si="4"/>
        <v>72.14448518474211</v>
      </c>
      <c r="Q33" s="81"/>
      <c r="R33" s="223">
        <v>105560112</v>
      </c>
      <c r="S33" s="156">
        <v>53793481.125</v>
      </c>
      <c r="T33" s="156">
        <v>3481383.653222429</v>
      </c>
      <c r="U33" s="156">
        <v>37109389.71367237</v>
      </c>
      <c r="V33" s="156">
        <v>8486712.88589019</v>
      </c>
      <c r="W33" s="156">
        <v>5623886.4056962</v>
      </c>
      <c r="X33" s="214">
        <f t="shared" si="5"/>
        <v>2934741.7834811807</v>
      </c>
      <c r="Y33" s="215">
        <f t="shared" si="6"/>
        <v>172.3480023186035</v>
      </c>
      <c r="Z33" s="81"/>
      <c r="AA33" s="94">
        <f t="shared" si="7"/>
        <v>-1706265.489755392</v>
      </c>
      <c r="AB33" s="153">
        <f t="shared" si="8"/>
        <v>-100.20351713386141</v>
      </c>
      <c r="AD33" s="216">
        <v>1776578.706663029</v>
      </c>
      <c r="AE33" s="224">
        <v>1484954.6535627416</v>
      </c>
      <c r="AF33" s="224">
        <v>1213885.4814880763</v>
      </c>
      <c r="AG33" s="224">
        <v>961712.3750343382</v>
      </c>
      <c r="AH33" s="225">
        <v>709883.3854326446</v>
      </c>
      <c r="AJ33" s="81">
        <f t="shared" si="9"/>
        <v>33345637.125</v>
      </c>
      <c r="AK33" s="81">
        <f t="shared" si="10"/>
        <v>1160461.2177408095</v>
      </c>
      <c r="AL33" s="81">
        <f t="shared" si="11"/>
        <v>30822178.937157847</v>
      </c>
      <c r="AM33" s="81">
        <f t="shared" si="12"/>
        <v>68483837.93580352</v>
      </c>
      <c r="AN33" s="81">
        <f t="shared" si="13"/>
        <v>1776578.706663029</v>
      </c>
      <c r="AO33" s="81">
        <f t="shared" si="14"/>
        <v>1484954.6535627416</v>
      </c>
      <c r="AP33" s="81">
        <f t="shared" si="15"/>
        <v>1213885.4814880763</v>
      </c>
      <c r="AQ33" s="81">
        <f t="shared" si="16"/>
        <v>961712.3750343382</v>
      </c>
      <c r="AR33" s="81">
        <f t="shared" si="17"/>
        <v>709883.3854326446</v>
      </c>
      <c r="AS33" s="82">
        <v>6058</v>
      </c>
      <c r="AT33" s="82">
        <v>1</v>
      </c>
      <c r="AU33" s="82">
        <v>1</v>
      </c>
      <c r="AV33" s="82">
        <f t="shared" si="18"/>
        <v>2</v>
      </c>
      <c r="AW33" s="82">
        <v>25915.15245537814</v>
      </c>
      <c r="AX33" s="149">
        <v>-3796.5644863961297</v>
      </c>
      <c r="AY33" s="81">
        <f t="shared" si="19"/>
        <v>-5727948.675952113</v>
      </c>
      <c r="AZ33" s="409"/>
      <c r="BA33" s="81"/>
      <c r="BB33" s="81"/>
      <c r="BC33" s="81"/>
      <c r="BD33" s="81"/>
      <c r="BE33" s="81"/>
      <c r="BF33" s="81"/>
      <c r="BG33" s="81"/>
    </row>
    <row r="34" spans="1:59" ht="12.75">
      <c r="A34" s="81">
        <v>69</v>
      </c>
      <c r="B34" s="81" t="s">
        <v>157</v>
      </c>
      <c r="C34" s="81">
        <v>17</v>
      </c>
      <c r="D34" s="81">
        <v>7147</v>
      </c>
      <c r="E34" s="100">
        <v>19894200.661186412</v>
      </c>
      <c r="F34" s="81">
        <v>9074179</v>
      </c>
      <c r="G34" s="81">
        <v>2138341.192667965</v>
      </c>
      <c r="H34" s="81">
        <v>815519.6768293345</v>
      </c>
      <c r="I34" s="156">
        <v>7997152.548025487</v>
      </c>
      <c r="J34" s="156">
        <v>1236602.3904456361</v>
      </c>
      <c r="K34" s="81">
        <v>-2364413.4069357323</v>
      </c>
      <c r="L34" s="81">
        <v>538034</v>
      </c>
      <c r="M34" s="82">
        <v>691500</v>
      </c>
      <c r="N34" s="82">
        <v>60842.97217688237</v>
      </c>
      <c r="O34" s="214">
        <f t="shared" si="3"/>
        <v>293557.71202316135</v>
      </c>
      <c r="P34" s="215">
        <f t="shared" si="4"/>
        <v>41.07425661440623</v>
      </c>
      <c r="Q34" s="81"/>
      <c r="R34" s="223">
        <v>52101476</v>
      </c>
      <c r="S34" s="156">
        <v>20310917.625</v>
      </c>
      <c r="T34" s="156">
        <v>1223279.5152440015</v>
      </c>
      <c r="U34" s="156">
        <v>21403882.138015557</v>
      </c>
      <c r="V34" s="156">
        <v>3849625.1812231974</v>
      </c>
      <c r="W34" s="156">
        <v>3367875.192667965</v>
      </c>
      <c r="X34" s="214">
        <f t="shared" si="5"/>
        <v>-1945896.3478492796</v>
      </c>
      <c r="Y34" s="215">
        <f t="shared" si="6"/>
        <v>-272.26757350626553</v>
      </c>
      <c r="Z34" s="81"/>
      <c r="AA34" s="94">
        <f t="shared" si="7"/>
        <v>2239454.059872441</v>
      </c>
      <c r="AB34" s="153">
        <f t="shared" si="8"/>
        <v>313.3418301206718</v>
      </c>
      <c r="AD34" s="216">
        <v>-2209942.1640984877</v>
      </c>
      <c r="AE34" s="224">
        <v>-2117932.745934743</v>
      </c>
      <c r="AF34" s="224">
        <v>-2017296.023643084</v>
      </c>
      <c r="AG34" s="224">
        <v>-1908728.2359889182</v>
      </c>
      <c r="AH34" s="225">
        <v>-1800016.0154511747</v>
      </c>
      <c r="AJ34" s="81">
        <f t="shared" si="9"/>
        <v>11236738.625</v>
      </c>
      <c r="AK34" s="81">
        <f t="shared" si="10"/>
        <v>407759.83841466706</v>
      </c>
      <c r="AL34" s="81">
        <f t="shared" si="11"/>
        <v>13406729.58999007</v>
      </c>
      <c r="AM34" s="81">
        <f t="shared" si="12"/>
        <v>32207275.338813588</v>
      </c>
      <c r="AN34" s="81">
        <f t="shared" si="13"/>
        <v>-2209942.1640984877</v>
      </c>
      <c r="AO34" s="81">
        <f t="shared" si="14"/>
        <v>-2117932.745934743</v>
      </c>
      <c r="AP34" s="81">
        <f t="shared" si="15"/>
        <v>-2017296.023643084</v>
      </c>
      <c r="AQ34" s="81">
        <f t="shared" si="16"/>
        <v>-1908728.2359889182</v>
      </c>
      <c r="AR34" s="81">
        <f t="shared" si="17"/>
        <v>-1800016.0154511747</v>
      </c>
      <c r="AS34" s="82">
        <v>2114</v>
      </c>
      <c r="AT34" s="82"/>
      <c r="AU34" s="82"/>
      <c r="AV34" s="82">
        <f t="shared" si="18"/>
        <v>0</v>
      </c>
      <c r="AW34" s="82">
        <v>10722.171565277637</v>
      </c>
      <c r="AX34" s="149">
        <v>-3405.9037088848886</v>
      </c>
      <c r="AY34" s="81">
        <f t="shared" si="19"/>
        <v>-2613022.7907775613</v>
      </c>
      <c r="AZ34" s="409"/>
      <c r="BA34" s="81"/>
      <c r="BB34" s="81"/>
      <c r="BC34" s="81"/>
      <c r="BD34" s="81"/>
      <c r="BE34" s="81"/>
      <c r="BF34" s="81"/>
      <c r="BG34" s="81"/>
    </row>
    <row r="35" spans="1:59" ht="12.75">
      <c r="A35" s="81">
        <v>71</v>
      </c>
      <c r="B35" s="81" t="s">
        <v>158</v>
      </c>
      <c r="C35" s="81">
        <v>17</v>
      </c>
      <c r="D35" s="81">
        <v>6854</v>
      </c>
      <c r="E35" s="100">
        <v>20171064.59329171</v>
      </c>
      <c r="F35" s="81">
        <v>7864946</v>
      </c>
      <c r="G35" s="81">
        <v>1543302.7215283206</v>
      </c>
      <c r="H35" s="81">
        <v>707806.3056017184</v>
      </c>
      <c r="I35" s="156">
        <v>8996888.518601734</v>
      </c>
      <c r="J35" s="156">
        <v>1204525.28870027</v>
      </c>
      <c r="K35" s="81">
        <v>-1005362.9331356653</v>
      </c>
      <c r="L35" s="81">
        <v>183552</v>
      </c>
      <c r="M35" s="82">
        <v>-78700</v>
      </c>
      <c r="N35" s="82">
        <v>55349.18034314053</v>
      </c>
      <c r="O35" s="214">
        <f t="shared" si="3"/>
        <v>-698757.511652194</v>
      </c>
      <c r="P35" s="215">
        <f t="shared" si="4"/>
        <v>-101.94886367846425</v>
      </c>
      <c r="Q35" s="81"/>
      <c r="R35" s="223">
        <v>48587364</v>
      </c>
      <c r="S35" s="156">
        <v>18104105.98</v>
      </c>
      <c r="T35" s="156">
        <v>1061709.4584025776</v>
      </c>
      <c r="U35" s="156">
        <v>22033210.17345133</v>
      </c>
      <c r="V35" s="156">
        <v>3772566.6187478737</v>
      </c>
      <c r="W35" s="156">
        <v>1648154.7215283206</v>
      </c>
      <c r="X35" s="214">
        <f t="shared" si="5"/>
        <v>-1967617.0478698984</v>
      </c>
      <c r="Y35" s="215">
        <f t="shared" si="6"/>
        <v>-287.07572919023903</v>
      </c>
      <c r="Z35" s="81"/>
      <c r="AA35" s="94">
        <f t="shared" si="7"/>
        <v>1268859.5362177044</v>
      </c>
      <c r="AB35" s="153">
        <f t="shared" si="8"/>
        <v>185.12686551177478</v>
      </c>
      <c r="AD35" s="216">
        <v>-1240557.5166801773</v>
      </c>
      <c r="AE35" s="224">
        <v>-1152320.13706715</v>
      </c>
      <c r="AF35" s="224">
        <v>-1055809.1402031472</v>
      </c>
      <c r="AG35" s="224">
        <v>-951692.2216944507</v>
      </c>
      <c r="AH35" s="225">
        <v>-847436.7915047636</v>
      </c>
      <c r="AJ35" s="81">
        <f t="shared" si="9"/>
        <v>10239159.98</v>
      </c>
      <c r="AK35" s="81">
        <f t="shared" si="10"/>
        <v>353903.1528008592</v>
      </c>
      <c r="AL35" s="81">
        <f t="shared" si="11"/>
        <v>13036321.654849596</v>
      </c>
      <c r="AM35" s="81">
        <f t="shared" si="12"/>
        <v>28416299.40670829</v>
      </c>
      <c r="AN35" s="81">
        <f t="shared" si="13"/>
        <v>-1240557.5166801773</v>
      </c>
      <c r="AO35" s="81">
        <f t="shared" si="14"/>
        <v>-1152320.13706715</v>
      </c>
      <c r="AP35" s="81">
        <f t="shared" si="15"/>
        <v>-1055809.1402031472</v>
      </c>
      <c r="AQ35" s="81">
        <f t="shared" si="16"/>
        <v>-951692.2216944507</v>
      </c>
      <c r="AR35" s="81">
        <f t="shared" si="17"/>
        <v>-847436.7915047636</v>
      </c>
      <c r="AS35" s="82">
        <v>1565</v>
      </c>
      <c r="AT35" s="82">
        <v>49</v>
      </c>
      <c r="AU35" s="82"/>
      <c r="AV35" s="82">
        <f t="shared" si="18"/>
        <v>49</v>
      </c>
      <c r="AW35" s="82">
        <v>10069.423303485002</v>
      </c>
      <c r="AX35" s="149">
        <v>-3621.2985244411534</v>
      </c>
      <c r="AY35" s="81">
        <f t="shared" si="19"/>
        <v>-2568041.3300476037</v>
      </c>
      <c r="AZ35" s="409"/>
      <c r="BA35" s="81"/>
      <c r="BB35" s="81"/>
      <c r="BC35" s="81"/>
      <c r="BD35" s="81"/>
      <c r="BE35" s="81"/>
      <c r="BF35" s="81"/>
      <c r="BG35" s="81"/>
    </row>
    <row r="36" spans="1:59" ht="12.75">
      <c r="A36" s="81">
        <v>72</v>
      </c>
      <c r="B36" s="81" t="s">
        <v>159</v>
      </c>
      <c r="C36" s="81">
        <v>17</v>
      </c>
      <c r="D36" s="81">
        <v>974</v>
      </c>
      <c r="E36" s="100">
        <v>2963330.2989776805</v>
      </c>
      <c r="F36" s="81">
        <v>1269173</v>
      </c>
      <c r="G36" s="81">
        <v>327977.4355870418</v>
      </c>
      <c r="H36" s="81">
        <v>72120.63898448639</v>
      </c>
      <c r="I36" s="156">
        <v>1513854.8514183185</v>
      </c>
      <c r="J36" s="156">
        <v>157078.59098196717</v>
      </c>
      <c r="K36" s="81">
        <v>-234353.3417066058</v>
      </c>
      <c r="L36" s="81">
        <v>-200663</v>
      </c>
      <c r="M36" s="82">
        <v>-13000</v>
      </c>
      <c r="N36" s="82">
        <v>11331.275279280511</v>
      </c>
      <c r="O36" s="214">
        <f t="shared" si="3"/>
        <v>-59810.84843319189</v>
      </c>
      <c r="P36" s="215">
        <f t="shared" si="4"/>
        <v>-61.40744192319496</v>
      </c>
      <c r="Q36" s="81"/>
      <c r="R36" s="223">
        <v>7703696</v>
      </c>
      <c r="S36" s="156">
        <v>3401761.135</v>
      </c>
      <c r="T36" s="156">
        <v>108180.95847672959</v>
      </c>
      <c r="U36" s="156">
        <v>3426336.765483176</v>
      </c>
      <c r="V36" s="156">
        <v>482250.8322367343</v>
      </c>
      <c r="W36" s="156">
        <v>114314.43558704178</v>
      </c>
      <c r="X36" s="214">
        <f t="shared" si="5"/>
        <v>-170851.8732163189</v>
      </c>
      <c r="Y36" s="215">
        <f t="shared" si="6"/>
        <v>-175.41260083810974</v>
      </c>
      <c r="Z36" s="81"/>
      <c r="AA36" s="94">
        <f t="shared" si="7"/>
        <v>111041.02478312701</v>
      </c>
      <c r="AB36" s="153">
        <f t="shared" si="8"/>
        <v>114.0051589149148</v>
      </c>
      <c r="AD36" s="216">
        <v>-107019.11538284238</v>
      </c>
      <c r="AE36" s="224">
        <v>-94479.98381834157</v>
      </c>
      <c r="AF36" s="224">
        <v>-80765.11499057108</v>
      </c>
      <c r="AG36" s="224">
        <v>-65969.39298481237</v>
      </c>
      <c r="AH36" s="225">
        <v>-51153.98752745094</v>
      </c>
      <c r="AJ36" s="81">
        <f t="shared" si="9"/>
        <v>2132588.135</v>
      </c>
      <c r="AK36" s="81">
        <f t="shared" si="10"/>
        <v>36060.3194922432</v>
      </c>
      <c r="AL36" s="81">
        <f t="shared" si="11"/>
        <v>1912481.9140648574</v>
      </c>
      <c r="AM36" s="81">
        <f t="shared" si="12"/>
        <v>4740365.7010223195</v>
      </c>
      <c r="AN36" s="81">
        <f t="shared" si="13"/>
        <v>-107019.11538284238</v>
      </c>
      <c r="AO36" s="81">
        <f t="shared" si="14"/>
        <v>-94479.98381834157</v>
      </c>
      <c r="AP36" s="81">
        <f t="shared" si="15"/>
        <v>-80765.11499057108</v>
      </c>
      <c r="AQ36" s="81">
        <f t="shared" si="16"/>
        <v>-65969.39298481237</v>
      </c>
      <c r="AR36" s="81">
        <f t="shared" si="17"/>
        <v>-51153.98752745094</v>
      </c>
      <c r="AS36" s="82">
        <v>367</v>
      </c>
      <c r="AT36" s="82">
        <v>19</v>
      </c>
      <c r="AU36" s="82"/>
      <c r="AV36" s="82">
        <f t="shared" si="18"/>
        <v>19</v>
      </c>
      <c r="AW36" s="82">
        <v>1721.7173620270864</v>
      </c>
      <c r="AX36" s="149">
        <v>-153.49710130955143</v>
      </c>
      <c r="AY36" s="81">
        <f t="shared" si="19"/>
        <v>-325172.2412547671</v>
      </c>
      <c r="AZ36" s="409"/>
      <c r="BA36" s="81"/>
      <c r="BB36" s="81"/>
      <c r="BC36" s="81"/>
      <c r="BD36" s="81"/>
      <c r="BE36" s="81"/>
      <c r="BF36" s="81"/>
      <c r="BG36" s="81"/>
    </row>
    <row r="37" spans="1:59" ht="12.75">
      <c r="A37" s="81">
        <v>74</v>
      </c>
      <c r="B37" s="81" t="s">
        <v>160</v>
      </c>
      <c r="C37" s="81">
        <v>16</v>
      </c>
      <c r="D37" s="81">
        <v>1165</v>
      </c>
      <c r="E37" s="100">
        <v>3033520.149730812</v>
      </c>
      <c r="F37" s="81">
        <v>1501432</v>
      </c>
      <c r="G37" s="81">
        <v>373763.8127791026</v>
      </c>
      <c r="H37" s="81">
        <v>257329.841696928</v>
      </c>
      <c r="I37" s="156">
        <v>1034736.3805428939</v>
      </c>
      <c r="J37" s="156">
        <v>240863.63903208717</v>
      </c>
      <c r="K37" s="81">
        <v>-128675.4247320075</v>
      </c>
      <c r="L37" s="81">
        <v>-284851</v>
      </c>
      <c r="M37" s="82">
        <v>-21000</v>
      </c>
      <c r="N37" s="82">
        <v>9054.689390290985</v>
      </c>
      <c r="O37" s="214">
        <f t="shared" si="3"/>
        <v>-50866.21102151647</v>
      </c>
      <c r="P37" s="215">
        <f t="shared" si="4"/>
        <v>-43.6619837094562</v>
      </c>
      <c r="Q37" s="81"/>
      <c r="R37" s="223">
        <v>8598800</v>
      </c>
      <c r="S37" s="156">
        <v>3105708.6649999996</v>
      </c>
      <c r="T37" s="156">
        <v>385994.762545392</v>
      </c>
      <c r="U37" s="156">
        <v>4088123.307657902</v>
      </c>
      <c r="V37" s="156">
        <v>758883.2134595601</v>
      </c>
      <c r="W37" s="156">
        <v>67912.81277910259</v>
      </c>
      <c r="X37" s="214">
        <f t="shared" si="5"/>
        <v>-192177.23855804466</v>
      </c>
      <c r="Y37" s="215">
        <f t="shared" si="6"/>
        <v>-164.95900305411558</v>
      </c>
      <c r="Z37" s="81"/>
      <c r="AA37" s="94">
        <f t="shared" si="7"/>
        <v>141311.02753652819</v>
      </c>
      <c r="AB37" s="153">
        <f t="shared" si="8"/>
        <v>121.29701934465939</v>
      </c>
      <c r="AD37" s="216">
        <v>-136500.42748382463</v>
      </c>
      <c r="AE37" s="224">
        <v>-121502.39024291757</v>
      </c>
      <c r="AF37" s="224">
        <v>-105098.05535138509</v>
      </c>
      <c r="AG37" s="224">
        <v>-87400.91352724865</v>
      </c>
      <c r="AH37" s="225">
        <v>-69680.22835494264</v>
      </c>
      <c r="AJ37" s="81">
        <f t="shared" si="9"/>
        <v>1604276.6649999996</v>
      </c>
      <c r="AK37" s="81">
        <f t="shared" si="10"/>
        <v>128664.92084846398</v>
      </c>
      <c r="AL37" s="81">
        <f t="shared" si="11"/>
        <v>3053386.9271150082</v>
      </c>
      <c r="AM37" s="81">
        <f t="shared" si="12"/>
        <v>5565279.850269188</v>
      </c>
      <c r="AN37" s="81">
        <f t="shared" si="13"/>
        <v>-136500.42748382463</v>
      </c>
      <c r="AO37" s="81">
        <f t="shared" si="14"/>
        <v>-121502.39024291757</v>
      </c>
      <c r="AP37" s="81">
        <f t="shared" si="15"/>
        <v>-105098.05535138509</v>
      </c>
      <c r="AQ37" s="81">
        <f t="shared" si="16"/>
        <v>-87400.91352724865</v>
      </c>
      <c r="AR37" s="81">
        <f t="shared" si="17"/>
        <v>-69680.22835494264</v>
      </c>
      <c r="AS37" s="82">
        <v>123</v>
      </c>
      <c r="AT37" s="82"/>
      <c r="AU37" s="82">
        <v>14</v>
      </c>
      <c r="AV37" s="82">
        <f t="shared" si="18"/>
        <v>14</v>
      </c>
      <c r="AW37" s="82">
        <v>2484.3986932948997</v>
      </c>
      <c r="AX37" s="149">
        <v>-633.9972205921887</v>
      </c>
      <c r="AY37" s="81">
        <f t="shared" si="19"/>
        <v>-518019.5744274729</v>
      </c>
      <c r="AZ37" s="409"/>
      <c r="BA37" s="81"/>
      <c r="BB37" s="81"/>
      <c r="BC37" s="81"/>
      <c r="BD37" s="81"/>
      <c r="BE37" s="81"/>
      <c r="BF37" s="81"/>
      <c r="BG37" s="81"/>
    </row>
    <row r="38" spans="1:59" ht="12.75">
      <c r="A38" s="81">
        <v>75</v>
      </c>
      <c r="B38" s="81" t="s">
        <v>161</v>
      </c>
      <c r="C38" s="81">
        <v>8</v>
      </c>
      <c r="D38" s="81">
        <v>20286</v>
      </c>
      <c r="E38" s="100">
        <v>46153702.76246968</v>
      </c>
      <c r="F38" s="81">
        <v>28188341</v>
      </c>
      <c r="G38" s="81">
        <v>6583384.360162085</v>
      </c>
      <c r="H38" s="81">
        <v>5056189.228596845</v>
      </c>
      <c r="I38" s="156">
        <v>6320761.822436581</v>
      </c>
      <c r="J38" s="156">
        <v>3044065.466151557</v>
      </c>
      <c r="K38" s="81">
        <v>-2053862.982367187</v>
      </c>
      <c r="L38" s="81">
        <v>-1641755</v>
      </c>
      <c r="M38" s="82">
        <v>2107000</v>
      </c>
      <c r="N38" s="82">
        <v>243334.34361000956</v>
      </c>
      <c r="O38" s="214">
        <f t="shared" si="3"/>
        <v>1693755.4761202112</v>
      </c>
      <c r="P38" s="215">
        <f t="shared" si="4"/>
        <v>83.49381229025984</v>
      </c>
      <c r="Q38" s="81"/>
      <c r="R38" s="223">
        <v>131491192</v>
      </c>
      <c r="S38" s="156">
        <v>72231054.63</v>
      </c>
      <c r="T38" s="156">
        <v>7584283.8428952675</v>
      </c>
      <c r="U38" s="156">
        <v>37230811.018416464</v>
      </c>
      <c r="V38" s="156">
        <v>9158188.143044231</v>
      </c>
      <c r="W38" s="156">
        <v>7048629.360162085</v>
      </c>
      <c r="X38" s="214">
        <f t="shared" si="5"/>
        <v>1761774.9945180416</v>
      </c>
      <c r="Y38" s="215">
        <f t="shared" si="6"/>
        <v>86.84683991511592</v>
      </c>
      <c r="Z38" s="81"/>
      <c r="AA38" s="94">
        <f t="shared" si="7"/>
        <v>-68019.51839783043</v>
      </c>
      <c r="AB38" s="153">
        <f t="shared" si="8"/>
        <v>-3.3530276248560793</v>
      </c>
      <c r="AD38" s="216">
        <v>151785.898371305</v>
      </c>
      <c r="AE38" s="224">
        <v>40635.33574089104</v>
      </c>
      <c r="AF38" s="224">
        <v>21991.977465893407</v>
      </c>
      <c r="AG38" s="224">
        <v>25860.105401028068</v>
      </c>
      <c r="AH38" s="225">
        <v>30138.19072755163</v>
      </c>
      <c r="AJ38" s="81">
        <f t="shared" si="9"/>
        <v>44042713.629999995</v>
      </c>
      <c r="AK38" s="81">
        <f t="shared" si="10"/>
        <v>2528094.614298423</v>
      </c>
      <c r="AL38" s="81">
        <f t="shared" si="11"/>
        <v>30910049.195979882</v>
      </c>
      <c r="AM38" s="81">
        <f t="shared" si="12"/>
        <v>85337489.23753032</v>
      </c>
      <c r="AN38" s="81">
        <f t="shared" si="13"/>
        <v>151785.898371305</v>
      </c>
      <c r="AO38" s="81">
        <f t="shared" si="14"/>
        <v>40635.33574089104</v>
      </c>
      <c r="AP38" s="81">
        <f t="shared" si="15"/>
        <v>21991.977465893407</v>
      </c>
      <c r="AQ38" s="81">
        <f t="shared" si="16"/>
        <v>25860.105401028068</v>
      </c>
      <c r="AR38" s="81">
        <f t="shared" si="17"/>
        <v>30138.19072755163</v>
      </c>
      <c r="AS38" s="82">
        <v>11140</v>
      </c>
      <c r="AT38" s="82">
        <v>53</v>
      </c>
      <c r="AU38" s="82"/>
      <c r="AV38" s="82">
        <f t="shared" si="18"/>
        <v>53</v>
      </c>
      <c r="AW38" s="82">
        <v>28940.22855512738</v>
      </c>
      <c r="AX38" s="149">
        <v>-697.6606321739067</v>
      </c>
      <c r="AY38" s="81">
        <f t="shared" si="19"/>
        <v>-6114122.6768926745</v>
      </c>
      <c r="AZ38" s="409"/>
      <c r="BA38" s="81"/>
      <c r="BB38" s="81"/>
      <c r="BC38" s="81"/>
      <c r="BD38" s="81"/>
      <c r="BE38" s="81"/>
      <c r="BF38" s="81"/>
      <c r="BG38" s="81"/>
    </row>
    <row r="39" spans="1:59" ht="12.75">
      <c r="A39" s="81">
        <v>77</v>
      </c>
      <c r="B39" s="81" t="s">
        <v>162</v>
      </c>
      <c r="C39" s="81">
        <v>13</v>
      </c>
      <c r="D39" s="81">
        <v>4939</v>
      </c>
      <c r="E39" s="100">
        <v>12384562.486933883</v>
      </c>
      <c r="F39" s="81">
        <v>5673400</v>
      </c>
      <c r="G39" s="81">
        <v>1200204.969548818</v>
      </c>
      <c r="H39" s="81">
        <v>623338.226146944</v>
      </c>
      <c r="I39" s="156">
        <v>4166435.621461823</v>
      </c>
      <c r="J39" s="156">
        <v>957142.8515480414</v>
      </c>
      <c r="K39" s="81">
        <v>-1467843.6723453414</v>
      </c>
      <c r="L39" s="81">
        <v>-23058</v>
      </c>
      <c r="M39" s="82">
        <v>49500</v>
      </c>
      <c r="N39" s="82">
        <v>40815.451689451824</v>
      </c>
      <c r="O39" s="214">
        <f t="shared" si="3"/>
        <v>-1164627.038884148</v>
      </c>
      <c r="P39" s="215">
        <f t="shared" si="4"/>
        <v>-235.80219455034378</v>
      </c>
      <c r="Q39" s="81"/>
      <c r="R39" s="223">
        <v>36791468</v>
      </c>
      <c r="S39" s="156">
        <v>13173240.540000001</v>
      </c>
      <c r="T39" s="156">
        <v>935007.339220416</v>
      </c>
      <c r="U39" s="156">
        <v>16313596.869935647</v>
      </c>
      <c r="V39" s="156">
        <v>3013489.860199539</v>
      </c>
      <c r="W39" s="156">
        <v>1226646.969548818</v>
      </c>
      <c r="X39" s="214">
        <f t="shared" si="5"/>
        <v>-2129486.42109558</v>
      </c>
      <c r="Y39" s="215">
        <f t="shared" si="6"/>
        <v>-431.1574045546831</v>
      </c>
      <c r="Z39" s="81"/>
      <c r="AA39" s="94">
        <f t="shared" si="7"/>
        <v>964859.3822114319</v>
      </c>
      <c r="AB39" s="153">
        <f t="shared" si="8"/>
        <v>195.3552100043393</v>
      </c>
      <c r="AD39" s="216">
        <v>-944464.9155502317</v>
      </c>
      <c r="AE39" s="224">
        <v>-880880.9619598113</v>
      </c>
      <c r="AF39" s="224">
        <v>-811335.0306042072</v>
      </c>
      <c r="AG39" s="224">
        <v>-736308.2636776749</v>
      </c>
      <c r="AH39" s="225">
        <v>-661181.6850802335</v>
      </c>
      <c r="AJ39" s="81">
        <f t="shared" si="9"/>
        <v>7499840.540000001</v>
      </c>
      <c r="AK39" s="81">
        <f t="shared" si="10"/>
        <v>311669.11307347205</v>
      </c>
      <c r="AL39" s="81">
        <f t="shared" si="11"/>
        <v>12147161.248473823</v>
      </c>
      <c r="AM39" s="81">
        <f t="shared" si="12"/>
        <v>24406905.513066117</v>
      </c>
      <c r="AN39" s="81">
        <f t="shared" si="13"/>
        <v>-944464.9155502317</v>
      </c>
      <c r="AO39" s="81">
        <f t="shared" si="14"/>
        <v>-880880.9619598113</v>
      </c>
      <c r="AP39" s="81">
        <f t="shared" si="15"/>
        <v>-811335.0306042072</v>
      </c>
      <c r="AQ39" s="81">
        <f t="shared" si="16"/>
        <v>-736308.2636776749</v>
      </c>
      <c r="AR39" s="81">
        <f t="shared" si="17"/>
        <v>-661181.6850802335</v>
      </c>
      <c r="AS39" s="82">
        <v>1654</v>
      </c>
      <c r="AT39" s="82">
        <v>19</v>
      </c>
      <c r="AU39" s="82">
        <v>120</v>
      </c>
      <c r="AV39" s="82">
        <f t="shared" si="18"/>
        <v>139</v>
      </c>
      <c r="AW39" s="82">
        <v>9522.091606343289</v>
      </c>
      <c r="AX39" s="149">
        <v>-2651.5635739646614</v>
      </c>
      <c r="AY39" s="81">
        <f t="shared" si="19"/>
        <v>-2056347.0086514975</v>
      </c>
      <c r="AZ39" s="409"/>
      <c r="BA39" s="81"/>
      <c r="BB39" s="81"/>
      <c r="BC39" s="81"/>
      <c r="BD39" s="81"/>
      <c r="BE39" s="81"/>
      <c r="BF39" s="81"/>
      <c r="BG39" s="81"/>
    </row>
    <row r="40" spans="1:59" ht="12.75">
      <c r="A40" s="81">
        <v>78</v>
      </c>
      <c r="B40" s="81" t="s">
        <v>163</v>
      </c>
      <c r="C40" s="81">
        <v>1</v>
      </c>
      <c r="D40" s="81">
        <v>8379</v>
      </c>
      <c r="E40" s="100">
        <v>21754327.362584792</v>
      </c>
      <c r="F40" s="81">
        <v>13820135</v>
      </c>
      <c r="G40" s="81">
        <v>2675941.274841262</v>
      </c>
      <c r="H40" s="81">
        <v>1838256.7570012799</v>
      </c>
      <c r="I40" s="156">
        <v>2495743.773231598</v>
      </c>
      <c r="J40" s="156">
        <v>1212795.3288869504</v>
      </c>
      <c r="K40" s="81">
        <v>-2642867.0036402717</v>
      </c>
      <c r="L40" s="81">
        <v>-541250</v>
      </c>
      <c r="M40" s="82">
        <v>2003000</v>
      </c>
      <c r="N40" s="82">
        <v>109001.38272416426</v>
      </c>
      <c r="O40" s="214">
        <f t="shared" si="3"/>
        <v>-783570.8495398089</v>
      </c>
      <c r="P40" s="215">
        <f t="shared" si="4"/>
        <v>-93.51603407802946</v>
      </c>
      <c r="Q40" s="81"/>
      <c r="R40" s="223">
        <v>57548764</v>
      </c>
      <c r="S40" s="156">
        <v>33762354.9125</v>
      </c>
      <c r="T40" s="156">
        <v>2757385.13550192</v>
      </c>
      <c r="U40" s="156">
        <v>11523582.844530022</v>
      </c>
      <c r="V40" s="156">
        <v>3592643.5016998844</v>
      </c>
      <c r="W40" s="156">
        <v>4137691.274841262</v>
      </c>
      <c r="X40" s="214">
        <f t="shared" si="5"/>
        <v>-1775106.33092691</v>
      </c>
      <c r="Y40" s="215">
        <f t="shared" si="6"/>
        <v>-211.85181178266023</v>
      </c>
      <c r="Z40" s="81"/>
      <c r="AA40" s="94">
        <f t="shared" si="7"/>
        <v>991535.4813871011</v>
      </c>
      <c r="AB40" s="153">
        <f t="shared" si="8"/>
        <v>118.33577770463076</v>
      </c>
      <c r="AD40" s="216">
        <v>-956936.3244415282</v>
      </c>
      <c r="AE40" s="224">
        <v>-849066.3209723777</v>
      </c>
      <c r="AF40" s="224">
        <v>-731081.8385207463</v>
      </c>
      <c r="AG40" s="224">
        <v>-603799.1335040602</v>
      </c>
      <c r="AH40" s="225">
        <v>-476347.0982604962</v>
      </c>
      <c r="AJ40" s="81">
        <f t="shared" si="9"/>
        <v>19942219.9125</v>
      </c>
      <c r="AK40" s="81">
        <f t="shared" si="10"/>
        <v>919128.3785006399</v>
      </c>
      <c r="AL40" s="81">
        <f t="shared" si="11"/>
        <v>9027839.071298424</v>
      </c>
      <c r="AM40" s="81">
        <f t="shared" si="12"/>
        <v>35794436.63741521</v>
      </c>
      <c r="AN40" s="81">
        <f t="shared" si="13"/>
        <v>-956936.3244415282</v>
      </c>
      <c r="AO40" s="81">
        <f t="shared" si="14"/>
        <v>-849066.3209723777</v>
      </c>
      <c r="AP40" s="81">
        <f t="shared" si="15"/>
        <v>-731081.8385207463</v>
      </c>
      <c r="AQ40" s="81">
        <f t="shared" si="16"/>
        <v>-603799.1335040602</v>
      </c>
      <c r="AR40" s="81">
        <f t="shared" si="17"/>
        <v>-476347.0982604962</v>
      </c>
      <c r="AS40" s="82">
        <v>3535</v>
      </c>
      <c r="AT40" s="82"/>
      <c r="AU40" s="82"/>
      <c r="AV40" s="82">
        <f t="shared" si="18"/>
        <v>0</v>
      </c>
      <c r="AW40" s="82">
        <v>9255.098480959423</v>
      </c>
      <c r="AX40" s="149">
        <v>929.4411670489392</v>
      </c>
      <c r="AY40" s="81">
        <f t="shared" si="19"/>
        <v>-2379848.172812934</v>
      </c>
      <c r="AZ40" s="409"/>
      <c r="BA40" s="81"/>
      <c r="BB40" s="81"/>
      <c r="BC40" s="81"/>
      <c r="BD40" s="81"/>
      <c r="BE40" s="81"/>
      <c r="BF40" s="81"/>
      <c r="BG40" s="81"/>
    </row>
    <row r="41" spans="1:59" ht="12.75">
      <c r="A41" s="81">
        <v>79</v>
      </c>
      <c r="B41" s="81" t="s">
        <v>164</v>
      </c>
      <c r="C41" s="81">
        <v>4</v>
      </c>
      <c r="D41" s="81">
        <v>7018</v>
      </c>
      <c r="E41" s="100">
        <v>16626684.73423063</v>
      </c>
      <c r="F41" s="81">
        <v>10481936</v>
      </c>
      <c r="G41" s="81">
        <v>2125590.889426771</v>
      </c>
      <c r="H41" s="81">
        <v>4283156.906085657</v>
      </c>
      <c r="I41" s="156">
        <v>1101049.889818139</v>
      </c>
      <c r="J41" s="156">
        <v>1053027.7862366221</v>
      </c>
      <c r="K41" s="81">
        <v>-2898692.7933748434</v>
      </c>
      <c r="L41" s="81">
        <v>-485595</v>
      </c>
      <c r="M41" s="82">
        <v>-500</v>
      </c>
      <c r="N41" s="82">
        <v>92017.44184933919</v>
      </c>
      <c r="O41" s="214">
        <f t="shared" si="3"/>
        <v>-874693.6141889449</v>
      </c>
      <c r="P41" s="215">
        <f t="shared" si="4"/>
        <v>-124.63573869890922</v>
      </c>
      <c r="Q41" s="81"/>
      <c r="R41" s="223">
        <v>49945560</v>
      </c>
      <c r="S41" s="156">
        <v>25951215.825</v>
      </c>
      <c r="T41" s="156">
        <v>6424735.359128486</v>
      </c>
      <c r="U41" s="156">
        <v>9808848.43131626</v>
      </c>
      <c r="V41" s="156">
        <v>3127668.686152518</v>
      </c>
      <c r="W41" s="156">
        <v>1639495.889426771</v>
      </c>
      <c r="X41" s="214">
        <f t="shared" si="5"/>
        <v>-2993595.808975965</v>
      </c>
      <c r="Y41" s="215">
        <f t="shared" si="6"/>
        <v>-426.55967640010897</v>
      </c>
      <c r="Z41" s="81"/>
      <c r="AA41" s="94">
        <f t="shared" si="7"/>
        <v>2118902.19478702</v>
      </c>
      <c r="AB41" s="153">
        <f t="shared" si="8"/>
        <v>301.92393770119975</v>
      </c>
      <c r="AD41" s="216">
        <v>-2089922.974898732</v>
      </c>
      <c r="AE41" s="224">
        <v>-1999574.28360544</v>
      </c>
      <c r="AF41" s="224">
        <v>-1900754.006979882</v>
      </c>
      <c r="AG41" s="224">
        <v>-1794145.817004097</v>
      </c>
      <c r="AH41" s="225">
        <v>-1687395.8010905832</v>
      </c>
      <c r="AJ41" s="81">
        <f t="shared" si="9"/>
        <v>15469279.825</v>
      </c>
      <c r="AK41" s="81">
        <f t="shared" si="10"/>
        <v>2141578.4530428294</v>
      </c>
      <c r="AL41" s="81">
        <f t="shared" si="11"/>
        <v>8707798.54149812</v>
      </c>
      <c r="AM41" s="81">
        <f t="shared" si="12"/>
        <v>33318875.26576937</v>
      </c>
      <c r="AN41" s="81">
        <f t="shared" si="13"/>
        <v>-2089922.974898732</v>
      </c>
      <c r="AO41" s="81">
        <f t="shared" si="14"/>
        <v>-1999574.28360544</v>
      </c>
      <c r="AP41" s="81">
        <f t="shared" si="15"/>
        <v>-1900754.006979882</v>
      </c>
      <c r="AQ41" s="81">
        <f t="shared" si="16"/>
        <v>-1794145.817004097</v>
      </c>
      <c r="AR41" s="81">
        <f t="shared" si="17"/>
        <v>-1687395.8010905832</v>
      </c>
      <c r="AS41" s="82">
        <v>2389</v>
      </c>
      <c r="AT41" s="82"/>
      <c r="AU41" s="82"/>
      <c r="AV41" s="82">
        <f t="shared" si="18"/>
        <v>0</v>
      </c>
      <c r="AW41" s="82">
        <v>9835.493782493266</v>
      </c>
      <c r="AX41" s="149">
        <v>884.1375707516418</v>
      </c>
      <c r="AY41" s="81">
        <f t="shared" si="19"/>
        <v>-2074640.8999158957</v>
      </c>
      <c r="AZ41" s="409"/>
      <c r="BA41" s="81"/>
      <c r="BB41" s="81"/>
      <c r="BC41" s="81"/>
      <c r="BD41" s="81"/>
      <c r="BE41" s="81"/>
      <c r="BF41" s="81"/>
      <c r="BG41" s="81"/>
    </row>
    <row r="42" spans="1:59" ht="12.75">
      <c r="A42" s="81">
        <v>81</v>
      </c>
      <c r="B42" s="81" t="s">
        <v>165</v>
      </c>
      <c r="C42" s="81">
        <v>7</v>
      </c>
      <c r="D42" s="81">
        <v>2780</v>
      </c>
      <c r="E42" s="100">
        <v>5676601.304705368</v>
      </c>
      <c r="F42" s="81">
        <v>2990291</v>
      </c>
      <c r="G42" s="81">
        <v>1243741.028803733</v>
      </c>
      <c r="H42" s="81">
        <v>863187.0139857888</v>
      </c>
      <c r="I42" s="156">
        <v>892737.0895970742</v>
      </c>
      <c r="J42" s="156">
        <v>590734.5508859092</v>
      </c>
      <c r="K42" s="81">
        <v>-433169.05270280666</v>
      </c>
      <c r="L42" s="81">
        <v>-387430</v>
      </c>
      <c r="M42" s="82">
        <v>-74632</v>
      </c>
      <c r="N42" s="82">
        <v>23917.815320865997</v>
      </c>
      <c r="O42" s="214">
        <f t="shared" si="3"/>
        <v>32776.14118519612</v>
      </c>
      <c r="P42" s="215">
        <f t="shared" si="4"/>
        <v>11.789978843595726</v>
      </c>
      <c r="Q42" s="81"/>
      <c r="R42" s="223">
        <v>19690216</v>
      </c>
      <c r="S42" s="156">
        <v>7136234.615</v>
      </c>
      <c r="T42" s="156">
        <v>1294780.5209786831</v>
      </c>
      <c r="U42" s="156">
        <v>8544581.999858849</v>
      </c>
      <c r="V42" s="156">
        <v>1859814.721009482</v>
      </c>
      <c r="W42" s="156">
        <v>781679.028803733</v>
      </c>
      <c r="X42" s="214">
        <f t="shared" si="5"/>
        <v>-73125.11434925348</v>
      </c>
      <c r="Y42" s="215">
        <f t="shared" si="6"/>
        <v>-26.303997967357365</v>
      </c>
      <c r="Z42" s="81"/>
      <c r="AA42" s="94">
        <f t="shared" si="7"/>
        <v>105901.25553444959</v>
      </c>
      <c r="AB42" s="153">
        <f t="shared" si="8"/>
        <v>38.09397681095309</v>
      </c>
      <c r="AD42" s="216">
        <v>-94421.88373487063</v>
      </c>
      <c r="AE42" s="224">
        <v>-58632.57598403666</v>
      </c>
      <c r="AF42" s="224">
        <v>-19487.467830851867</v>
      </c>
      <c r="AG42" s="224">
        <v>3543.8772066872734</v>
      </c>
      <c r="AH42" s="225">
        <v>4130.147403263016</v>
      </c>
      <c r="AJ42" s="81">
        <f t="shared" si="9"/>
        <v>4145943.615</v>
      </c>
      <c r="AK42" s="81">
        <f t="shared" si="10"/>
        <v>431593.50699289434</v>
      </c>
      <c r="AL42" s="81">
        <f t="shared" si="11"/>
        <v>7651844.910261774</v>
      </c>
      <c r="AM42" s="81">
        <f t="shared" si="12"/>
        <v>14013614.695294632</v>
      </c>
      <c r="AN42" s="81">
        <f t="shared" si="13"/>
        <v>-94421.88373487063</v>
      </c>
      <c r="AO42" s="81">
        <f t="shared" si="14"/>
        <v>-58632.57598403666</v>
      </c>
      <c r="AP42" s="81">
        <f t="shared" si="15"/>
        <v>-19487.467830851867</v>
      </c>
      <c r="AQ42" s="81">
        <f t="shared" si="16"/>
        <v>3543.8772066872734</v>
      </c>
      <c r="AR42" s="81">
        <f t="shared" si="17"/>
        <v>4130.147403263016</v>
      </c>
      <c r="AS42" s="82">
        <v>750</v>
      </c>
      <c r="AT42" s="82"/>
      <c r="AU42" s="82"/>
      <c r="AV42" s="82">
        <f t="shared" si="18"/>
        <v>0</v>
      </c>
      <c r="AW42" s="82">
        <v>6066.659510728244</v>
      </c>
      <c r="AX42" s="149">
        <v>-1424.9328492702489</v>
      </c>
      <c r="AY42" s="81">
        <f t="shared" si="19"/>
        <v>-1269080.1701235727</v>
      </c>
      <c r="AZ42" s="409"/>
      <c r="BA42" s="81"/>
      <c r="BB42" s="81"/>
      <c r="BC42" s="81"/>
      <c r="BD42" s="81"/>
      <c r="BE42" s="81"/>
      <c r="BF42" s="81"/>
      <c r="BG42" s="81"/>
    </row>
    <row r="43" spans="1:59" ht="12.75">
      <c r="A43" s="81">
        <v>82</v>
      </c>
      <c r="B43" s="81" t="s">
        <v>166</v>
      </c>
      <c r="C43" s="81">
        <v>5</v>
      </c>
      <c r="D43" s="81">
        <v>9475</v>
      </c>
      <c r="E43" s="100">
        <v>21836115.25208521</v>
      </c>
      <c r="F43" s="81">
        <v>13560792</v>
      </c>
      <c r="G43" s="81">
        <v>2143136.1233767634</v>
      </c>
      <c r="H43" s="81">
        <v>736819.15557096</v>
      </c>
      <c r="I43" s="156">
        <v>5845740.1180496225</v>
      </c>
      <c r="J43" s="156">
        <v>1323324.2871126775</v>
      </c>
      <c r="K43" s="81">
        <v>888794.8794918292</v>
      </c>
      <c r="L43" s="81">
        <v>-1933079</v>
      </c>
      <c r="M43" s="82">
        <v>52000</v>
      </c>
      <c r="N43" s="82">
        <v>116123.58699090636</v>
      </c>
      <c r="O43" s="214">
        <f t="shared" si="3"/>
        <v>897535.8985075504</v>
      </c>
      <c r="P43" s="215">
        <f t="shared" si="4"/>
        <v>94.72674390581007</v>
      </c>
      <c r="Q43" s="81"/>
      <c r="R43" s="223">
        <v>50113392</v>
      </c>
      <c r="S43" s="156">
        <v>35416821.53</v>
      </c>
      <c r="T43" s="156">
        <v>1105228.73335644</v>
      </c>
      <c r="U43" s="156">
        <v>10876157.026630525</v>
      </c>
      <c r="V43" s="156">
        <v>3966609.549498525</v>
      </c>
      <c r="W43" s="156">
        <v>262057.12337676343</v>
      </c>
      <c r="X43" s="214">
        <f t="shared" si="5"/>
        <v>1513481.9628622532</v>
      </c>
      <c r="Y43" s="215">
        <f t="shared" si="6"/>
        <v>159.73424410155707</v>
      </c>
      <c r="Z43" s="81"/>
      <c r="AA43" s="94">
        <f t="shared" si="7"/>
        <v>-615946.0643547028</v>
      </c>
      <c r="AB43" s="153">
        <f t="shared" si="8"/>
        <v>-65.007500195747</v>
      </c>
      <c r="AD43" s="216">
        <v>655070.9016932036</v>
      </c>
      <c r="AE43" s="224">
        <v>492800.6466353444</v>
      </c>
      <c r="AF43" s="224">
        <v>341967.8767617566</v>
      </c>
      <c r="AG43" s="224">
        <v>201649.56670484054</v>
      </c>
      <c r="AH43" s="225">
        <v>61522.735810076214</v>
      </c>
      <c r="AJ43" s="81">
        <f t="shared" si="9"/>
        <v>21856029.53</v>
      </c>
      <c r="AK43" s="81">
        <f t="shared" si="10"/>
        <v>368409.57778547995</v>
      </c>
      <c r="AL43" s="81">
        <f t="shared" si="11"/>
        <v>5030416.908580902</v>
      </c>
      <c r="AM43" s="81">
        <f t="shared" si="12"/>
        <v>28277276.74791479</v>
      </c>
      <c r="AN43" s="81">
        <f t="shared" si="13"/>
        <v>655070.9016932036</v>
      </c>
      <c r="AO43" s="81">
        <f t="shared" si="14"/>
        <v>492800.6466353444</v>
      </c>
      <c r="AP43" s="81">
        <f t="shared" si="15"/>
        <v>341967.8767617566</v>
      </c>
      <c r="AQ43" s="81">
        <f t="shared" si="16"/>
        <v>201649.56670484054</v>
      </c>
      <c r="AR43" s="81">
        <f t="shared" si="17"/>
        <v>61522.735810076214</v>
      </c>
      <c r="AS43" s="82">
        <v>2093</v>
      </c>
      <c r="AT43" s="82">
        <v>32</v>
      </c>
      <c r="AU43" s="82"/>
      <c r="AV43" s="82">
        <f t="shared" si="18"/>
        <v>32</v>
      </c>
      <c r="AW43" s="82">
        <v>5155.5647271644275</v>
      </c>
      <c r="AX43" s="149">
        <v>71.44986028928088</v>
      </c>
      <c r="AY43" s="81">
        <f t="shared" si="19"/>
        <v>-2643285.2623858475</v>
      </c>
      <c r="AZ43" s="409"/>
      <c r="BA43" s="81"/>
      <c r="BB43" s="81"/>
      <c r="BC43" s="81"/>
      <c r="BD43" s="81"/>
      <c r="BE43" s="81"/>
      <c r="BF43" s="81"/>
      <c r="BG43" s="81"/>
    </row>
    <row r="44" spans="1:59" ht="12.75">
      <c r="A44" s="81">
        <v>86</v>
      </c>
      <c r="B44" s="81" t="s">
        <v>167</v>
      </c>
      <c r="C44" s="81">
        <v>5</v>
      </c>
      <c r="D44" s="81">
        <v>8417</v>
      </c>
      <c r="E44" s="100">
        <v>19209934.23208416</v>
      </c>
      <c r="F44" s="81">
        <v>12185737</v>
      </c>
      <c r="G44" s="81">
        <v>1613061.9762319</v>
      </c>
      <c r="H44" s="81">
        <v>681661.835493408</v>
      </c>
      <c r="I44" s="156">
        <v>6631564.736755812</v>
      </c>
      <c r="J44" s="156">
        <v>1289897.7668498792</v>
      </c>
      <c r="K44" s="81">
        <v>-836348.7022700069</v>
      </c>
      <c r="L44" s="81">
        <v>-1206381</v>
      </c>
      <c r="M44" s="82">
        <v>-297000</v>
      </c>
      <c r="N44" s="82">
        <v>93641.59746057595</v>
      </c>
      <c r="O44" s="214">
        <f t="shared" si="3"/>
        <v>945900.9784374088</v>
      </c>
      <c r="P44" s="215">
        <f t="shared" si="4"/>
        <v>112.37982397973254</v>
      </c>
      <c r="Q44" s="81"/>
      <c r="R44" s="223">
        <v>47543076</v>
      </c>
      <c r="S44" s="156">
        <v>29766605.15</v>
      </c>
      <c r="T44" s="156">
        <v>1022492.753240112</v>
      </c>
      <c r="U44" s="156">
        <v>13012340.777243253</v>
      </c>
      <c r="V44" s="156">
        <v>3922826.5428003124</v>
      </c>
      <c r="W44" s="156">
        <v>109680.97623190004</v>
      </c>
      <c r="X44" s="214">
        <f t="shared" si="5"/>
        <v>290870.19951558113</v>
      </c>
      <c r="Y44" s="215">
        <f t="shared" si="6"/>
        <v>34.557466973456236</v>
      </c>
      <c r="Z44" s="81"/>
      <c r="AA44" s="94">
        <f t="shared" si="7"/>
        <v>655030.7789218277</v>
      </c>
      <c r="AB44" s="153">
        <f t="shared" si="8"/>
        <v>77.8223570062763</v>
      </c>
      <c r="AD44" s="216">
        <v>-620274.7096998611</v>
      </c>
      <c r="AE44" s="224">
        <v>-511915.4998657715</v>
      </c>
      <c r="AF44" s="224">
        <v>-393395.94039621885</v>
      </c>
      <c r="AG44" s="224">
        <v>-265535.98955179274</v>
      </c>
      <c r="AH44" s="225">
        <v>-137505.94054295172</v>
      </c>
      <c r="AJ44" s="81">
        <f t="shared" si="9"/>
        <v>17580868.15</v>
      </c>
      <c r="AK44" s="81">
        <f t="shared" si="10"/>
        <v>340830.91774670396</v>
      </c>
      <c r="AL44" s="81">
        <f t="shared" si="11"/>
        <v>6380776.040487441</v>
      </c>
      <c r="AM44" s="81">
        <f t="shared" si="12"/>
        <v>28333141.76791584</v>
      </c>
      <c r="AN44" s="81">
        <f t="shared" si="13"/>
        <v>-620274.7096998611</v>
      </c>
      <c r="AO44" s="81">
        <f t="shared" si="14"/>
        <v>-511915.4998657715</v>
      </c>
      <c r="AP44" s="81">
        <f t="shared" si="15"/>
        <v>-393395.94039621885</v>
      </c>
      <c r="AQ44" s="81">
        <f t="shared" si="16"/>
        <v>-265535.98955179274</v>
      </c>
      <c r="AR44" s="81">
        <f t="shared" si="17"/>
        <v>-137505.94054295172</v>
      </c>
      <c r="AS44" s="82">
        <v>2198</v>
      </c>
      <c r="AT44" s="82">
        <v>14</v>
      </c>
      <c r="AU44" s="82"/>
      <c r="AV44" s="82">
        <f t="shared" si="18"/>
        <v>14</v>
      </c>
      <c r="AW44" s="82">
        <v>5712.3358669406025</v>
      </c>
      <c r="AX44" s="149">
        <v>-834.4085182215881</v>
      </c>
      <c r="AY44" s="81">
        <f t="shared" si="19"/>
        <v>-2632928.775950433</v>
      </c>
      <c r="AZ44" s="409"/>
      <c r="BA44" s="81"/>
      <c r="BB44" s="81"/>
      <c r="BC44" s="81"/>
      <c r="BD44" s="81"/>
      <c r="BE44" s="81"/>
      <c r="BF44" s="81"/>
      <c r="BG44" s="81"/>
    </row>
    <row r="45" spans="1:59" ht="12.75">
      <c r="A45" s="81">
        <v>90</v>
      </c>
      <c r="B45" s="81" t="s">
        <v>169</v>
      </c>
      <c r="C45" s="81">
        <v>12</v>
      </c>
      <c r="D45" s="81">
        <v>3329</v>
      </c>
      <c r="E45" s="100">
        <v>7813061.703447346</v>
      </c>
      <c r="F45" s="81">
        <v>3373690</v>
      </c>
      <c r="G45" s="81">
        <v>1281617.3504443837</v>
      </c>
      <c r="H45" s="81">
        <v>1492964.296668029</v>
      </c>
      <c r="I45" s="156">
        <v>2343390.3417310193</v>
      </c>
      <c r="J45" s="156">
        <v>671706.4389110315</v>
      </c>
      <c r="K45" s="81">
        <v>-649722.8558400528</v>
      </c>
      <c r="L45" s="81">
        <v>-52369</v>
      </c>
      <c r="M45" s="82">
        <v>390000</v>
      </c>
      <c r="N45" s="82">
        <v>30403.44834390779</v>
      </c>
      <c r="O45" s="214">
        <f t="shared" si="3"/>
        <v>1068618.316810973</v>
      </c>
      <c r="P45" s="215">
        <f t="shared" si="4"/>
        <v>321.00279868157793</v>
      </c>
      <c r="Q45" s="81"/>
      <c r="R45" s="223">
        <v>26656280</v>
      </c>
      <c r="S45" s="156">
        <v>8446004.91</v>
      </c>
      <c r="T45" s="156">
        <v>2239446.445002043</v>
      </c>
      <c r="U45" s="156">
        <v>12127498.307857962</v>
      </c>
      <c r="V45" s="156">
        <v>2103309.220751975</v>
      </c>
      <c r="W45" s="156">
        <v>1619248.3504443837</v>
      </c>
      <c r="X45" s="214">
        <f t="shared" si="5"/>
        <v>-120772.76594363526</v>
      </c>
      <c r="Y45" s="215">
        <f t="shared" si="6"/>
        <v>-36.27899247330588</v>
      </c>
      <c r="Z45" s="81"/>
      <c r="AA45" s="94">
        <f t="shared" si="7"/>
        <v>1189391.0827546082</v>
      </c>
      <c r="AB45" s="153">
        <f t="shared" si="8"/>
        <v>357.2817911548838</v>
      </c>
      <c r="AD45" s="216">
        <v>-1175644.741488134</v>
      </c>
      <c r="AE45" s="224">
        <v>-1132787.689149096</v>
      </c>
      <c r="AF45" s="224">
        <v>-1085912.1261843648</v>
      </c>
      <c r="AG45" s="224">
        <v>-1035342.353538399</v>
      </c>
      <c r="AH45" s="225">
        <v>-984705.3055224275</v>
      </c>
      <c r="AJ45" s="81">
        <f t="shared" si="9"/>
        <v>5072314.91</v>
      </c>
      <c r="AK45" s="81">
        <f t="shared" si="10"/>
        <v>746482.1483340142</v>
      </c>
      <c r="AL45" s="81">
        <f t="shared" si="11"/>
        <v>9784107.966126943</v>
      </c>
      <c r="AM45" s="81">
        <f t="shared" si="12"/>
        <v>18843218.296552654</v>
      </c>
      <c r="AN45" s="81">
        <f t="shared" si="13"/>
        <v>-1175644.741488134</v>
      </c>
      <c r="AO45" s="81">
        <f t="shared" si="14"/>
        <v>-1132787.689149096</v>
      </c>
      <c r="AP45" s="81">
        <f t="shared" si="15"/>
        <v>-1085912.1261843648</v>
      </c>
      <c r="AQ45" s="81">
        <f t="shared" si="16"/>
        <v>-1035342.353538399</v>
      </c>
      <c r="AR45" s="81">
        <f t="shared" si="17"/>
        <v>-984705.3055224275</v>
      </c>
      <c r="AS45" s="82">
        <v>1440</v>
      </c>
      <c r="AT45" s="82"/>
      <c r="AU45" s="82"/>
      <c r="AV45" s="82">
        <f t="shared" si="18"/>
        <v>0</v>
      </c>
      <c r="AW45" s="82">
        <v>9107.45621921837</v>
      </c>
      <c r="AX45" s="149">
        <v>-1459.9879634668566</v>
      </c>
      <c r="AY45" s="81">
        <f t="shared" si="19"/>
        <v>-1431602.7818409437</v>
      </c>
      <c r="AZ45" s="409"/>
      <c r="BA45" s="81"/>
      <c r="BB45" s="81"/>
      <c r="BC45" s="81"/>
      <c r="BD45" s="81"/>
      <c r="BE45" s="81"/>
      <c r="BF45" s="81"/>
      <c r="BG45" s="81"/>
    </row>
    <row r="46" spans="1:59" ht="12.75">
      <c r="A46" s="81">
        <v>91</v>
      </c>
      <c r="B46" s="81" t="s">
        <v>170</v>
      </c>
      <c r="C46" s="81">
        <v>1</v>
      </c>
      <c r="D46" s="81">
        <v>648042</v>
      </c>
      <c r="E46" s="100">
        <v>1507611585.0123265</v>
      </c>
      <c r="F46" s="81">
        <v>756628176</v>
      </c>
      <c r="G46" s="81">
        <v>262714631.02759492</v>
      </c>
      <c r="H46" s="81">
        <v>301093026.9445242</v>
      </c>
      <c r="I46" s="156">
        <v>178476685.60228422</v>
      </c>
      <c r="J46" s="156">
        <v>87339637.82419857</v>
      </c>
      <c r="K46" s="81">
        <v>110172874.35856655</v>
      </c>
      <c r="L46" s="81">
        <v>19805670</v>
      </c>
      <c r="M46" s="82">
        <v>138614000</v>
      </c>
      <c r="N46" s="82">
        <v>11154834.787038267</v>
      </c>
      <c r="O46" s="214">
        <f t="shared" si="3"/>
        <v>358387951.53188014</v>
      </c>
      <c r="P46" s="215">
        <f t="shared" si="4"/>
        <v>553.0319817726014</v>
      </c>
      <c r="Q46" s="81"/>
      <c r="R46" s="223">
        <v>3608305120</v>
      </c>
      <c r="S46" s="156">
        <v>2740961861.3399997</v>
      </c>
      <c r="T46" s="156">
        <v>451639540.4167863</v>
      </c>
      <c r="U46" s="156">
        <v>94000008.46868533</v>
      </c>
      <c r="V46" s="156">
        <v>252416731.1118512</v>
      </c>
      <c r="W46" s="156">
        <v>421134301.0275949</v>
      </c>
      <c r="X46" s="214">
        <f t="shared" si="5"/>
        <v>351847322.3649173</v>
      </c>
      <c r="Y46" s="215">
        <f t="shared" si="6"/>
        <v>542.9390724133888</v>
      </c>
      <c r="Z46" s="81"/>
      <c r="AA46" s="94">
        <f t="shared" si="7"/>
        <v>6540629.166962862</v>
      </c>
      <c r="AB46" s="153">
        <f t="shared" si="8"/>
        <v>10.092909359212616</v>
      </c>
      <c r="AD46" s="216">
        <v>-3864688.4979906804</v>
      </c>
      <c r="AE46" s="224">
        <v>1298107.2781326289</v>
      </c>
      <c r="AF46" s="224">
        <v>702539.9320197424</v>
      </c>
      <c r="AG46" s="224">
        <v>826108.3715021705</v>
      </c>
      <c r="AH46" s="225">
        <v>962773.015649414</v>
      </c>
      <c r="AJ46" s="81">
        <f t="shared" si="9"/>
        <v>1984333685.3399997</v>
      </c>
      <c r="AK46" s="81">
        <f t="shared" si="10"/>
        <v>150546513.47226208</v>
      </c>
      <c r="AL46" s="81">
        <f t="shared" si="11"/>
        <v>-84476677.1335989</v>
      </c>
      <c r="AM46" s="81">
        <f t="shared" si="12"/>
        <v>2100693534.9876735</v>
      </c>
      <c r="AN46" s="81">
        <f t="shared" si="13"/>
        <v>-3864688.4979906804</v>
      </c>
      <c r="AO46" s="81">
        <f t="shared" si="14"/>
        <v>1298107.2781326289</v>
      </c>
      <c r="AP46" s="81">
        <f t="shared" si="15"/>
        <v>702539.9320197424</v>
      </c>
      <c r="AQ46" s="81">
        <f t="shared" si="16"/>
        <v>826108.3715021705</v>
      </c>
      <c r="AR46" s="81">
        <f t="shared" si="17"/>
        <v>962773.015649414</v>
      </c>
      <c r="AS46" s="82">
        <v>364436</v>
      </c>
      <c r="AT46" s="82">
        <v>11723</v>
      </c>
      <c r="AU46" s="82">
        <v>2591</v>
      </c>
      <c r="AV46" s="82">
        <f t="shared" si="18"/>
        <v>14314</v>
      </c>
      <c r="AW46" s="82">
        <v>251423.2979271212</v>
      </c>
      <c r="AX46" s="149">
        <v>250636.54900088237</v>
      </c>
      <c r="AY46" s="81">
        <f t="shared" si="19"/>
        <v>-165077093.2876526</v>
      </c>
      <c r="AZ46" s="409"/>
      <c r="BA46" s="81"/>
      <c r="BB46" s="81"/>
      <c r="BC46" s="81"/>
      <c r="BD46" s="81"/>
      <c r="BE46" s="81"/>
      <c r="BF46" s="81"/>
      <c r="BG46" s="81"/>
    </row>
    <row r="47" spans="1:59" ht="12.75">
      <c r="A47" s="81">
        <v>92</v>
      </c>
      <c r="B47" s="81" t="s">
        <v>412</v>
      </c>
      <c r="C47" s="81">
        <v>1</v>
      </c>
      <c r="D47" s="81">
        <v>228166</v>
      </c>
      <c r="E47" s="100">
        <v>646487979.5446903</v>
      </c>
      <c r="F47" s="81">
        <v>287837309</v>
      </c>
      <c r="G47" s="81">
        <v>78087596.53268732</v>
      </c>
      <c r="H47" s="81">
        <v>49056808.04536881</v>
      </c>
      <c r="I47" s="156">
        <v>139255982.63422397</v>
      </c>
      <c r="J47" s="156">
        <v>28016595.96237023</v>
      </c>
      <c r="K47" s="81">
        <v>-304610.31334649876</v>
      </c>
      <c r="L47" s="81">
        <v>17978651</v>
      </c>
      <c r="M47" s="82">
        <v>24875986</v>
      </c>
      <c r="N47" s="82">
        <v>3324914.2435320863</v>
      </c>
      <c r="O47" s="214">
        <f t="shared" si="3"/>
        <v>-18358746.439854264</v>
      </c>
      <c r="P47" s="215">
        <f t="shared" si="4"/>
        <v>-80.46223556469529</v>
      </c>
      <c r="Q47" s="81"/>
      <c r="R47" s="223">
        <v>1338587628</v>
      </c>
      <c r="S47" s="156">
        <v>899651236.96</v>
      </c>
      <c r="T47" s="156">
        <v>73585212.06805322</v>
      </c>
      <c r="U47" s="156">
        <v>153902413.18758523</v>
      </c>
      <c r="V47" s="156">
        <v>81497697.63760512</v>
      </c>
      <c r="W47" s="156">
        <v>120942233.53268732</v>
      </c>
      <c r="X47" s="214">
        <f t="shared" si="5"/>
        <v>-9008834.614068985</v>
      </c>
      <c r="Y47" s="215">
        <f t="shared" si="6"/>
        <v>-39.48368562392725</v>
      </c>
      <c r="Z47" s="81"/>
      <c r="AA47" s="94">
        <f t="shared" si="7"/>
        <v>-9349911.82578528</v>
      </c>
      <c r="AB47" s="153">
        <f t="shared" si="8"/>
        <v>-40.97854994076803</v>
      </c>
      <c r="AD47" s="216">
        <v>10292070.943060001</v>
      </c>
      <c r="AE47" s="224">
        <v>6384466.192080427</v>
      </c>
      <c r="AF47" s="224">
        <v>2752285.741317679</v>
      </c>
      <c r="AG47" s="224">
        <v>290860.5347989239</v>
      </c>
      <c r="AH47" s="225">
        <v>338978.13396147813</v>
      </c>
      <c r="AJ47" s="81">
        <f t="shared" si="9"/>
        <v>611813927.96</v>
      </c>
      <c r="AK47" s="81">
        <f t="shared" si="10"/>
        <v>24528404.022684403</v>
      </c>
      <c r="AL47" s="81">
        <f t="shared" si="11"/>
        <v>14646430.553361267</v>
      </c>
      <c r="AM47" s="81">
        <f t="shared" si="12"/>
        <v>692099648.4553097</v>
      </c>
      <c r="AN47" s="81">
        <f t="shared" si="13"/>
        <v>10292070.943060001</v>
      </c>
      <c r="AO47" s="81">
        <f t="shared" si="14"/>
        <v>6384466.192080427</v>
      </c>
      <c r="AP47" s="81">
        <f t="shared" si="15"/>
        <v>2752285.741317679</v>
      </c>
      <c r="AQ47" s="81">
        <f t="shared" si="16"/>
        <v>290860.5347989239</v>
      </c>
      <c r="AR47" s="81">
        <f t="shared" si="17"/>
        <v>338978.13396147813</v>
      </c>
      <c r="AS47" s="82">
        <v>115154</v>
      </c>
      <c r="AT47" s="82">
        <v>611</v>
      </c>
      <c r="AU47" s="82">
        <v>1251</v>
      </c>
      <c r="AV47" s="82">
        <f t="shared" si="18"/>
        <v>1862</v>
      </c>
      <c r="AW47" s="82">
        <v>49476.3958577024</v>
      </c>
      <c r="AX47" s="149">
        <v>42525.97796287998</v>
      </c>
      <c r="AY47" s="81">
        <f t="shared" si="19"/>
        <v>-53481101.675234884</v>
      </c>
      <c r="AZ47" s="409"/>
      <c r="BA47" s="81"/>
      <c r="BB47" s="81"/>
      <c r="BC47" s="81"/>
      <c r="BD47" s="81"/>
      <c r="BE47" s="81"/>
      <c r="BF47" s="81"/>
      <c r="BG47" s="81"/>
    </row>
    <row r="48" spans="1:59" ht="12.75">
      <c r="A48" s="81">
        <v>97</v>
      </c>
      <c r="B48" s="81" t="s">
        <v>171</v>
      </c>
      <c r="C48" s="81">
        <v>10</v>
      </c>
      <c r="D48" s="81">
        <v>2152</v>
      </c>
      <c r="E48" s="100">
        <v>5207549.301899362</v>
      </c>
      <c r="F48" s="81">
        <v>2033472</v>
      </c>
      <c r="G48" s="81">
        <v>1233372.3134355824</v>
      </c>
      <c r="H48" s="81">
        <v>629482.0066010784</v>
      </c>
      <c r="I48" s="156">
        <v>820511.2958596246</v>
      </c>
      <c r="J48" s="156">
        <v>425365.2388731487</v>
      </c>
      <c r="K48" s="81">
        <v>-236113.5548814637</v>
      </c>
      <c r="L48" s="81">
        <v>-545571</v>
      </c>
      <c r="M48" s="82">
        <v>275009</v>
      </c>
      <c r="N48" s="82">
        <v>20268.249546149607</v>
      </c>
      <c r="O48" s="214">
        <f t="shared" si="3"/>
        <v>-551753.7524652425</v>
      </c>
      <c r="P48" s="215">
        <f t="shared" si="4"/>
        <v>-256.3911489150755</v>
      </c>
      <c r="Q48" s="81"/>
      <c r="R48" s="223">
        <v>15531712</v>
      </c>
      <c r="S48" s="156">
        <v>5597792</v>
      </c>
      <c r="T48" s="156">
        <v>944223.0099016175</v>
      </c>
      <c r="U48" s="156">
        <v>6451709.974271906</v>
      </c>
      <c r="V48" s="156">
        <v>1327598.040504198</v>
      </c>
      <c r="W48" s="156">
        <v>962810.3134355824</v>
      </c>
      <c r="X48" s="214">
        <f t="shared" si="5"/>
        <v>-247578.66188669764</v>
      </c>
      <c r="Y48" s="215">
        <f t="shared" si="6"/>
        <v>-115.0458466016253</v>
      </c>
      <c r="Z48" s="81"/>
      <c r="AA48" s="94">
        <f t="shared" si="7"/>
        <v>-304175.0905785449</v>
      </c>
      <c r="AB48" s="153">
        <f t="shared" si="8"/>
        <v>-141.34530231345022</v>
      </c>
      <c r="AD48" s="216">
        <v>313061.2805471417</v>
      </c>
      <c r="AE48" s="224">
        <v>276205.8094247657</v>
      </c>
      <c r="AF48" s="224">
        <v>241948.06580809437</v>
      </c>
      <c r="AG48" s="224">
        <v>210078.40847379534</v>
      </c>
      <c r="AH48" s="225">
        <v>178252.24065474173</v>
      </c>
      <c r="AJ48" s="81">
        <f t="shared" si="9"/>
        <v>3564320</v>
      </c>
      <c r="AK48" s="81">
        <f t="shared" si="10"/>
        <v>314741.0033005391</v>
      </c>
      <c r="AL48" s="81">
        <f t="shared" si="11"/>
        <v>5631198.678412281</v>
      </c>
      <c r="AM48" s="81">
        <f t="shared" si="12"/>
        <v>10324162.698100638</v>
      </c>
      <c r="AN48" s="81">
        <f t="shared" si="13"/>
        <v>313061.2805471417</v>
      </c>
      <c r="AO48" s="81">
        <f t="shared" si="14"/>
        <v>276205.8094247657</v>
      </c>
      <c r="AP48" s="81">
        <f t="shared" si="15"/>
        <v>241948.06580809437</v>
      </c>
      <c r="AQ48" s="81">
        <f t="shared" si="16"/>
        <v>210078.40847379534</v>
      </c>
      <c r="AR48" s="81">
        <f t="shared" si="17"/>
        <v>178252.24065474173</v>
      </c>
      <c r="AS48" s="82">
        <v>666</v>
      </c>
      <c r="AT48" s="82"/>
      <c r="AU48" s="82"/>
      <c r="AV48" s="82">
        <f t="shared" si="18"/>
        <v>0</v>
      </c>
      <c r="AW48" s="82">
        <v>4312.634059038091</v>
      </c>
      <c r="AX48" s="149">
        <v>-874.494956548857</v>
      </c>
      <c r="AY48" s="81">
        <f t="shared" si="19"/>
        <v>-902232.8016310494</v>
      </c>
      <c r="AZ48" s="409"/>
      <c r="BA48" s="81"/>
      <c r="BB48" s="81"/>
      <c r="BC48" s="81"/>
      <c r="BD48" s="81"/>
      <c r="BE48" s="81"/>
      <c r="BF48" s="81"/>
      <c r="BG48" s="81"/>
    </row>
    <row r="49" spans="1:59" ht="12.75">
      <c r="A49" s="81">
        <v>98</v>
      </c>
      <c r="B49" s="81" t="s">
        <v>172</v>
      </c>
      <c r="C49" s="81">
        <v>7</v>
      </c>
      <c r="D49" s="81">
        <v>23602</v>
      </c>
      <c r="E49" s="100">
        <v>57053358.21375163</v>
      </c>
      <c r="F49" s="81">
        <v>33282728</v>
      </c>
      <c r="G49" s="81">
        <v>5392680.575845017</v>
      </c>
      <c r="H49" s="81">
        <v>1996925.5746427681</v>
      </c>
      <c r="I49" s="156">
        <v>17439371.66682233</v>
      </c>
      <c r="J49" s="156">
        <v>3314450.5430963608</v>
      </c>
      <c r="K49" s="81">
        <v>828926.0018030372</v>
      </c>
      <c r="L49" s="81">
        <v>-4557126</v>
      </c>
      <c r="M49" s="82">
        <v>-229600</v>
      </c>
      <c r="N49" s="82">
        <v>276258.9774707528</v>
      </c>
      <c r="O49" s="214">
        <f t="shared" si="3"/>
        <v>691257.1259286404</v>
      </c>
      <c r="P49" s="215">
        <f t="shared" si="4"/>
        <v>29.288074143235335</v>
      </c>
      <c r="Q49" s="81"/>
      <c r="R49" s="223">
        <v>137106312</v>
      </c>
      <c r="S49" s="156">
        <v>85156390.35</v>
      </c>
      <c r="T49" s="156">
        <v>2995388.361964152</v>
      </c>
      <c r="U49" s="156">
        <v>39967827.837103926</v>
      </c>
      <c r="V49" s="156">
        <v>9965173.884221664</v>
      </c>
      <c r="W49" s="156">
        <v>605954.5758450171</v>
      </c>
      <c r="X49" s="214">
        <f t="shared" si="5"/>
        <v>1584423.0091347694</v>
      </c>
      <c r="Y49" s="215">
        <f t="shared" si="6"/>
        <v>67.13087912612362</v>
      </c>
      <c r="Z49" s="81"/>
      <c r="AA49" s="94">
        <f t="shared" si="7"/>
        <v>-893165.8832061291</v>
      </c>
      <c r="AB49" s="153">
        <f t="shared" si="8"/>
        <v>-37.842804982888275</v>
      </c>
      <c r="AD49" s="216">
        <v>990624.9239304313</v>
      </c>
      <c r="AE49" s="224">
        <v>586413.5719646699</v>
      </c>
      <c r="AF49" s="224">
        <v>210692.7239903775</v>
      </c>
      <c r="AG49" s="224">
        <v>30087.262529580225</v>
      </c>
      <c r="AH49" s="225">
        <v>35064.65432079629</v>
      </c>
      <c r="AJ49" s="81">
        <f t="shared" si="9"/>
        <v>51873662.349999994</v>
      </c>
      <c r="AK49" s="81">
        <f t="shared" si="10"/>
        <v>998462.7873213841</v>
      </c>
      <c r="AL49" s="81">
        <f t="shared" si="11"/>
        <v>22528456.170281596</v>
      </c>
      <c r="AM49" s="81">
        <f t="shared" si="12"/>
        <v>80052953.78624837</v>
      </c>
      <c r="AN49" s="81">
        <f t="shared" si="13"/>
        <v>990624.9239304313</v>
      </c>
      <c r="AO49" s="81">
        <f t="shared" si="14"/>
        <v>586413.5719646699</v>
      </c>
      <c r="AP49" s="81">
        <f t="shared" si="15"/>
        <v>210692.7239903775</v>
      </c>
      <c r="AQ49" s="81">
        <f t="shared" si="16"/>
        <v>30087.262529580225</v>
      </c>
      <c r="AR49" s="81">
        <f t="shared" si="17"/>
        <v>35064.65432079629</v>
      </c>
      <c r="AS49" s="82">
        <v>8992</v>
      </c>
      <c r="AT49" s="82">
        <v>4</v>
      </c>
      <c r="AU49" s="82"/>
      <c r="AV49" s="82">
        <f t="shared" si="18"/>
        <v>4</v>
      </c>
      <c r="AW49" s="82">
        <v>21234.415610591994</v>
      </c>
      <c r="AX49" s="149">
        <v>-1145.581410355672</v>
      </c>
      <c r="AY49" s="81">
        <f t="shared" si="19"/>
        <v>-6650723.341125303</v>
      </c>
      <c r="AZ49" s="409"/>
      <c r="BA49" s="81"/>
      <c r="BB49" s="81"/>
      <c r="BC49" s="81"/>
      <c r="BD49" s="81"/>
      <c r="BE49" s="81"/>
      <c r="BF49" s="81"/>
      <c r="BG49" s="81"/>
    </row>
    <row r="50" spans="1:59" ht="12.75">
      <c r="A50" s="81">
        <v>99</v>
      </c>
      <c r="B50" s="81" t="s">
        <v>173</v>
      </c>
      <c r="C50" s="81">
        <v>4</v>
      </c>
      <c r="D50" s="81">
        <v>1666</v>
      </c>
      <c r="E50" s="100">
        <v>3253047.1473682337</v>
      </c>
      <c r="F50" s="81">
        <v>2041107</v>
      </c>
      <c r="G50" s="81">
        <v>583971.7688775298</v>
      </c>
      <c r="H50" s="81">
        <v>399145.2532030656</v>
      </c>
      <c r="I50" s="156">
        <v>1313212.9168706727</v>
      </c>
      <c r="J50" s="156">
        <v>398236.8669588928</v>
      </c>
      <c r="K50" s="81">
        <v>-603929.1720710908</v>
      </c>
      <c r="L50" s="81">
        <v>-421929</v>
      </c>
      <c r="M50" s="82">
        <v>-25580</v>
      </c>
      <c r="N50" s="82">
        <v>13703.683197970111</v>
      </c>
      <c r="O50" s="214">
        <f t="shared" si="3"/>
        <v>444892.1696688067</v>
      </c>
      <c r="P50" s="215">
        <f t="shared" si="4"/>
        <v>267.04211864874355</v>
      </c>
      <c r="Q50" s="81"/>
      <c r="R50" s="223">
        <v>10574452</v>
      </c>
      <c r="S50" s="156">
        <v>4464228.7</v>
      </c>
      <c r="T50" s="156">
        <v>598717.8798045984</v>
      </c>
      <c r="U50" s="156">
        <v>4137216.0666335635</v>
      </c>
      <c r="V50" s="156">
        <v>1261853.2560285374</v>
      </c>
      <c r="W50" s="156">
        <v>136462.76887752977</v>
      </c>
      <c r="X50" s="214">
        <f t="shared" si="5"/>
        <v>24026.67134422809</v>
      </c>
      <c r="Y50" s="215">
        <f t="shared" si="6"/>
        <v>14.421771515142911</v>
      </c>
      <c r="Z50" s="81"/>
      <c r="AA50" s="94">
        <f t="shared" si="7"/>
        <v>420865.4983245786</v>
      </c>
      <c r="AB50" s="153">
        <f t="shared" si="8"/>
        <v>252.6203471336006</v>
      </c>
      <c r="AD50" s="216">
        <v>-413986.1337856919</v>
      </c>
      <c r="AE50" s="224">
        <v>-392538.29683860944</v>
      </c>
      <c r="AF50" s="224">
        <v>-369079.39389501023</v>
      </c>
      <c r="AG50" s="224">
        <v>-343771.7215525112</v>
      </c>
      <c r="AH50" s="225">
        <v>-318430.38121168566</v>
      </c>
      <c r="AJ50" s="81">
        <f t="shared" si="9"/>
        <v>2423121.7</v>
      </c>
      <c r="AK50" s="81">
        <f t="shared" si="10"/>
        <v>199572.6266015328</v>
      </c>
      <c r="AL50" s="81">
        <f t="shared" si="11"/>
        <v>2824003.149762891</v>
      </c>
      <c r="AM50" s="81">
        <f t="shared" si="12"/>
        <v>7321404.852631766</v>
      </c>
      <c r="AN50" s="81">
        <f t="shared" si="13"/>
        <v>-413986.1337856919</v>
      </c>
      <c r="AO50" s="81">
        <f t="shared" si="14"/>
        <v>-392538.29683860944</v>
      </c>
      <c r="AP50" s="81">
        <f t="shared" si="15"/>
        <v>-369079.39389501023</v>
      </c>
      <c r="AQ50" s="81">
        <f t="shared" si="16"/>
        <v>-343771.7215525112</v>
      </c>
      <c r="AR50" s="81">
        <f t="shared" si="17"/>
        <v>-318430.38121168566</v>
      </c>
      <c r="AS50" s="82">
        <v>278</v>
      </c>
      <c r="AT50" s="82"/>
      <c r="AU50" s="82">
        <v>4</v>
      </c>
      <c r="AV50" s="82">
        <f t="shared" si="18"/>
        <v>4</v>
      </c>
      <c r="AW50" s="82">
        <v>2056.8236360109145</v>
      </c>
      <c r="AX50" s="149">
        <v>-798.9846242484275</v>
      </c>
      <c r="AY50" s="81">
        <f t="shared" si="19"/>
        <v>-863616.3890696446</v>
      </c>
      <c r="AZ50" s="409"/>
      <c r="BA50" s="81"/>
      <c r="BB50" s="81"/>
      <c r="BC50" s="81"/>
      <c r="BD50" s="81"/>
      <c r="BE50" s="81"/>
      <c r="BF50" s="81"/>
      <c r="BG50" s="81"/>
    </row>
    <row r="51" spans="1:59" ht="12.75">
      <c r="A51" s="81">
        <v>102</v>
      </c>
      <c r="B51" s="81" t="s">
        <v>174</v>
      </c>
      <c r="C51" s="81">
        <v>4</v>
      </c>
      <c r="D51" s="81">
        <v>10091</v>
      </c>
      <c r="E51" s="100">
        <v>24547731.450035423</v>
      </c>
      <c r="F51" s="81">
        <v>12136643</v>
      </c>
      <c r="G51" s="81">
        <v>2285395.5302014644</v>
      </c>
      <c r="H51" s="81">
        <v>1294360.6198434911</v>
      </c>
      <c r="I51" s="156">
        <v>6200913.627490772</v>
      </c>
      <c r="J51" s="156">
        <v>1813287.9883559532</v>
      </c>
      <c r="K51" s="81">
        <v>-1333961.6388333347</v>
      </c>
      <c r="L51" s="81">
        <v>602222</v>
      </c>
      <c r="M51" s="82">
        <v>-232500</v>
      </c>
      <c r="N51" s="82">
        <v>98267.56938296351</v>
      </c>
      <c r="O51" s="214">
        <f t="shared" si="3"/>
        <v>-1683102.7535941154</v>
      </c>
      <c r="P51" s="215">
        <f t="shared" si="4"/>
        <v>-166.79246393757956</v>
      </c>
      <c r="Q51" s="81"/>
      <c r="R51" s="223">
        <v>65771496</v>
      </c>
      <c r="S51" s="156">
        <v>30296508.43</v>
      </c>
      <c r="T51" s="156">
        <v>1941540.9297652368</v>
      </c>
      <c r="U51" s="156">
        <v>22606286.172878925</v>
      </c>
      <c r="V51" s="156">
        <v>5650315.832153465</v>
      </c>
      <c r="W51" s="156">
        <v>2655117.5302014644</v>
      </c>
      <c r="X51" s="214">
        <f t="shared" si="5"/>
        <v>-2621727.105000913</v>
      </c>
      <c r="Y51" s="215">
        <f t="shared" si="6"/>
        <v>-259.80845357258085</v>
      </c>
      <c r="Z51" s="81"/>
      <c r="AA51" s="94">
        <f t="shared" si="7"/>
        <v>938624.3514067978</v>
      </c>
      <c r="AB51" s="153">
        <f t="shared" si="8"/>
        <v>93.01598963500126</v>
      </c>
      <c r="AD51" s="216">
        <v>-896955.8834825025</v>
      </c>
      <c r="AE51" s="224">
        <v>-767045.8458876589</v>
      </c>
      <c r="AF51" s="224">
        <v>-624954.7356812605</v>
      </c>
      <c r="AG51" s="224">
        <v>-471665.5870569164</v>
      </c>
      <c r="AH51" s="225">
        <v>-318172.5105987704</v>
      </c>
      <c r="AJ51" s="81">
        <f t="shared" si="9"/>
        <v>18159865.43</v>
      </c>
      <c r="AK51" s="81">
        <f t="shared" si="10"/>
        <v>647180.3099217457</v>
      </c>
      <c r="AL51" s="81">
        <f t="shared" si="11"/>
        <v>16405372.545388153</v>
      </c>
      <c r="AM51" s="81">
        <f t="shared" si="12"/>
        <v>41223764.54996458</v>
      </c>
      <c r="AN51" s="81">
        <f t="shared" si="13"/>
        <v>-896955.8834825025</v>
      </c>
      <c r="AO51" s="81">
        <f t="shared" si="14"/>
        <v>-767045.8458876589</v>
      </c>
      <c r="AP51" s="81">
        <f t="shared" si="15"/>
        <v>-624954.7356812605</v>
      </c>
      <c r="AQ51" s="81">
        <f t="shared" si="16"/>
        <v>-471665.5870569164</v>
      </c>
      <c r="AR51" s="81">
        <f t="shared" si="17"/>
        <v>-318172.5105987704</v>
      </c>
      <c r="AS51" s="82">
        <v>4456</v>
      </c>
      <c r="AT51" s="82">
        <v>18</v>
      </c>
      <c r="AU51" s="82"/>
      <c r="AV51" s="82">
        <f t="shared" si="18"/>
        <v>18</v>
      </c>
      <c r="AW51" s="82">
        <v>13085.594009360671</v>
      </c>
      <c r="AX51" s="149">
        <v>-3451.222665230437</v>
      </c>
      <c r="AY51" s="81">
        <f t="shared" si="19"/>
        <v>-3837027.8437975114</v>
      </c>
      <c r="AZ51" s="409"/>
      <c r="BA51" s="81"/>
      <c r="BB51" s="81"/>
      <c r="BC51" s="81"/>
      <c r="BD51" s="81"/>
      <c r="BE51" s="81"/>
      <c r="BF51" s="81"/>
      <c r="BG51" s="81"/>
    </row>
    <row r="52" spans="1:59" ht="12.75">
      <c r="A52" s="81">
        <v>103</v>
      </c>
      <c r="B52" s="81" t="s">
        <v>175</v>
      </c>
      <c r="C52" s="81">
        <v>5</v>
      </c>
      <c r="D52" s="81">
        <v>2235</v>
      </c>
      <c r="E52" s="100">
        <v>5045854.91531164</v>
      </c>
      <c r="F52" s="81">
        <v>2796743</v>
      </c>
      <c r="G52" s="81">
        <v>529273.8832836049</v>
      </c>
      <c r="H52" s="81">
        <v>269207.290576224</v>
      </c>
      <c r="I52" s="156">
        <v>1510498.2944642713</v>
      </c>
      <c r="J52" s="156">
        <v>433685.56609953474</v>
      </c>
      <c r="K52" s="81">
        <v>-388244.24037609866</v>
      </c>
      <c r="L52" s="81">
        <v>-497301</v>
      </c>
      <c r="M52" s="82">
        <v>-28700</v>
      </c>
      <c r="N52" s="82">
        <v>19792.316845496094</v>
      </c>
      <c r="O52" s="214">
        <f t="shared" si="3"/>
        <v>-400899.8044186076</v>
      </c>
      <c r="P52" s="215">
        <f t="shared" si="4"/>
        <v>-179.3735142812562</v>
      </c>
      <c r="Q52" s="81"/>
      <c r="R52" s="223">
        <v>14020188</v>
      </c>
      <c r="S52" s="156">
        <v>6450113.46</v>
      </c>
      <c r="T52" s="156">
        <v>403810.935864336</v>
      </c>
      <c r="U52" s="156">
        <v>5121383.926170337</v>
      </c>
      <c r="V52" s="156">
        <v>1357376.2758633243</v>
      </c>
      <c r="W52" s="156">
        <v>3272.8832836048678</v>
      </c>
      <c r="X52" s="214">
        <f t="shared" si="5"/>
        <v>-684230.5188183971</v>
      </c>
      <c r="Y52" s="215">
        <f t="shared" si="6"/>
        <v>-306.1434088672918</v>
      </c>
      <c r="Z52" s="81"/>
      <c r="AA52" s="94">
        <f t="shared" si="7"/>
        <v>283330.71439978946</v>
      </c>
      <c r="AB52" s="153">
        <f t="shared" si="8"/>
        <v>126.76989458603555</v>
      </c>
      <c r="AD52" s="216">
        <v>-274101.79498538346</v>
      </c>
      <c r="AE52" s="224">
        <v>-245328.736415918</v>
      </c>
      <c r="AF52" s="224">
        <v>-213857.75917765617</v>
      </c>
      <c r="AG52" s="224">
        <v>-179906.59009873346</v>
      </c>
      <c r="AH52" s="225">
        <v>-145910.25416731375</v>
      </c>
      <c r="AJ52" s="81">
        <f t="shared" si="9"/>
        <v>3653370.46</v>
      </c>
      <c r="AK52" s="81">
        <f t="shared" si="10"/>
        <v>134603.645288112</v>
      </c>
      <c r="AL52" s="81">
        <f t="shared" si="11"/>
        <v>3610885.6317060655</v>
      </c>
      <c r="AM52" s="81">
        <f t="shared" si="12"/>
        <v>8974333.08468836</v>
      </c>
      <c r="AN52" s="81">
        <f t="shared" si="13"/>
        <v>-274101.79498538346</v>
      </c>
      <c r="AO52" s="81">
        <f t="shared" si="14"/>
        <v>-245328.736415918</v>
      </c>
      <c r="AP52" s="81">
        <f t="shared" si="15"/>
        <v>-213857.75917765617</v>
      </c>
      <c r="AQ52" s="81">
        <f t="shared" si="16"/>
        <v>-179906.59009873346</v>
      </c>
      <c r="AR52" s="81">
        <f t="shared" si="17"/>
        <v>-145910.25416731375</v>
      </c>
      <c r="AS52" s="82">
        <v>378</v>
      </c>
      <c r="AT52" s="82"/>
      <c r="AU52" s="82"/>
      <c r="AV52" s="82">
        <f t="shared" si="18"/>
        <v>0</v>
      </c>
      <c r="AW52" s="82">
        <v>2778.0038994576457</v>
      </c>
      <c r="AX52" s="149">
        <v>-875.5729288084807</v>
      </c>
      <c r="AY52" s="81">
        <f t="shared" si="19"/>
        <v>-923690.7097637895</v>
      </c>
      <c r="AZ52" s="409"/>
      <c r="BA52" s="81"/>
      <c r="BB52" s="81"/>
      <c r="BC52" s="81"/>
      <c r="BD52" s="81"/>
      <c r="BE52" s="81"/>
      <c r="BF52" s="81"/>
      <c r="BG52" s="81"/>
    </row>
    <row r="53" spans="1:59" ht="12.75">
      <c r="A53" s="81">
        <v>105</v>
      </c>
      <c r="B53" s="81" t="s">
        <v>176</v>
      </c>
      <c r="C53" s="81">
        <v>18</v>
      </c>
      <c r="D53" s="81">
        <v>2287</v>
      </c>
      <c r="E53" s="100">
        <v>5908611.1635879055</v>
      </c>
      <c r="F53" s="81">
        <v>2594334</v>
      </c>
      <c r="G53" s="81">
        <v>1104822.9944586516</v>
      </c>
      <c r="H53" s="81">
        <v>495914.976139968</v>
      </c>
      <c r="I53" s="156">
        <v>2005479.203216535</v>
      </c>
      <c r="J53" s="156">
        <v>463657.0445109282</v>
      </c>
      <c r="K53" s="81">
        <v>-605835.6452616303</v>
      </c>
      <c r="L53" s="81">
        <v>-490727</v>
      </c>
      <c r="M53" s="82">
        <v>-20000</v>
      </c>
      <c r="N53" s="82">
        <v>19806.94498697925</v>
      </c>
      <c r="O53" s="214">
        <f t="shared" si="3"/>
        <v>-341158.645536473</v>
      </c>
      <c r="P53" s="215">
        <f t="shared" si="4"/>
        <v>-149.17299761105073</v>
      </c>
      <c r="Q53" s="81"/>
      <c r="R53" s="223">
        <v>19326580</v>
      </c>
      <c r="S53" s="156">
        <v>6137150.24</v>
      </c>
      <c r="T53" s="156">
        <v>743872.464209952</v>
      </c>
      <c r="U53" s="156">
        <v>9468072.518730694</v>
      </c>
      <c r="V53" s="156">
        <v>1452802.0789253865</v>
      </c>
      <c r="W53" s="156">
        <v>594095.9944586516</v>
      </c>
      <c r="X53" s="214">
        <f t="shared" si="5"/>
        <v>-930586.7036753148</v>
      </c>
      <c r="Y53" s="215">
        <f t="shared" si="6"/>
        <v>-406.9028000329317</v>
      </c>
      <c r="Z53" s="81"/>
      <c r="AA53" s="94">
        <f t="shared" si="7"/>
        <v>589428.0581388418</v>
      </c>
      <c r="AB53" s="153">
        <f t="shared" si="8"/>
        <v>257.72980242188095</v>
      </c>
      <c r="AD53" s="216">
        <v>-579984.4166619929</v>
      </c>
      <c r="AE53" s="224">
        <v>-550541.917803663</v>
      </c>
      <c r="AF53" s="224">
        <v>-518338.72990929836</v>
      </c>
      <c r="AG53" s="224">
        <v>-483597.6454871524</v>
      </c>
      <c r="AH53" s="225">
        <v>-448810.3433506169</v>
      </c>
      <c r="AJ53" s="81">
        <f t="shared" si="9"/>
        <v>3542816.24</v>
      </c>
      <c r="AK53" s="81">
        <f t="shared" si="10"/>
        <v>247957.488069984</v>
      </c>
      <c r="AL53" s="81">
        <f t="shared" si="11"/>
        <v>7462593.315514159</v>
      </c>
      <c r="AM53" s="81">
        <f t="shared" si="12"/>
        <v>13417968.836412095</v>
      </c>
      <c r="AN53" s="81">
        <f t="shared" si="13"/>
        <v>-579984.4166619929</v>
      </c>
      <c r="AO53" s="81">
        <f t="shared" si="14"/>
        <v>-550541.917803663</v>
      </c>
      <c r="AP53" s="81">
        <f t="shared" si="15"/>
        <v>-518338.72990929836</v>
      </c>
      <c r="AQ53" s="81">
        <f t="shared" si="16"/>
        <v>-483597.6454871524</v>
      </c>
      <c r="AR53" s="81">
        <f t="shared" si="17"/>
        <v>-448810.3433506169</v>
      </c>
      <c r="AS53" s="82">
        <v>488</v>
      </c>
      <c r="AT53" s="82"/>
      <c r="AU53" s="82"/>
      <c r="AV53" s="82">
        <f t="shared" si="18"/>
        <v>0</v>
      </c>
      <c r="AW53" s="82">
        <v>6598.207955890023</v>
      </c>
      <c r="AX53" s="149">
        <v>-1068.5361752965212</v>
      </c>
      <c r="AY53" s="81">
        <f t="shared" si="19"/>
        <v>-989145.0344144583</v>
      </c>
      <c r="AZ53" s="409"/>
      <c r="BA53" s="81"/>
      <c r="BB53" s="81"/>
      <c r="BC53" s="81"/>
      <c r="BD53" s="81"/>
      <c r="BE53" s="81"/>
      <c r="BF53" s="81"/>
      <c r="BG53" s="81"/>
    </row>
    <row r="54" spans="1:59" ht="12.75">
      <c r="A54" s="81">
        <v>106</v>
      </c>
      <c r="B54" s="81" t="s">
        <v>177</v>
      </c>
      <c r="C54" s="81">
        <v>1</v>
      </c>
      <c r="D54" s="81">
        <v>46504</v>
      </c>
      <c r="E54" s="100">
        <v>108649701.4498097</v>
      </c>
      <c r="F54" s="81">
        <v>62794074</v>
      </c>
      <c r="G54" s="81">
        <v>12999473.886809174</v>
      </c>
      <c r="H54" s="81">
        <v>8652751.849071791</v>
      </c>
      <c r="I54" s="156">
        <v>13315886.255523678</v>
      </c>
      <c r="J54" s="156">
        <v>6151773.965786131</v>
      </c>
      <c r="K54" s="81">
        <v>-2586027.018562323</v>
      </c>
      <c r="L54" s="81">
        <v>-2547575</v>
      </c>
      <c r="M54" s="82">
        <v>-1223000</v>
      </c>
      <c r="N54" s="82">
        <v>638858.2505122029</v>
      </c>
      <c r="O54" s="214">
        <f t="shared" si="3"/>
        <v>-10453485.260669053</v>
      </c>
      <c r="P54" s="215">
        <f t="shared" si="4"/>
        <v>-224.78679813927948</v>
      </c>
      <c r="Q54" s="81"/>
      <c r="R54" s="223">
        <v>280404796</v>
      </c>
      <c r="S54" s="156">
        <v>180736279.8075</v>
      </c>
      <c r="T54" s="156">
        <v>12979127.773607688</v>
      </c>
      <c r="U54" s="156">
        <v>50331512.61741756</v>
      </c>
      <c r="V54" s="156">
        <v>18157043.28633189</v>
      </c>
      <c r="W54" s="156">
        <v>9228898.886809174</v>
      </c>
      <c r="X54" s="214">
        <f t="shared" si="5"/>
        <v>-8971933.628333688</v>
      </c>
      <c r="Y54" s="215">
        <f t="shared" si="6"/>
        <v>-192.928213236145</v>
      </c>
      <c r="Z54" s="81"/>
      <c r="AA54" s="94">
        <f t="shared" si="7"/>
        <v>-1481551.6323353648</v>
      </c>
      <c r="AB54" s="153">
        <f t="shared" si="8"/>
        <v>-31.858584903134457</v>
      </c>
      <c r="AD54" s="216">
        <v>1673579.224481991</v>
      </c>
      <c r="AE54" s="224">
        <v>877144.8243542156</v>
      </c>
      <c r="AF54" s="224">
        <v>136846.44649655576</v>
      </c>
      <c r="AG54" s="224">
        <v>59282.18187762049</v>
      </c>
      <c r="AH54" s="225">
        <v>69089.34346810909</v>
      </c>
      <c r="AJ54" s="81">
        <f t="shared" si="9"/>
        <v>117942205.8075</v>
      </c>
      <c r="AK54" s="81">
        <f t="shared" si="10"/>
        <v>4326375.924535897</v>
      </c>
      <c r="AL54" s="81">
        <f t="shared" si="11"/>
        <v>37015626.36189388</v>
      </c>
      <c r="AM54" s="81">
        <f t="shared" si="12"/>
        <v>171755094.5501903</v>
      </c>
      <c r="AN54" s="81">
        <f t="shared" si="13"/>
        <v>1673579.224481991</v>
      </c>
      <c r="AO54" s="81">
        <f t="shared" si="14"/>
        <v>877144.8243542156</v>
      </c>
      <c r="AP54" s="81">
        <f t="shared" si="15"/>
        <v>136846.44649655576</v>
      </c>
      <c r="AQ54" s="81">
        <f t="shared" si="16"/>
        <v>59282.18187762049</v>
      </c>
      <c r="AR54" s="81">
        <f t="shared" si="17"/>
        <v>69089.34346810909</v>
      </c>
      <c r="AS54" s="82">
        <v>19285</v>
      </c>
      <c r="AT54" s="82"/>
      <c r="AU54" s="82"/>
      <c r="AV54" s="82">
        <f t="shared" si="18"/>
        <v>0</v>
      </c>
      <c r="AW54" s="82">
        <v>40374.67772795375</v>
      </c>
      <c r="AX54" s="149">
        <v>6186.1392962222</v>
      </c>
      <c r="AY54" s="81">
        <f t="shared" si="19"/>
        <v>-12005269.320545757</v>
      </c>
      <c r="AZ54" s="409"/>
      <c r="BA54" s="81"/>
      <c r="BB54" s="81"/>
      <c r="BC54" s="81"/>
      <c r="BD54" s="81"/>
      <c r="BE54" s="81"/>
      <c r="BF54" s="81"/>
      <c r="BG54" s="81"/>
    </row>
    <row r="55" spans="1:59" ht="12.75">
      <c r="A55" s="81">
        <v>108</v>
      </c>
      <c r="B55" s="81" t="s">
        <v>178</v>
      </c>
      <c r="C55" s="81">
        <v>6</v>
      </c>
      <c r="D55" s="81">
        <v>10510</v>
      </c>
      <c r="E55" s="100">
        <v>29578542.759767033</v>
      </c>
      <c r="F55" s="81">
        <v>15173017</v>
      </c>
      <c r="G55" s="81">
        <v>1991435.7209110048</v>
      </c>
      <c r="H55" s="81">
        <v>1036316.4596237376</v>
      </c>
      <c r="I55" s="156">
        <v>8393357.324781196</v>
      </c>
      <c r="J55" s="156">
        <v>1590301.155573822</v>
      </c>
      <c r="K55" s="81">
        <v>1221518.430600321</v>
      </c>
      <c r="L55" s="81">
        <v>-1176678</v>
      </c>
      <c r="M55" s="82">
        <v>40000</v>
      </c>
      <c r="N55" s="82">
        <v>109140.18110290886</v>
      </c>
      <c r="O55" s="214">
        <f t="shared" si="3"/>
        <v>-1200134.4871740416</v>
      </c>
      <c r="P55" s="215">
        <f t="shared" si="4"/>
        <v>-114.18977042569378</v>
      </c>
      <c r="Q55" s="81"/>
      <c r="R55" s="223">
        <v>63960568</v>
      </c>
      <c r="S55" s="156">
        <v>35542771.14</v>
      </c>
      <c r="T55" s="156">
        <v>1554474.6894356064</v>
      </c>
      <c r="U55" s="156">
        <v>20543314.470154412</v>
      </c>
      <c r="V55" s="156">
        <v>4858454.046620732</v>
      </c>
      <c r="W55" s="156">
        <v>854757.7209110048</v>
      </c>
      <c r="X55" s="214">
        <f t="shared" si="5"/>
        <v>-606795.932878241</v>
      </c>
      <c r="Y55" s="215">
        <f t="shared" si="6"/>
        <v>-57.735103033134244</v>
      </c>
      <c r="Z55" s="81"/>
      <c r="AA55" s="94">
        <f t="shared" si="7"/>
        <v>-593338.5542958006</v>
      </c>
      <c r="AB55" s="153">
        <f t="shared" si="8"/>
        <v>-56.45466739255953</v>
      </c>
      <c r="AD55" s="216">
        <v>636737.1865308996</v>
      </c>
      <c r="AE55" s="224">
        <v>456741.36799178633</v>
      </c>
      <c r="AF55" s="224">
        <v>289432.4063694742</v>
      </c>
      <c r="AG55" s="224">
        <v>133786.44977863642</v>
      </c>
      <c r="AH55" s="225">
        <v>15614.334247587876</v>
      </c>
      <c r="AJ55" s="81">
        <f t="shared" si="9"/>
        <v>20369754.14</v>
      </c>
      <c r="AK55" s="81">
        <f t="shared" si="10"/>
        <v>518158.22981186875</v>
      </c>
      <c r="AL55" s="81">
        <f t="shared" si="11"/>
        <v>12149957.145373216</v>
      </c>
      <c r="AM55" s="81">
        <f t="shared" si="12"/>
        <v>34382025.24023297</v>
      </c>
      <c r="AN55" s="81">
        <f t="shared" si="13"/>
        <v>636737.1865308996</v>
      </c>
      <c r="AO55" s="81">
        <f t="shared" si="14"/>
        <v>456741.36799178633</v>
      </c>
      <c r="AP55" s="81">
        <f t="shared" si="15"/>
        <v>289432.4063694742</v>
      </c>
      <c r="AQ55" s="81">
        <f t="shared" si="16"/>
        <v>133786.44977863642</v>
      </c>
      <c r="AR55" s="81">
        <f t="shared" si="17"/>
        <v>15614.334247587876</v>
      </c>
      <c r="AS55" s="82">
        <v>5687</v>
      </c>
      <c r="AT55" s="82">
        <v>158</v>
      </c>
      <c r="AU55" s="82"/>
      <c r="AV55" s="82">
        <f t="shared" si="18"/>
        <v>158</v>
      </c>
      <c r="AW55" s="82">
        <v>9837.112979012385</v>
      </c>
      <c r="AX55" s="149">
        <v>-2619.3888812674677</v>
      </c>
      <c r="AY55" s="81">
        <f t="shared" si="19"/>
        <v>-3268152.89104691</v>
      </c>
      <c r="AZ55" s="409"/>
      <c r="BA55" s="81"/>
      <c r="BB55" s="81"/>
      <c r="BC55" s="81"/>
      <c r="BD55" s="81"/>
      <c r="BE55" s="81"/>
      <c r="BF55" s="81"/>
      <c r="BG55" s="81"/>
    </row>
    <row r="56" spans="1:59" ht="12.75">
      <c r="A56" s="81">
        <v>109</v>
      </c>
      <c r="B56" s="81" t="s">
        <v>179</v>
      </c>
      <c r="C56" s="81">
        <v>5</v>
      </c>
      <c r="D56" s="81">
        <v>67532</v>
      </c>
      <c r="E56" s="100">
        <v>145811218.3890922</v>
      </c>
      <c r="F56" s="81">
        <v>99065857</v>
      </c>
      <c r="G56" s="81">
        <v>26294316.72485852</v>
      </c>
      <c r="H56" s="81">
        <v>10887614.874252547</v>
      </c>
      <c r="I56" s="156">
        <v>22394217.10883123</v>
      </c>
      <c r="J56" s="156">
        <v>9728936.103787236</v>
      </c>
      <c r="K56" s="81">
        <v>-5244253.242493568</v>
      </c>
      <c r="L56" s="81">
        <v>-12145192</v>
      </c>
      <c r="M56" s="82">
        <v>-800000</v>
      </c>
      <c r="N56" s="82">
        <v>836431.8485867773</v>
      </c>
      <c r="O56" s="214">
        <f t="shared" si="3"/>
        <v>5206710.0287305415</v>
      </c>
      <c r="P56" s="215">
        <f t="shared" si="4"/>
        <v>77.09989380931323</v>
      </c>
      <c r="Q56" s="81"/>
      <c r="R56" s="223">
        <v>402473568</v>
      </c>
      <c r="S56" s="156">
        <v>253703469.44</v>
      </c>
      <c r="T56" s="156">
        <v>16331422.311378822</v>
      </c>
      <c r="U56" s="156">
        <v>95439293.05186974</v>
      </c>
      <c r="V56" s="156">
        <v>29060566.70476921</v>
      </c>
      <c r="W56" s="156">
        <v>13349124.724858519</v>
      </c>
      <c r="X56" s="214">
        <f t="shared" si="5"/>
        <v>5410308.232876301</v>
      </c>
      <c r="Y56" s="215">
        <f t="shared" si="6"/>
        <v>80.1147342426746</v>
      </c>
      <c r="Z56" s="81"/>
      <c r="AA56" s="94">
        <f t="shared" si="7"/>
        <v>-203598.20414575934</v>
      </c>
      <c r="AB56" s="153">
        <f t="shared" si="8"/>
        <v>-3.0148404333613597</v>
      </c>
      <c r="AD56" s="216">
        <v>482456.0949260362</v>
      </c>
      <c r="AE56" s="224">
        <v>135274.84438794508</v>
      </c>
      <c r="AF56" s="224">
        <v>73211.1910789073</v>
      </c>
      <c r="AG56" s="224">
        <v>86088.17105108092</v>
      </c>
      <c r="AH56" s="225">
        <v>100329.89727955323</v>
      </c>
      <c r="AJ56" s="81">
        <f t="shared" si="9"/>
        <v>154637612.44</v>
      </c>
      <c r="AK56" s="81">
        <f t="shared" si="10"/>
        <v>5443807.437126275</v>
      </c>
      <c r="AL56" s="81">
        <f t="shared" si="11"/>
        <v>73045075.94303851</v>
      </c>
      <c r="AM56" s="81">
        <f t="shared" si="12"/>
        <v>256662349.6109078</v>
      </c>
      <c r="AN56" s="81">
        <f t="shared" si="13"/>
        <v>482456.0949260362</v>
      </c>
      <c r="AO56" s="81">
        <f t="shared" si="14"/>
        <v>135274.84438794508</v>
      </c>
      <c r="AP56" s="81">
        <f t="shared" si="15"/>
        <v>73211.1910789073</v>
      </c>
      <c r="AQ56" s="81">
        <f t="shared" si="16"/>
        <v>86088.17105108092</v>
      </c>
      <c r="AR56" s="81">
        <f t="shared" si="17"/>
        <v>100329.89727955323</v>
      </c>
      <c r="AS56" s="82">
        <v>18370</v>
      </c>
      <c r="AT56" s="82">
        <v>194</v>
      </c>
      <c r="AU56" s="82">
        <v>611</v>
      </c>
      <c r="AV56" s="82">
        <f t="shared" si="18"/>
        <v>805</v>
      </c>
      <c r="AW56" s="82">
        <v>71098.939095089</v>
      </c>
      <c r="AX56" s="149">
        <v>1204.008062840058</v>
      </c>
      <c r="AY56" s="81">
        <f t="shared" si="19"/>
        <v>-19331630.600981973</v>
      </c>
      <c r="AZ56" s="409"/>
      <c r="BA56" s="81"/>
      <c r="BB56" s="81"/>
      <c r="BC56" s="81"/>
      <c r="BD56" s="81"/>
      <c r="BE56" s="81"/>
      <c r="BF56" s="81"/>
      <c r="BG56" s="81"/>
    </row>
    <row r="57" spans="1:59" ht="12.75">
      <c r="A57" s="81">
        <v>111</v>
      </c>
      <c r="B57" s="81" t="s">
        <v>168</v>
      </c>
      <c r="C57" s="81">
        <v>7</v>
      </c>
      <c r="D57" s="81">
        <v>18889</v>
      </c>
      <c r="E57" s="100">
        <v>40462982.0201918</v>
      </c>
      <c r="F57" s="81">
        <v>23410245</v>
      </c>
      <c r="G57" s="81">
        <v>6030210.538175336</v>
      </c>
      <c r="H57" s="81">
        <v>2190123.1459999583</v>
      </c>
      <c r="I57" s="156">
        <v>5624711.3807951175</v>
      </c>
      <c r="J57" s="156">
        <v>2958136.348614646</v>
      </c>
      <c r="K57" s="81">
        <v>2461235.456215608</v>
      </c>
      <c r="L57" s="81">
        <v>-2273216</v>
      </c>
      <c r="M57" s="82">
        <v>2922000</v>
      </c>
      <c r="N57" s="82">
        <v>208262.72270181443</v>
      </c>
      <c r="O57" s="214">
        <f t="shared" si="3"/>
        <v>3068726.5723106787</v>
      </c>
      <c r="P57" s="215">
        <f t="shared" si="4"/>
        <v>162.46103935151032</v>
      </c>
      <c r="Q57" s="81"/>
      <c r="R57" s="223">
        <v>117642980</v>
      </c>
      <c r="S57" s="156">
        <v>62173771.325</v>
      </c>
      <c r="T57" s="156">
        <v>3285184.7189999376</v>
      </c>
      <c r="U57" s="156">
        <v>43014086.872364745</v>
      </c>
      <c r="V57" s="156">
        <v>9052998.03319355</v>
      </c>
      <c r="W57" s="156">
        <v>6678994.538175336</v>
      </c>
      <c r="X57" s="214">
        <f t="shared" si="5"/>
        <v>6562055.487733573</v>
      </c>
      <c r="Y57" s="215">
        <f t="shared" si="6"/>
        <v>347.40089405122416</v>
      </c>
      <c r="Z57" s="81"/>
      <c r="AA57" s="94">
        <f t="shared" si="7"/>
        <v>-3493328.915422894</v>
      </c>
      <c r="AB57" s="153">
        <f t="shared" si="8"/>
        <v>-184.9398546997138</v>
      </c>
      <c r="AD57" s="216">
        <v>3571326.7046035444</v>
      </c>
      <c r="AE57" s="224">
        <v>3247830.889533581</v>
      </c>
      <c r="AF57" s="224">
        <v>2947136.4103629002</v>
      </c>
      <c r="AG57" s="224">
        <v>2667403.1587887486</v>
      </c>
      <c r="AH57" s="225">
        <v>2388051.6327970647</v>
      </c>
      <c r="AJ57" s="81">
        <f t="shared" si="9"/>
        <v>38763526.325</v>
      </c>
      <c r="AK57" s="81">
        <f t="shared" si="10"/>
        <v>1095061.5729999794</v>
      </c>
      <c r="AL57" s="81">
        <f t="shared" si="11"/>
        <v>37389375.49156962</v>
      </c>
      <c r="AM57" s="81">
        <f t="shared" si="12"/>
        <v>77179997.9798082</v>
      </c>
      <c r="AN57" s="81">
        <f t="shared" si="13"/>
        <v>3571326.7046035444</v>
      </c>
      <c r="AO57" s="81">
        <f t="shared" si="14"/>
        <v>3247830.889533581</v>
      </c>
      <c r="AP57" s="81">
        <f t="shared" si="15"/>
        <v>2947136.4103629002</v>
      </c>
      <c r="AQ57" s="81">
        <f t="shared" si="16"/>
        <v>2667403.1587887486</v>
      </c>
      <c r="AR57" s="81">
        <f t="shared" si="17"/>
        <v>2388051.6327970647</v>
      </c>
      <c r="AS57" s="82">
        <v>6367</v>
      </c>
      <c r="AT57" s="82">
        <v>899</v>
      </c>
      <c r="AU57" s="82">
        <v>166</v>
      </c>
      <c r="AV57" s="82">
        <f t="shared" si="18"/>
        <v>1065</v>
      </c>
      <c r="AW57" s="82">
        <v>32134.76483633227</v>
      </c>
      <c r="AX57" s="149">
        <v>-3555.8371230788957</v>
      </c>
      <c r="AY57" s="81">
        <f t="shared" si="19"/>
        <v>-6094861.684578903</v>
      </c>
      <c r="AZ57" s="409"/>
      <c r="BA57" s="81"/>
      <c r="BB57" s="81"/>
      <c r="BC57" s="81"/>
      <c r="BD57" s="81"/>
      <c r="BE57" s="81"/>
      <c r="BF57" s="81"/>
      <c r="BG57" s="81"/>
    </row>
    <row r="58" spans="1:59" ht="12.75">
      <c r="A58" s="81">
        <v>139</v>
      </c>
      <c r="B58" s="81" t="s">
        <v>180</v>
      </c>
      <c r="C58" s="81">
        <v>17</v>
      </c>
      <c r="D58" s="81">
        <v>9862</v>
      </c>
      <c r="E58" s="100">
        <v>30686572.089293063</v>
      </c>
      <c r="F58" s="81">
        <v>11247297</v>
      </c>
      <c r="G58" s="81">
        <v>4087137.1894606673</v>
      </c>
      <c r="H58" s="81">
        <v>888592.8931675488</v>
      </c>
      <c r="I58" s="156">
        <v>13833187.23895973</v>
      </c>
      <c r="J58" s="156">
        <v>1347702.2550608981</v>
      </c>
      <c r="K58" s="81">
        <v>-1219459.5077258633</v>
      </c>
      <c r="L58" s="81">
        <v>-156486</v>
      </c>
      <c r="M58" s="82">
        <v>-214850</v>
      </c>
      <c r="N58" s="82">
        <v>88219.30747710627</v>
      </c>
      <c r="O58" s="214">
        <f t="shared" si="3"/>
        <v>-785231.7128929757</v>
      </c>
      <c r="P58" s="215">
        <f t="shared" si="4"/>
        <v>-79.62195425805878</v>
      </c>
      <c r="Q58" s="81"/>
      <c r="R58" s="223">
        <v>66736012</v>
      </c>
      <c r="S58" s="156">
        <v>27686948.75</v>
      </c>
      <c r="T58" s="156">
        <v>1332889.3397513232</v>
      </c>
      <c r="U58" s="156">
        <v>27767068.735077687</v>
      </c>
      <c r="V58" s="156">
        <v>4110312.57775949</v>
      </c>
      <c r="W58" s="156">
        <v>3715801.1894606673</v>
      </c>
      <c r="X58" s="214">
        <f t="shared" si="5"/>
        <v>-2122991.4079508334</v>
      </c>
      <c r="Y58" s="215">
        <f t="shared" si="6"/>
        <v>-215.269864931133</v>
      </c>
      <c r="Z58" s="81"/>
      <c r="AA58" s="94">
        <f t="shared" si="7"/>
        <v>1337759.6950578578</v>
      </c>
      <c r="AB58" s="153">
        <f t="shared" si="8"/>
        <v>135.6479106730742</v>
      </c>
      <c r="AD58" s="216">
        <v>-1297036.8300623726</v>
      </c>
      <c r="AE58" s="224">
        <v>-1170074.9045088748</v>
      </c>
      <c r="AF58" s="224">
        <v>-1031208.3373841596</v>
      </c>
      <c r="AG58" s="224">
        <v>-881397.8544059332</v>
      </c>
      <c r="AH58" s="225">
        <v>-731388.0714280088</v>
      </c>
      <c r="AJ58" s="81">
        <f t="shared" si="9"/>
        <v>16439651.75</v>
      </c>
      <c r="AK58" s="81">
        <f t="shared" si="10"/>
        <v>444296.4465837744</v>
      </c>
      <c r="AL58" s="81">
        <f t="shared" si="11"/>
        <v>13933881.496117957</v>
      </c>
      <c r="AM58" s="81">
        <f t="shared" si="12"/>
        <v>36049439.91070694</v>
      </c>
      <c r="AN58" s="81">
        <f t="shared" si="13"/>
        <v>-1297036.8300623726</v>
      </c>
      <c r="AO58" s="81">
        <f t="shared" si="14"/>
        <v>-1170074.9045088748</v>
      </c>
      <c r="AP58" s="81">
        <f t="shared" si="15"/>
        <v>-1031208.3373841596</v>
      </c>
      <c r="AQ58" s="81">
        <f t="shared" si="16"/>
        <v>-881397.8544059332</v>
      </c>
      <c r="AR58" s="81">
        <f t="shared" si="17"/>
        <v>-731388.0714280088</v>
      </c>
      <c r="AS58" s="82">
        <v>3362</v>
      </c>
      <c r="AT58" s="82">
        <v>42</v>
      </c>
      <c r="AU58" s="82"/>
      <c r="AV58" s="82">
        <f t="shared" si="18"/>
        <v>42</v>
      </c>
      <c r="AW58" s="82">
        <v>10131.983422263453</v>
      </c>
      <c r="AX58" s="149">
        <v>-4406.948540401891</v>
      </c>
      <c r="AY58" s="81">
        <f t="shared" si="19"/>
        <v>-2762610.3226985917</v>
      </c>
      <c r="AZ58" s="409"/>
      <c r="BA58" s="81"/>
      <c r="BB58" s="81"/>
      <c r="BC58" s="81"/>
      <c r="BD58" s="81"/>
      <c r="BE58" s="81"/>
      <c r="BF58" s="81"/>
      <c r="BG58" s="81"/>
    </row>
    <row r="59" spans="1:59" ht="12.75">
      <c r="A59" s="81">
        <v>140</v>
      </c>
      <c r="B59" s="81" t="s">
        <v>181</v>
      </c>
      <c r="C59" s="81">
        <v>11</v>
      </c>
      <c r="D59" s="81">
        <v>21472</v>
      </c>
      <c r="E59" s="100">
        <v>53176426.42645872</v>
      </c>
      <c r="F59" s="81">
        <v>25252994</v>
      </c>
      <c r="G59" s="81">
        <v>5522854.763460498</v>
      </c>
      <c r="H59" s="81">
        <v>3171548.709524765</v>
      </c>
      <c r="I59" s="156">
        <v>11320060.324934157</v>
      </c>
      <c r="J59" s="156">
        <v>3417992.509606014</v>
      </c>
      <c r="K59" s="81">
        <v>3366071.362543562</v>
      </c>
      <c r="L59" s="81">
        <v>-1389634</v>
      </c>
      <c r="M59" s="82">
        <v>1263400</v>
      </c>
      <c r="N59" s="82">
        <v>222966.49546515584</v>
      </c>
      <c r="O59" s="214">
        <f t="shared" si="3"/>
        <v>-1028172.2609245628</v>
      </c>
      <c r="P59" s="215">
        <f t="shared" si="4"/>
        <v>-47.884326607887616</v>
      </c>
      <c r="Q59" s="81"/>
      <c r="R59" s="223">
        <v>137203696</v>
      </c>
      <c r="S59" s="156">
        <v>66339905.099999994</v>
      </c>
      <c r="T59" s="156">
        <v>4757323.0642871475</v>
      </c>
      <c r="U59" s="156">
        <v>51182477.51463038</v>
      </c>
      <c r="V59" s="156">
        <v>10509319.431410307</v>
      </c>
      <c r="W59" s="156">
        <v>5396620.763460498</v>
      </c>
      <c r="X59" s="214">
        <f t="shared" si="5"/>
        <v>981949.873788327</v>
      </c>
      <c r="Y59" s="215">
        <f t="shared" si="6"/>
        <v>45.73164464364414</v>
      </c>
      <c r="Z59" s="81"/>
      <c r="AA59" s="94">
        <f t="shared" si="7"/>
        <v>-2010122.1347128898</v>
      </c>
      <c r="AB59" s="153">
        <f t="shared" si="8"/>
        <v>-93.61597125153175</v>
      </c>
      <c r="AD59" s="216">
        <v>2098785.8294181344</v>
      </c>
      <c r="AE59" s="224">
        <v>1731053.173312346</v>
      </c>
      <c r="AF59" s="224">
        <v>1389239.850386153</v>
      </c>
      <c r="AG59" s="224">
        <v>1071254.1244186487</v>
      </c>
      <c r="AH59" s="225">
        <v>753702.3235772366</v>
      </c>
      <c r="AJ59" s="81">
        <f t="shared" si="9"/>
        <v>41086911.099999994</v>
      </c>
      <c r="AK59" s="81">
        <f t="shared" si="10"/>
        <v>1585774.3547623823</v>
      </c>
      <c r="AL59" s="81">
        <f t="shared" si="11"/>
        <v>39862417.18969622</v>
      </c>
      <c r="AM59" s="81">
        <f t="shared" si="12"/>
        <v>84027269.57354128</v>
      </c>
      <c r="AN59" s="81">
        <f t="shared" si="13"/>
        <v>2098785.8294181344</v>
      </c>
      <c r="AO59" s="81">
        <f t="shared" si="14"/>
        <v>1731053.173312346</v>
      </c>
      <c r="AP59" s="81">
        <f t="shared" si="15"/>
        <v>1389239.850386153</v>
      </c>
      <c r="AQ59" s="81">
        <f t="shared" si="16"/>
        <v>1071254.1244186487</v>
      </c>
      <c r="AR59" s="81">
        <f t="shared" si="17"/>
        <v>753702.3235772366</v>
      </c>
      <c r="AS59" s="82">
        <v>7372</v>
      </c>
      <c r="AT59" s="82"/>
      <c r="AU59" s="82"/>
      <c r="AV59" s="82">
        <f t="shared" si="18"/>
        <v>0</v>
      </c>
      <c r="AW59" s="82">
        <v>35622.39230601953</v>
      </c>
      <c r="AX59" s="149">
        <v>-4648.704310204205</v>
      </c>
      <c r="AY59" s="81">
        <f t="shared" si="19"/>
        <v>-7091326.921804293</v>
      </c>
      <c r="AZ59" s="409"/>
      <c r="BA59" s="81"/>
      <c r="BB59" s="81"/>
      <c r="BC59" s="81"/>
      <c r="BD59" s="81"/>
      <c r="BE59" s="81"/>
      <c r="BF59" s="81"/>
      <c r="BG59" s="81"/>
    </row>
    <row r="60" spans="1:59" ht="12.75">
      <c r="A60" s="81">
        <v>142</v>
      </c>
      <c r="B60" s="81" t="s">
        <v>182</v>
      </c>
      <c r="C60" s="81">
        <v>7</v>
      </c>
      <c r="D60" s="81">
        <v>6765</v>
      </c>
      <c r="E60" s="100">
        <v>15801438.831642944</v>
      </c>
      <c r="F60" s="81">
        <v>8597827</v>
      </c>
      <c r="G60" s="81">
        <v>2748818.5587018314</v>
      </c>
      <c r="H60" s="81">
        <v>836379.8614588032</v>
      </c>
      <c r="I60" s="156">
        <v>3726897.1358654546</v>
      </c>
      <c r="J60" s="156">
        <v>1100416.9897572743</v>
      </c>
      <c r="K60" s="81">
        <v>-1039194.1527731806</v>
      </c>
      <c r="L60" s="81">
        <v>-868609</v>
      </c>
      <c r="M60" s="82">
        <v>3000</v>
      </c>
      <c r="N60" s="82">
        <v>68618.02901743117</v>
      </c>
      <c r="O60" s="214">
        <f t="shared" si="3"/>
        <v>-627284.4096153304</v>
      </c>
      <c r="P60" s="215">
        <f t="shared" si="4"/>
        <v>-92.72496816191136</v>
      </c>
      <c r="Q60" s="81"/>
      <c r="R60" s="223">
        <v>44226840</v>
      </c>
      <c r="S60" s="156">
        <v>21312173.25</v>
      </c>
      <c r="T60" s="156">
        <v>1254569.7921882048</v>
      </c>
      <c r="U60" s="156">
        <v>15336474.281970365</v>
      </c>
      <c r="V60" s="156">
        <v>3380158.413419031</v>
      </c>
      <c r="W60" s="156">
        <v>1883209.5587018314</v>
      </c>
      <c r="X60" s="214">
        <f t="shared" si="5"/>
        <v>-1060254.7037205696</v>
      </c>
      <c r="Y60" s="215">
        <f t="shared" si="6"/>
        <v>-156.726489833048</v>
      </c>
      <c r="Z60" s="81"/>
      <c r="AA60" s="94">
        <f t="shared" si="7"/>
        <v>432970.2941052392</v>
      </c>
      <c r="AB60" s="153">
        <f t="shared" si="8"/>
        <v>64.00152167113662</v>
      </c>
      <c r="AD60" s="216">
        <v>-405035.77963611984</v>
      </c>
      <c r="AE60" s="224">
        <v>-317944.1728251877</v>
      </c>
      <c r="AF60" s="224">
        <v>-222686.3826610527</v>
      </c>
      <c r="AG60" s="224">
        <v>-119921.4346436424</v>
      </c>
      <c r="AH60" s="225">
        <v>-17019.773535788107</v>
      </c>
      <c r="AJ60" s="81">
        <f t="shared" si="9"/>
        <v>12714346.25</v>
      </c>
      <c r="AK60" s="81">
        <f t="shared" si="10"/>
        <v>418189.93072940165</v>
      </c>
      <c r="AL60" s="81">
        <f t="shared" si="11"/>
        <v>11609577.14610491</v>
      </c>
      <c r="AM60" s="81">
        <f t="shared" si="12"/>
        <v>28425401.168357056</v>
      </c>
      <c r="AN60" s="81">
        <f t="shared" si="13"/>
        <v>-405035.77963611984</v>
      </c>
      <c r="AO60" s="81">
        <f t="shared" si="14"/>
        <v>-317944.1728251877</v>
      </c>
      <c r="AP60" s="81">
        <f t="shared" si="15"/>
        <v>-222686.3826610527</v>
      </c>
      <c r="AQ60" s="81">
        <f t="shared" si="16"/>
        <v>-119921.4346436424</v>
      </c>
      <c r="AR60" s="81">
        <f t="shared" si="17"/>
        <v>-17019.773535788107</v>
      </c>
      <c r="AS60" s="82">
        <v>1689</v>
      </c>
      <c r="AT60" s="82"/>
      <c r="AU60" s="82"/>
      <c r="AV60" s="82">
        <f t="shared" si="18"/>
        <v>0</v>
      </c>
      <c r="AW60" s="82">
        <v>9499.526599154791</v>
      </c>
      <c r="AX60" s="149">
        <v>-1905.2829879360686</v>
      </c>
      <c r="AY60" s="81">
        <f t="shared" si="19"/>
        <v>-2279741.423661757</v>
      </c>
      <c r="AZ60" s="409"/>
      <c r="BA60" s="81"/>
      <c r="BB60" s="81"/>
      <c r="BC60" s="81"/>
      <c r="BD60" s="81"/>
      <c r="BE60" s="81"/>
      <c r="BF60" s="81"/>
      <c r="BG60" s="81"/>
    </row>
    <row r="61" spans="1:59" ht="12.75">
      <c r="A61" s="81">
        <v>143</v>
      </c>
      <c r="B61" s="81" t="s">
        <v>183</v>
      </c>
      <c r="C61" s="81">
        <v>6</v>
      </c>
      <c r="D61" s="81">
        <v>7003</v>
      </c>
      <c r="E61" s="100">
        <v>16575018.302761354</v>
      </c>
      <c r="F61" s="81">
        <v>9232555</v>
      </c>
      <c r="G61" s="81">
        <v>2746858.7573685623</v>
      </c>
      <c r="H61" s="81">
        <v>1143179.7242586336</v>
      </c>
      <c r="I61" s="156">
        <v>3760774.737457397</v>
      </c>
      <c r="J61" s="156">
        <v>1231000.450899132</v>
      </c>
      <c r="K61" s="81">
        <v>-1259245.247804081</v>
      </c>
      <c r="L61" s="81">
        <v>-738161</v>
      </c>
      <c r="M61" s="82">
        <v>-130000</v>
      </c>
      <c r="N61" s="82">
        <v>67951.24910914706</v>
      </c>
      <c r="O61" s="214">
        <f t="shared" si="3"/>
        <v>-520104.6314725634</v>
      </c>
      <c r="P61" s="215">
        <f t="shared" si="4"/>
        <v>-74.26883213944929</v>
      </c>
      <c r="Q61" s="81"/>
      <c r="R61" s="223">
        <v>46115468</v>
      </c>
      <c r="S61" s="156">
        <v>21665888.92</v>
      </c>
      <c r="T61" s="156">
        <v>1714769.5863879505</v>
      </c>
      <c r="U61" s="156">
        <v>16078300.959270276</v>
      </c>
      <c r="V61" s="156">
        <v>3807165.0155244735</v>
      </c>
      <c r="W61" s="156">
        <v>1878697.7573685623</v>
      </c>
      <c r="X61" s="214">
        <f t="shared" si="5"/>
        <v>-970645.761448741</v>
      </c>
      <c r="Y61" s="215">
        <f t="shared" si="6"/>
        <v>-138.6042783733744</v>
      </c>
      <c r="Z61" s="81"/>
      <c r="AA61" s="94">
        <f t="shared" si="7"/>
        <v>450541.1299761776</v>
      </c>
      <c r="AB61" s="153">
        <f t="shared" si="8"/>
        <v>64.33544623392511</v>
      </c>
      <c r="AD61" s="216">
        <v>-421623.8491443491</v>
      </c>
      <c r="AE61" s="224">
        <v>-331468.2656266908</v>
      </c>
      <c r="AF61" s="224">
        <v>-232859.20361347028</v>
      </c>
      <c r="AG61" s="224">
        <v>-126478.87383284583</v>
      </c>
      <c r="AH61" s="225">
        <v>-19957.021247730732</v>
      </c>
      <c r="AJ61" s="81">
        <f t="shared" si="9"/>
        <v>12433333.920000002</v>
      </c>
      <c r="AK61" s="81">
        <f t="shared" si="10"/>
        <v>571589.8621293169</v>
      </c>
      <c r="AL61" s="81">
        <f t="shared" si="11"/>
        <v>12317526.22181288</v>
      </c>
      <c r="AM61" s="81">
        <f t="shared" si="12"/>
        <v>29540449.697238646</v>
      </c>
      <c r="AN61" s="81">
        <f t="shared" si="13"/>
        <v>-421623.8491443491</v>
      </c>
      <c r="AO61" s="81">
        <f t="shared" si="14"/>
        <v>-331468.2656266908</v>
      </c>
      <c r="AP61" s="81">
        <f t="shared" si="15"/>
        <v>-232859.20361347028</v>
      </c>
      <c r="AQ61" s="81">
        <f t="shared" si="16"/>
        <v>-126478.87383284583</v>
      </c>
      <c r="AR61" s="81">
        <f t="shared" si="17"/>
        <v>-19957.021247730732</v>
      </c>
      <c r="AS61" s="82">
        <v>2185</v>
      </c>
      <c r="AT61" s="82">
        <v>98</v>
      </c>
      <c r="AU61" s="82"/>
      <c r="AV61" s="82">
        <f t="shared" si="18"/>
        <v>98</v>
      </c>
      <c r="AW61" s="82">
        <v>9439.614104882494</v>
      </c>
      <c r="AX61" s="149">
        <v>-2545.9516723694246</v>
      </c>
      <c r="AY61" s="81">
        <f t="shared" si="19"/>
        <v>-2576164.5646253414</v>
      </c>
      <c r="AZ61" s="409"/>
      <c r="BA61" s="81"/>
      <c r="BB61" s="81"/>
      <c r="BC61" s="81"/>
      <c r="BD61" s="81"/>
      <c r="BE61" s="81"/>
      <c r="BF61" s="81"/>
      <c r="BG61" s="81"/>
    </row>
    <row r="62" spans="1:59" ht="12.75">
      <c r="A62" s="81">
        <v>145</v>
      </c>
      <c r="B62" s="81" t="s">
        <v>184</v>
      </c>
      <c r="C62" s="81">
        <v>14</v>
      </c>
      <c r="D62" s="81">
        <v>12187</v>
      </c>
      <c r="E62" s="100">
        <v>33482035.386009015</v>
      </c>
      <c r="F62" s="81">
        <v>15129373</v>
      </c>
      <c r="G62" s="81">
        <v>2404822.7240361553</v>
      </c>
      <c r="H62" s="81">
        <v>1037560.6492995744</v>
      </c>
      <c r="I62" s="156">
        <v>11561665.906229794</v>
      </c>
      <c r="J62" s="156">
        <v>1922040.9021340506</v>
      </c>
      <c r="K62" s="81">
        <v>733295.3731809403</v>
      </c>
      <c r="L62" s="81">
        <v>-261669</v>
      </c>
      <c r="M62" s="82">
        <v>-404500</v>
      </c>
      <c r="N62" s="82">
        <v>121240.25797809433</v>
      </c>
      <c r="O62" s="214">
        <f t="shared" si="3"/>
        <v>-1238205.5731504038</v>
      </c>
      <c r="P62" s="215">
        <f t="shared" si="4"/>
        <v>-101.60052294661556</v>
      </c>
      <c r="Q62" s="81"/>
      <c r="R62" s="223">
        <v>76543824</v>
      </c>
      <c r="S62" s="156">
        <v>37814291.43</v>
      </c>
      <c r="T62" s="156">
        <v>1556340.9739493616</v>
      </c>
      <c r="U62" s="156">
        <v>27918192.99344895</v>
      </c>
      <c r="V62" s="156">
        <v>5920722.624884942</v>
      </c>
      <c r="W62" s="156">
        <v>1738653.7240361553</v>
      </c>
      <c r="X62" s="214">
        <f t="shared" si="5"/>
        <v>-1595622.2536805868</v>
      </c>
      <c r="Y62" s="215">
        <f t="shared" si="6"/>
        <v>-130.928222998325</v>
      </c>
      <c r="Z62" s="81"/>
      <c r="AA62" s="94">
        <f t="shared" si="7"/>
        <v>357416.680530183</v>
      </c>
      <c r="AB62" s="153">
        <f t="shared" si="8"/>
        <v>29.327700051709446</v>
      </c>
      <c r="AD62" s="216">
        <v>-307093.2617814344</v>
      </c>
      <c r="AE62" s="224">
        <v>-150199.63100466694</v>
      </c>
      <c r="AF62" s="224">
        <v>13211.88156249842</v>
      </c>
      <c r="AG62" s="224">
        <v>15535.69479061072</v>
      </c>
      <c r="AH62" s="225">
        <v>18105.793670347615</v>
      </c>
      <c r="AJ62" s="81">
        <f t="shared" si="9"/>
        <v>22684918.43</v>
      </c>
      <c r="AK62" s="81">
        <f t="shared" si="10"/>
        <v>518780.32464978716</v>
      </c>
      <c r="AL62" s="81">
        <f t="shared" si="11"/>
        <v>16356527.087219156</v>
      </c>
      <c r="AM62" s="81">
        <f t="shared" si="12"/>
        <v>43061788.613990985</v>
      </c>
      <c r="AN62" s="81">
        <f t="shared" si="13"/>
        <v>-307093.2617814344</v>
      </c>
      <c r="AO62" s="81">
        <f t="shared" si="14"/>
        <v>-150199.63100466694</v>
      </c>
      <c r="AP62" s="81">
        <f t="shared" si="15"/>
        <v>13211.88156249842</v>
      </c>
      <c r="AQ62" s="81">
        <f t="shared" si="16"/>
        <v>15535.69479061072</v>
      </c>
      <c r="AR62" s="81">
        <f t="shared" si="17"/>
        <v>18105.793670347615</v>
      </c>
      <c r="AS62" s="82">
        <v>3135</v>
      </c>
      <c r="AT62" s="82">
        <v>29</v>
      </c>
      <c r="AU62" s="82"/>
      <c r="AV62" s="82">
        <f t="shared" si="18"/>
        <v>29</v>
      </c>
      <c r="AW62" s="82">
        <v>13797.93773910824</v>
      </c>
      <c r="AX62" s="149">
        <v>-3504.055845390907</v>
      </c>
      <c r="AY62" s="81">
        <f t="shared" si="19"/>
        <v>-3998681.722750891</v>
      </c>
      <c r="AZ62" s="409"/>
      <c r="BA62" s="81"/>
      <c r="BB62" s="81"/>
      <c r="BC62" s="81"/>
      <c r="BD62" s="81"/>
      <c r="BE62" s="81"/>
      <c r="BF62" s="81"/>
      <c r="BG62" s="81"/>
    </row>
    <row r="63" spans="1:59" ht="12.75">
      <c r="A63" s="81">
        <v>146</v>
      </c>
      <c r="B63" s="81" t="s">
        <v>185</v>
      </c>
      <c r="C63" s="81">
        <v>12</v>
      </c>
      <c r="D63" s="81">
        <v>4973</v>
      </c>
      <c r="E63" s="100">
        <v>13145837.119924624</v>
      </c>
      <c r="F63" s="81">
        <v>5257392</v>
      </c>
      <c r="G63" s="81">
        <v>1392613.1319465325</v>
      </c>
      <c r="H63" s="81">
        <v>1843789.0331710079</v>
      </c>
      <c r="I63" s="156">
        <v>3658189.723102468</v>
      </c>
      <c r="J63" s="156">
        <v>965559.6381704325</v>
      </c>
      <c r="K63" s="81">
        <v>-834224.6232133938</v>
      </c>
      <c r="L63" s="81">
        <v>-203605</v>
      </c>
      <c r="M63" s="82">
        <v>254900</v>
      </c>
      <c r="N63" s="82">
        <v>46456.26451675084</v>
      </c>
      <c r="O63" s="214">
        <f t="shared" si="3"/>
        <v>-764766.952230826</v>
      </c>
      <c r="P63" s="215">
        <f t="shared" si="4"/>
        <v>-153.78382309085583</v>
      </c>
      <c r="Q63" s="81"/>
      <c r="R63" s="223">
        <v>41618192</v>
      </c>
      <c r="S63" s="156">
        <v>13226580.24</v>
      </c>
      <c r="T63" s="156">
        <v>2765683.549756512</v>
      </c>
      <c r="U63" s="156">
        <v>19606631.112792186</v>
      </c>
      <c r="V63" s="156">
        <v>3022662.883474909</v>
      </c>
      <c r="W63" s="156">
        <v>1443908.1319465325</v>
      </c>
      <c r="X63" s="214">
        <f t="shared" si="5"/>
        <v>-1552726.0820298567</v>
      </c>
      <c r="Y63" s="215">
        <f t="shared" si="6"/>
        <v>-312.23126523825795</v>
      </c>
      <c r="Z63" s="81"/>
      <c r="AA63" s="94">
        <f t="shared" si="7"/>
        <v>787959.1297990307</v>
      </c>
      <c r="AB63" s="153">
        <f t="shared" si="8"/>
        <v>158.4474421474021</v>
      </c>
      <c r="AD63" s="216">
        <v>-767424.267943165</v>
      </c>
      <c r="AE63" s="224">
        <v>-703402.603394641</v>
      </c>
      <c r="AF63" s="224">
        <v>-633377.9189177388</v>
      </c>
      <c r="AG63" s="224">
        <v>-557834.668882176</v>
      </c>
      <c r="AH63" s="225">
        <v>-482190.9200736973</v>
      </c>
      <c r="AJ63" s="81">
        <f t="shared" si="9"/>
        <v>7969188.24</v>
      </c>
      <c r="AK63" s="81">
        <f t="shared" si="10"/>
        <v>921894.5165855042</v>
      </c>
      <c r="AL63" s="81">
        <f t="shared" si="11"/>
        <v>15948441.389689717</v>
      </c>
      <c r="AM63" s="81">
        <f t="shared" si="12"/>
        <v>28472354.880075376</v>
      </c>
      <c r="AN63" s="81">
        <f t="shared" si="13"/>
        <v>-767424.267943165</v>
      </c>
      <c r="AO63" s="81">
        <f t="shared" si="14"/>
        <v>-703402.603394641</v>
      </c>
      <c r="AP63" s="81">
        <f t="shared" si="15"/>
        <v>-633377.9189177388</v>
      </c>
      <c r="AQ63" s="81">
        <f t="shared" si="16"/>
        <v>-557834.668882176</v>
      </c>
      <c r="AR63" s="81">
        <f t="shared" si="17"/>
        <v>-482190.9200736973</v>
      </c>
      <c r="AS63" s="82">
        <v>1903</v>
      </c>
      <c r="AT63" s="82">
        <v>1</v>
      </c>
      <c r="AU63" s="82"/>
      <c r="AV63" s="82">
        <f t="shared" si="18"/>
        <v>1</v>
      </c>
      <c r="AW63" s="82">
        <v>14299.759545049634</v>
      </c>
      <c r="AX63" s="149">
        <v>-1920.9649389977894</v>
      </c>
      <c r="AY63" s="81">
        <f t="shared" si="19"/>
        <v>-2057103.2453044762</v>
      </c>
      <c r="AZ63" s="409"/>
      <c r="BA63" s="81"/>
      <c r="BB63" s="81"/>
      <c r="BC63" s="81"/>
      <c r="BD63" s="81"/>
      <c r="BE63" s="81"/>
      <c r="BF63" s="81"/>
      <c r="BG63" s="81"/>
    </row>
    <row r="64" spans="1:59" ht="12.75">
      <c r="A64" s="81">
        <v>148</v>
      </c>
      <c r="B64" s="81" t="s">
        <v>187</v>
      </c>
      <c r="C64" s="81">
        <v>19</v>
      </c>
      <c r="D64" s="81">
        <v>6930</v>
      </c>
      <c r="E64" s="100">
        <v>21678535.882968407</v>
      </c>
      <c r="F64" s="81">
        <v>7145798</v>
      </c>
      <c r="G64" s="81">
        <v>4320579.887618994</v>
      </c>
      <c r="H64" s="81">
        <v>1792409.392154304</v>
      </c>
      <c r="I64" s="156">
        <v>7622394.98490368</v>
      </c>
      <c r="J64" s="156">
        <v>1081022.711308252</v>
      </c>
      <c r="K64" s="81">
        <v>-58754.36125170028</v>
      </c>
      <c r="L64" s="81">
        <v>-542433</v>
      </c>
      <c r="M64" s="82">
        <v>782430</v>
      </c>
      <c r="N64" s="82">
        <v>82604.415828519</v>
      </c>
      <c r="O64" s="214">
        <f t="shared" si="3"/>
        <v>547516.1475936435</v>
      </c>
      <c r="P64" s="215">
        <f t="shared" si="4"/>
        <v>79.00665910442186</v>
      </c>
      <c r="Q64" s="81"/>
      <c r="R64" s="223">
        <v>53451384</v>
      </c>
      <c r="S64" s="156">
        <v>22058929.35</v>
      </c>
      <c r="T64" s="156">
        <v>2688614.088231456</v>
      </c>
      <c r="U64" s="156">
        <v>23389905.329006236</v>
      </c>
      <c r="V64" s="156">
        <v>3284186.5866726525</v>
      </c>
      <c r="W64" s="156">
        <v>4560576.887618994</v>
      </c>
      <c r="X64" s="214">
        <f t="shared" si="5"/>
        <v>2530828.2415293455</v>
      </c>
      <c r="Y64" s="215">
        <f t="shared" si="6"/>
        <v>365.198880451565</v>
      </c>
      <c r="Z64" s="81"/>
      <c r="AA64" s="94">
        <f t="shared" si="7"/>
        <v>-1983312.093935702</v>
      </c>
      <c r="AB64" s="153">
        <f t="shared" si="8"/>
        <v>-286.1922213471431</v>
      </c>
      <c r="AD64" s="216">
        <v>2011927.9380260117</v>
      </c>
      <c r="AE64" s="224">
        <v>1893243.7303689183</v>
      </c>
      <c r="AF64" s="224">
        <v>1782924.881268764</v>
      </c>
      <c r="AG64" s="224">
        <v>1680296.2914329404</v>
      </c>
      <c r="AH64" s="225">
        <v>1577807.7491531812</v>
      </c>
      <c r="AJ64" s="81">
        <f t="shared" si="9"/>
        <v>14913131.350000001</v>
      </c>
      <c r="AK64" s="81">
        <f t="shared" si="10"/>
        <v>896204.6960771519</v>
      </c>
      <c r="AL64" s="81">
        <f t="shared" si="11"/>
        <v>15767510.344102556</v>
      </c>
      <c r="AM64" s="81">
        <f t="shared" si="12"/>
        <v>31772848.117031593</v>
      </c>
      <c r="AN64" s="81">
        <f t="shared" si="13"/>
        <v>2011927.9380260117</v>
      </c>
      <c r="AO64" s="81">
        <f t="shared" si="14"/>
        <v>1893243.7303689183</v>
      </c>
      <c r="AP64" s="81">
        <f t="shared" si="15"/>
        <v>1782924.881268764</v>
      </c>
      <c r="AQ64" s="81">
        <f t="shared" si="16"/>
        <v>1680296.2914329404</v>
      </c>
      <c r="AR64" s="81">
        <f t="shared" si="17"/>
        <v>1577807.7491531812</v>
      </c>
      <c r="AS64" s="82">
        <v>2056</v>
      </c>
      <c r="AT64" s="82">
        <v>185</v>
      </c>
      <c r="AU64" s="82">
        <v>4</v>
      </c>
      <c r="AV64" s="82">
        <f t="shared" si="18"/>
        <v>189</v>
      </c>
      <c r="AW64" s="82">
        <v>13177.039009600565</v>
      </c>
      <c r="AX64" s="149">
        <v>-624.3907992433452</v>
      </c>
      <c r="AY64" s="81">
        <f t="shared" si="19"/>
        <v>-2203163.8753644004</v>
      </c>
      <c r="AZ64" s="409"/>
      <c r="BA64" s="81"/>
      <c r="BB64" s="81"/>
      <c r="BC64" s="81"/>
      <c r="BD64" s="81"/>
      <c r="BE64" s="81"/>
      <c r="BF64" s="81"/>
      <c r="BG64" s="81"/>
    </row>
    <row r="65" spans="1:59" ht="12.75">
      <c r="A65" s="81">
        <v>149</v>
      </c>
      <c r="B65" s="81" t="s">
        <v>188</v>
      </c>
      <c r="C65" s="81">
        <v>1</v>
      </c>
      <c r="D65" s="81">
        <v>5403</v>
      </c>
      <c r="E65" s="100">
        <v>16025274.40250738</v>
      </c>
      <c r="F65" s="81">
        <v>8509166</v>
      </c>
      <c r="G65" s="81">
        <v>2894563.4389302256</v>
      </c>
      <c r="H65" s="81">
        <v>752484.3588484991</v>
      </c>
      <c r="I65" s="156">
        <v>3055412.7182282703</v>
      </c>
      <c r="J65" s="156">
        <v>797483.1180965786</v>
      </c>
      <c r="K65" s="81">
        <v>412079.4096918966</v>
      </c>
      <c r="L65" s="81">
        <v>-1064327</v>
      </c>
      <c r="M65" s="82">
        <v>-66860</v>
      </c>
      <c r="N65" s="82">
        <v>74697.62311038745</v>
      </c>
      <c r="O65" s="214">
        <f t="shared" si="3"/>
        <v>-660574.735601522</v>
      </c>
      <c r="P65" s="215">
        <f t="shared" si="4"/>
        <v>-122.26073211207145</v>
      </c>
      <c r="Q65" s="81"/>
      <c r="R65" s="223">
        <v>34966036</v>
      </c>
      <c r="S65" s="156">
        <v>22429009.735</v>
      </c>
      <c r="T65" s="156">
        <v>1128726.5382727487</v>
      </c>
      <c r="U65" s="156">
        <v>7030462.779434737</v>
      </c>
      <c r="V65" s="156">
        <v>2353913.850086365</v>
      </c>
      <c r="W65" s="156">
        <v>1763376.4389302256</v>
      </c>
      <c r="X65" s="214">
        <f t="shared" si="5"/>
        <v>-260546.65827592462</v>
      </c>
      <c r="Y65" s="215">
        <f t="shared" si="6"/>
        <v>-48.22259083396717</v>
      </c>
      <c r="Z65" s="81"/>
      <c r="AA65" s="94">
        <f t="shared" si="7"/>
        <v>-400028.0773255974</v>
      </c>
      <c r="AB65" s="153">
        <f t="shared" si="8"/>
        <v>-74.03814127810428</v>
      </c>
      <c r="AD65" s="216">
        <v>422338.52546700934</v>
      </c>
      <c r="AE65" s="224">
        <v>329805.9462503749</v>
      </c>
      <c r="AF65" s="224">
        <v>243795.44961428043</v>
      </c>
      <c r="AG65" s="224">
        <v>163780.69191111234</v>
      </c>
      <c r="AH65" s="225">
        <v>83875.1228003565</v>
      </c>
      <c r="AJ65" s="81">
        <f t="shared" si="9"/>
        <v>13919843.735</v>
      </c>
      <c r="AK65" s="81">
        <f t="shared" si="10"/>
        <v>376242.17942424957</v>
      </c>
      <c r="AL65" s="81">
        <f t="shared" si="11"/>
        <v>3975050.0612064665</v>
      </c>
      <c r="AM65" s="81">
        <f t="shared" si="12"/>
        <v>18940761.59749262</v>
      </c>
      <c r="AN65" s="81">
        <f t="shared" si="13"/>
        <v>422338.52546700934</v>
      </c>
      <c r="AO65" s="81">
        <f t="shared" si="14"/>
        <v>329805.9462503749</v>
      </c>
      <c r="AP65" s="81">
        <f t="shared" si="15"/>
        <v>243795.44961428043</v>
      </c>
      <c r="AQ65" s="81">
        <f t="shared" si="16"/>
        <v>163780.69191111234</v>
      </c>
      <c r="AR65" s="81">
        <f t="shared" si="17"/>
        <v>83875.1228003565</v>
      </c>
      <c r="AS65" s="82">
        <v>1563</v>
      </c>
      <c r="AT65" s="82"/>
      <c r="AU65" s="82"/>
      <c r="AV65" s="82">
        <f t="shared" si="18"/>
        <v>0</v>
      </c>
      <c r="AW65" s="82">
        <v>4696.21427913169</v>
      </c>
      <c r="AX65" s="149">
        <v>802.4993380304293</v>
      </c>
      <c r="AY65" s="81">
        <f t="shared" si="19"/>
        <v>-1556430.7319897863</v>
      </c>
      <c r="AZ65" s="409"/>
      <c r="BA65" s="81"/>
      <c r="BB65" s="81"/>
      <c r="BC65" s="81"/>
      <c r="BD65" s="81"/>
      <c r="BE65" s="81"/>
      <c r="BF65" s="81"/>
      <c r="BG65" s="81"/>
    </row>
    <row r="66" spans="1:59" ht="12.75">
      <c r="A66" s="81">
        <v>151</v>
      </c>
      <c r="B66" s="81" t="s">
        <v>189</v>
      </c>
      <c r="C66" s="81">
        <v>14</v>
      </c>
      <c r="D66" s="81">
        <v>1976</v>
      </c>
      <c r="E66" s="100">
        <v>4143632.8540769387</v>
      </c>
      <c r="F66" s="81">
        <v>2231817</v>
      </c>
      <c r="G66" s="81">
        <v>398376.27560428466</v>
      </c>
      <c r="H66" s="81">
        <v>478770.4156523904</v>
      </c>
      <c r="I66" s="156">
        <v>1553268.8673772844</v>
      </c>
      <c r="J66" s="156">
        <v>449444.7660744481</v>
      </c>
      <c r="K66" s="81">
        <v>-662067.1829447013</v>
      </c>
      <c r="L66" s="81">
        <v>-491554</v>
      </c>
      <c r="M66" s="82">
        <v>-15443</v>
      </c>
      <c r="N66" s="82">
        <v>16363.700260665553</v>
      </c>
      <c r="O66" s="214">
        <f t="shared" si="3"/>
        <v>-184656.01205256674</v>
      </c>
      <c r="P66" s="215">
        <f t="shared" si="4"/>
        <v>-93.44939881202771</v>
      </c>
      <c r="Q66" s="81"/>
      <c r="R66" s="223">
        <v>14866600</v>
      </c>
      <c r="S66" s="156">
        <v>5124216.38</v>
      </c>
      <c r="T66" s="156">
        <v>718155.6234785856</v>
      </c>
      <c r="U66" s="156">
        <v>6929394.992562058</v>
      </c>
      <c r="V66" s="156">
        <v>1425648.3379263128</v>
      </c>
      <c r="W66" s="156">
        <v>-108620.72439571534</v>
      </c>
      <c r="X66" s="214">
        <f t="shared" si="5"/>
        <v>-777805.3904287592</v>
      </c>
      <c r="Y66" s="215">
        <f t="shared" si="6"/>
        <v>-393.62620973115344</v>
      </c>
      <c r="Z66" s="81"/>
      <c r="AA66" s="94">
        <f t="shared" si="7"/>
        <v>593149.3783761924</v>
      </c>
      <c r="AB66" s="153">
        <f t="shared" si="8"/>
        <v>300.1768109191257</v>
      </c>
      <c r="AD66" s="216">
        <v>-584989.9400035406</v>
      </c>
      <c r="AE66" s="224">
        <v>-559551.2090266888</v>
      </c>
      <c r="AF66" s="224">
        <v>-531727.2040947848</v>
      </c>
      <c r="AG66" s="224">
        <v>-501710.421052301</v>
      </c>
      <c r="AH66" s="225">
        <v>-471653.70525790047</v>
      </c>
      <c r="AJ66" s="81">
        <f t="shared" si="9"/>
        <v>2892399.38</v>
      </c>
      <c r="AK66" s="81">
        <f t="shared" si="10"/>
        <v>239385.20782619523</v>
      </c>
      <c r="AL66" s="81">
        <f t="shared" si="11"/>
        <v>5376126.125184774</v>
      </c>
      <c r="AM66" s="81">
        <f t="shared" si="12"/>
        <v>10722967.145923061</v>
      </c>
      <c r="AN66" s="81">
        <f t="shared" si="13"/>
        <v>-584989.9400035406</v>
      </c>
      <c r="AO66" s="81">
        <f t="shared" si="14"/>
        <v>-559551.2090266888</v>
      </c>
      <c r="AP66" s="81">
        <f t="shared" si="15"/>
        <v>-531727.2040947848</v>
      </c>
      <c r="AQ66" s="81">
        <f t="shared" si="16"/>
        <v>-501710.421052301</v>
      </c>
      <c r="AR66" s="81">
        <f t="shared" si="17"/>
        <v>-471653.70525790047</v>
      </c>
      <c r="AS66" s="82">
        <v>493</v>
      </c>
      <c r="AT66" s="82"/>
      <c r="AU66" s="82"/>
      <c r="AV66" s="82">
        <f t="shared" si="18"/>
        <v>0</v>
      </c>
      <c r="AW66" s="82">
        <v>4480.847247488841</v>
      </c>
      <c r="AX66" s="149">
        <v>-1063.1321887268014</v>
      </c>
      <c r="AY66" s="81">
        <f t="shared" si="19"/>
        <v>-976203.5718518647</v>
      </c>
      <c r="AZ66" s="409"/>
      <c r="BA66" s="81"/>
      <c r="BB66" s="81"/>
      <c r="BC66" s="81"/>
      <c r="BD66" s="81"/>
      <c r="BE66" s="81"/>
      <c r="BF66" s="81"/>
      <c r="BG66" s="81"/>
    </row>
    <row r="67" spans="1:59" ht="12.75">
      <c r="A67" s="81">
        <v>152</v>
      </c>
      <c r="B67" s="81" t="s">
        <v>190</v>
      </c>
      <c r="C67" s="81">
        <v>14</v>
      </c>
      <c r="D67" s="81">
        <v>4601</v>
      </c>
      <c r="E67" s="100">
        <v>12123589.75670927</v>
      </c>
      <c r="F67" s="81">
        <v>5656537</v>
      </c>
      <c r="G67" s="81">
        <v>817527.2383546872</v>
      </c>
      <c r="H67" s="81">
        <v>396682.17668735044</v>
      </c>
      <c r="I67" s="156">
        <v>3909859.771795108</v>
      </c>
      <c r="J67" s="156">
        <v>833827.8949575222</v>
      </c>
      <c r="K67" s="81">
        <v>525316.9344382611</v>
      </c>
      <c r="L67" s="81">
        <v>-158202</v>
      </c>
      <c r="M67" s="82">
        <v>-55000</v>
      </c>
      <c r="N67" s="82">
        <v>42810.26859633024</v>
      </c>
      <c r="O67" s="214">
        <f t="shared" si="3"/>
        <v>-154230.47188001126</v>
      </c>
      <c r="P67" s="215">
        <f t="shared" si="4"/>
        <v>-33.52107626168469</v>
      </c>
      <c r="Q67" s="81"/>
      <c r="R67" s="223">
        <v>29573656</v>
      </c>
      <c r="S67" s="156">
        <v>13651485.77</v>
      </c>
      <c r="T67" s="156">
        <v>595023.2650310256</v>
      </c>
      <c r="U67" s="156">
        <v>11948073.227018801</v>
      </c>
      <c r="V67" s="156">
        <v>2602638.50809363</v>
      </c>
      <c r="W67" s="156">
        <v>604325.2383546872</v>
      </c>
      <c r="X67" s="214">
        <f t="shared" si="5"/>
        <v>-172109.9915018566</v>
      </c>
      <c r="Y67" s="215">
        <f t="shared" si="6"/>
        <v>-37.40708356919291</v>
      </c>
      <c r="Z67" s="81"/>
      <c r="AA67" s="94">
        <f t="shared" si="7"/>
        <v>17879.519621845335</v>
      </c>
      <c r="AB67" s="153">
        <f t="shared" si="8"/>
        <v>3.886007307508223</v>
      </c>
      <c r="AD67" s="216">
        <v>1119.2536334973</v>
      </c>
      <c r="AE67" s="224">
        <v>9216.364968147474</v>
      </c>
      <c r="AF67" s="224">
        <v>4987.927059083879</v>
      </c>
      <c r="AG67" s="224">
        <v>5865.2442546648</v>
      </c>
      <c r="AH67" s="225">
        <v>6835.542518853646</v>
      </c>
      <c r="AJ67" s="81">
        <f t="shared" si="9"/>
        <v>7994948.77</v>
      </c>
      <c r="AK67" s="81">
        <f t="shared" si="10"/>
        <v>198341.0883436752</v>
      </c>
      <c r="AL67" s="81">
        <f t="shared" si="11"/>
        <v>8038213.4552236935</v>
      </c>
      <c r="AM67" s="81">
        <f t="shared" si="12"/>
        <v>17450066.24329073</v>
      </c>
      <c r="AN67" s="81">
        <f t="shared" si="13"/>
        <v>1119.2536334973</v>
      </c>
      <c r="AO67" s="81">
        <f t="shared" si="14"/>
        <v>9216.364968147474</v>
      </c>
      <c r="AP67" s="81">
        <f t="shared" si="15"/>
        <v>4987.927059083879</v>
      </c>
      <c r="AQ67" s="81">
        <f t="shared" si="16"/>
        <v>5865.2442546648</v>
      </c>
      <c r="AR67" s="81">
        <f t="shared" si="17"/>
        <v>6835.542518853646</v>
      </c>
      <c r="AS67" s="82">
        <v>1265</v>
      </c>
      <c r="AT67" s="82">
        <v>44</v>
      </c>
      <c r="AU67" s="82">
        <v>4</v>
      </c>
      <c r="AV67" s="82">
        <f t="shared" si="18"/>
        <v>48</v>
      </c>
      <c r="AW67" s="82">
        <v>6765.746394428663</v>
      </c>
      <c r="AX67" s="149">
        <v>-1678.0039901317293</v>
      </c>
      <c r="AY67" s="81">
        <f t="shared" si="19"/>
        <v>-1768810.6131361078</v>
      </c>
      <c r="AZ67" s="409"/>
      <c r="BA67" s="81"/>
      <c r="BB67" s="81"/>
      <c r="BC67" s="81"/>
      <c r="BD67" s="81"/>
      <c r="BE67" s="81"/>
      <c r="BF67" s="81"/>
      <c r="BG67" s="81"/>
    </row>
    <row r="68" spans="1:59" ht="12.75">
      <c r="A68" s="81">
        <v>153</v>
      </c>
      <c r="B68" s="81" t="s">
        <v>186</v>
      </c>
      <c r="C68" s="81">
        <v>9</v>
      </c>
      <c r="D68" s="81">
        <v>26932</v>
      </c>
      <c r="E68" s="100">
        <v>69269910.83659007</v>
      </c>
      <c r="F68" s="81">
        <v>33515363</v>
      </c>
      <c r="G68" s="81">
        <v>11574489.062019313</v>
      </c>
      <c r="H68" s="81">
        <v>2218768.3606467457</v>
      </c>
      <c r="I68" s="156">
        <v>8026867.442591142</v>
      </c>
      <c r="J68" s="156">
        <v>3752400.6089436347</v>
      </c>
      <c r="K68" s="81">
        <v>9853845.625058362</v>
      </c>
      <c r="L68" s="81">
        <v>-1519499</v>
      </c>
      <c r="M68" s="82">
        <v>1550189</v>
      </c>
      <c r="N68" s="82">
        <v>321721.78151720745</v>
      </c>
      <c r="O68" s="214">
        <f t="shared" si="3"/>
        <v>24235.044186338782</v>
      </c>
      <c r="P68" s="215">
        <f t="shared" si="4"/>
        <v>0.8998605445692404</v>
      </c>
      <c r="Q68" s="81"/>
      <c r="R68" s="223">
        <v>167335756</v>
      </c>
      <c r="S68" s="156">
        <v>93979052.2</v>
      </c>
      <c r="T68" s="156">
        <v>3328152.5409701183</v>
      </c>
      <c r="U68" s="156">
        <v>54843506.71185695</v>
      </c>
      <c r="V68" s="156">
        <v>11269181.242873315</v>
      </c>
      <c r="W68" s="156">
        <v>11605179.062019313</v>
      </c>
      <c r="X68" s="214">
        <f t="shared" si="5"/>
        <v>7689315.757719696</v>
      </c>
      <c r="Y68" s="215">
        <f t="shared" si="6"/>
        <v>285.5085310307328</v>
      </c>
      <c r="Z68" s="81"/>
      <c r="AA68" s="94">
        <f t="shared" si="7"/>
        <v>-7665080.713533357</v>
      </c>
      <c r="AB68" s="153">
        <f t="shared" si="8"/>
        <v>-284.60867048616353</v>
      </c>
      <c r="AD68" s="216">
        <v>7776290.224794602</v>
      </c>
      <c r="AE68" s="224">
        <v>7315048.799019586</v>
      </c>
      <c r="AF68" s="224">
        <v>6886317.594984181</v>
      </c>
      <c r="AG68" s="224">
        <v>6487472.98005512</v>
      </c>
      <c r="AH68" s="225">
        <v>6089172.630750867</v>
      </c>
      <c r="AJ68" s="81">
        <f t="shared" si="9"/>
        <v>60463689.2</v>
      </c>
      <c r="AK68" s="81">
        <f t="shared" si="10"/>
        <v>1109384.1803233726</v>
      </c>
      <c r="AL68" s="81">
        <f t="shared" si="11"/>
        <v>46816639.2692658</v>
      </c>
      <c r="AM68" s="81">
        <f t="shared" si="12"/>
        <v>98065845.16340993</v>
      </c>
      <c r="AN68" s="81">
        <f t="shared" si="13"/>
        <v>7776290.224794602</v>
      </c>
      <c r="AO68" s="81">
        <f t="shared" si="14"/>
        <v>7315048.799019586</v>
      </c>
      <c r="AP68" s="81">
        <f t="shared" si="15"/>
        <v>6886317.594984181</v>
      </c>
      <c r="AQ68" s="81">
        <f t="shared" si="16"/>
        <v>6487472.98005512</v>
      </c>
      <c r="AR68" s="81">
        <f t="shared" si="17"/>
        <v>6089172.630750867</v>
      </c>
      <c r="AS68" s="82">
        <v>11611</v>
      </c>
      <c r="AT68" s="82">
        <v>367</v>
      </c>
      <c r="AU68" s="82"/>
      <c r="AV68" s="82">
        <f t="shared" si="18"/>
        <v>367</v>
      </c>
      <c r="AW68" s="82">
        <v>44709.62710618676</v>
      </c>
      <c r="AX68" s="149">
        <v>-1230.3531086434166</v>
      </c>
      <c r="AY68" s="81">
        <f t="shared" si="19"/>
        <v>-7516780.63392968</v>
      </c>
      <c r="AZ68" s="409"/>
      <c r="BA68" s="81"/>
      <c r="BB68" s="81"/>
      <c r="BC68" s="81"/>
      <c r="BD68" s="81"/>
      <c r="BE68" s="81"/>
      <c r="BF68" s="81"/>
      <c r="BG68" s="81"/>
    </row>
    <row r="69" spans="1:59" ht="12.75">
      <c r="A69" s="81">
        <v>165</v>
      </c>
      <c r="B69" s="81" t="s">
        <v>191</v>
      </c>
      <c r="C69" s="81">
        <v>5</v>
      </c>
      <c r="D69" s="81">
        <v>16447</v>
      </c>
      <c r="E69" s="100">
        <v>38208200.176380254</v>
      </c>
      <c r="F69" s="81">
        <v>23559045</v>
      </c>
      <c r="G69" s="81">
        <v>3485533.0508826664</v>
      </c>
      <c r="H69" s="81">
        <v>1472557.502221344</v>
      </c>
      <c r="I69" s="156">
        <v>10372380.446065793</v>
      </c>
      <c r="J69" s="156">
        <v>2295685.7366972975</v>
      </c>
      <c r="K69" s="81">
        <v>36142.35824406748</v>
      </c>
      <c r="L69" s="81">
        <v>-2294876</v>
      </c>
      <c r="M69" s="82">
        <v>-145300</v>
      </c>
      <c r="N69" s="82">
        <v>194842.87789623265</v>
      </c>
      <c r="O69" s="214">
        <f t="shared" si="3"/>
        <v>767810.795627147</v>
      </c>
      <c r="P69" s="215">
        <f t="shared" si="4"/>
        <v>46.68394209443345</v>
      </c>
      <c r="Q69" s="81"/>
      <c r="R69" s="223">
        <v>94921428</v>
      </c>
      <c r="S69" s="156">
        <v>60112982.54</v>
      </c>
      <c r="T69" s="156">
        <v>2208836.253332016</v>
      </c>
      <c r="U69" s="156">
        <v>25151207.542001933</v>
      </c>
      <c r="V69" s="156">
        <v>6901031.7121378565</v>
      </c>
      <c r="W69" s="156">
        <v>1045357.0508826664</v>
      </c>
      <c r="X69" s="214">
        <f t="shared" si="5"/>
        <v>497987.0983544737</v>
      </c>
      <c r="Y69" s="215">
        <f t="shared" si="6"/>
        <v>30.27829381373343</v>
      </c>
      <c r="Z69" s="81"/>
      <c r="AA69" s="94">
        <f t="shared" si="7"/>
        <v>269823.69727267325</v>
      </c>
      <c r="AB69" s="153">
        <f t="shared" si="8"/>
        <v>16.40564828070002</v>
      </c>
      <c r="AD69" s="216">
        <v>-201909.58648573962</v>
      </c>
      <c r="AE69" s="224">
        <v>9826.65257108285</v>
      </c>
      <c r="AF69" s="224">
        <v>17830.13178455826</v>
      </c>
      <c r="AG69" s="224">
        <v>20966.240438268196</v>
      </c>
      <c r="AH69" s="225">
        <v>24434.724583261446</v>
      </c>
      <c r="AJ69" s="81">
        <f t="shared" si="9"/>
        <v>36553937.54</v>
      </c>
      <c r="AK69" s="81">
        <f t="shared" si="10"/>
        <v>736278.751110672</v>
      </c>
      <c r="AL69" s="81">
        <f t="shared" si="11"/>
        <v>14778827.09593614</v>
      </c>
      <c r="AM69" s="81">
        <f t="shared" si="12"/>
        <v>56713227.823619746</v>
      </c>
      <c r="AN69" s="81">
        <f t="shared" si="13"/>
        <v>-201909.58648573962</v>
      </c>
      <c r="AO69" s="81">
        <f t="shared" si="14"/>
        <v>9826.65257108285</v>
      </c>
      <c r="AP69" s="81">
        <f t="shared" si="15"/>
        <v>17830.13178455826</v>
      </c>
      <c r="AQ69" s="81">
        <f t="shared" si="16"/>
        <v>20966.240438268196</v>
      </c>
      <c r="AR69" s="81">
        <f t="shared" si="17"/>
        <v>24434.724583261446</v>
      </c>
      <c r="AS69" s="82">
        <v>6091</v>
      </c>
      <c r="AT69" s="82">
        <v>190</v>
      </c>
      <c r="AU69" s="82"/>
      <c r="AV69" s="82">
        <f t="shared" si="18"/>
        <v>190</v>
      </c>
      <c r="AW69" s="82">
        <v>14143.64686824678</v>
      </c>
      <c r="AX69" s="149">
        <v>-1062.9558913382089</v>
      </c>
      <c r="AY69" s="81">
        <f t="shared" si="19"/>
        <v>-4605345.975440559</v>
      </c>
      <c r="AZ69" s="409"/>
      <c r="BA69" s="81"/>
      <c r="BB69" s="81"/>
      <c r="BC69" s="81"/>
      <c r="BD69" s="81"/>
      <c r="BE69" s="81"/>
      <c r="BF69" s="81"/>
      <c r="BG69" s="81"/>
    </row>
    <row r="70" spans="1:59" ht="12.75">
      <c r="A70" s="81">
        <v>167</v>
      </c>
      <c r="B70" s="81" t="s">
        <v>192</v>
      </c>
      <c r="C70" s="81">
        <v>12</v>
      </c>
      <c r="D70" s="81">
        <v>76551</v>
      </c>
      <c r="E70" s="100">
        <v>180361501.74727276</v>
      </c>
      <c r="F70" s="81">
        <v>90365879</v>
      </c>
      <c r="G70" s="81">
        <v>20753108.957960915</v>
      </c>
      <c r="H70" s="81">
        <v>12936979.25975569</v>
      </c>
      <c r="I70" s="156">
        <v>33588010.829214774</v>
      </c>
      <c r="J70" s="156">
        <v>11475183.653208163</v>
      </c>
      <c r="K70" s="81">
        <v>6898158.018250095</v>
      </c>
      <c r="L70" s="81">
        <v>-1788895</v>
      </c>
      <c r="M70" s="82">
        <v>1073000</v>
      </c>
      <c r="N70" s="82">
        <v>801475.564739975</v>
      </c>
      <c r="O70" s="214">
        <f t="shared" si="3"/>
        <v>-4258601.464143127</v>
      </c>
      <c r="P70" s="215">
        <f t="shared" si="4"/>
        <v>-55.630905724851765</v>
      </c>
      <c r="Q70" s="81"/>
      <c r="R70" s="223">
        <v>437711036</v>
      </c>
      <c r="S70" s="156">
        <v>237288662.80999997</v>
      </c>
      <c r="T70" s="156">
        <v>19405468.889633536</v>
      </c>
      <c r="U70" s="156">
        <v>129256532.59079039</v>
      </c>
      <c r="V70" s="156">
        <v>35146265.72821611</v>
      </c>
      <c r="W70" s="156">
        <v>20037213.957960915</v>
      </c>
      <c r="X70" s="214">
        <f t="shared" si="5"/>
        <v>3423107.9766008854</v>
      </c>
      <c r="Y70" s="215">
        <f t="shared" si="6"/>
        <v>44.71669836580692</v>
      </c>
      <c r="Z70" s="81"/>
      <c r="AA70" s="94">
        <f t="shared" si="7"/>
        <v>-7681709.440744013</v>
      </c>
      <c r="AB70" s="153">
        <f t="shared" si="8"/>
        <v>-100.34760409065868</v>
      </c>
      <c r="AD70" s="216">
        <v>7997809.221546018</v>
      </c>
      <c r="AE70" s="224">
        <v>6686785.443716553</v>
      </c>
      <c r="AF70" s="224">
        <v>5468168.096318873</v>
      </c>
      <c r="AG70" s="224">
        <v>4334499.816301249</v>
      </c>
      <c r="AH70" s="225">
        <v>3202378.546451634</v>
      </c>
      <c r="AJ70" s="81">
        <f t="shared" si="9"/>
        <v>146922783.80999997</v>
      </c>
      <c r="AK70" s="81">
        <f t="shared" si="10"/>
        <v>6468489.629877847</v>
      </c>
      <c r="AL70" s="81">
        <f t="shared" si="11"/>
        <v>95668521.76157561</v>
      </c>
      <c r="AM70" s="81">
        <f t="shared" si="12"/>
        <v>257349534.25272724</v>
      </c>
      <c r="AN70" s="81">
        <f t="shared" si="13"/>
        <v>7997809.221546018</v>
      </c>
      <c r="AO70" s="81">
        <f t="shared" si="14"/>
        <v>6686785.443716553</v>
      </c>
      <c r="AP70" s="81">
        <f t="shared" si="15"/>
        <v>5468168.096318873</v>
      </c>
      <c r="AQ70" s="81">
        <f t="shared" si="16"/>
        <v>4334499.816301249</v>
      </c>
      <c r="AR70" s="81">
        <f t="shared" si="17"/>
        <v>3202378.546451634</v>
      </c>
      <c r="AS70" s="82">
        <v>35429</v>
      </c>
      <c r="AT70" s="82"/>
      <c r="AU70" s="82"/>
      <c r="AV70" s="82">
        <f t="shared" si="18"/>
        <v>0</v>
      </c>
      <c r="AW70" s="82">
        <v>74396.7820000452</v>
      </c>
      <c r="AX70" s="149">
        <v>-18811.8273142527</v>
      </c>
      <c r="AY70" s="81">
        <f t="shared" si="19"/>
        <v>-23671082.07500795</v>
      </c>
      <c r="AZ70" s="409"/>
      <c r="BA70" s="81"/>
      <c r="BB70" s="81"/>
      <c r="BC70" s="81"/>
      <c r="BD70" s="81"/>
      <c r="BE70" s="81"/>
      <c r="BF70" s="81"/>
      <c r="BG70" s="81"/>
    </row>
    <row r="71" spans="1:59" ht="12.75">
      <c r="A71" s="81">
        <v>169</v>
      </c>
      <c r="B71" s="81" t="s">
        <v>193</v>
      </c>
      <c r="C71" s="81">
        <v>5</v>
      </c>
      <c r="D71" s="81">
        <v>5195</v>
      </c>
      <c r="E71" s="100">
        <v>12021221.049629688</v>
      </c>
      <c r="F71" s="81">
        <v>6975986</v>
      </c>
      <c r="G71" s="81">
        <v>934950.2854066696</v>
      </c>
      <c r="H71" s="81">
        <v>812788.1154705313</v>
      </c>
      <c r="I71" s="156">
        <v>3222501.6788202813</v>
      </c>
      <c r="J71" s="156">
        <v>836575.553147862</v>
      </c>
      <c r="K71" s="81">
        <v>413631.85739596555</v>
      </c>
      <c r="L71" s="81">
        <v>-1060803</v>
      </c>
      <c r="M71" s="82">
        <v>85450</v>
      </c>
      <c r="N71" s="82">
        <v>55868.344383034666</v>
      </c>
      <c r="O71" s="214">
        <f t="shared" si="3"/>
        <v>255727.78499465622</v>
      </c>
      <c r="P71" s="215">
        <f t="shared" si="4"/>
        <v>49.22575264574711</v>
      </c>
      <c r="Q71" s="81"/>
      <c r="R71" s="223">
        <v>29504244</v>
      </c>
      <c r="S71" s="156">
        <v>17262015.849999998</v>
      </c>
      <c r="T71" s="156">
        <v>1219182.1732057969</v>
      </c>
      <c r="U71" s="156">
        <v>9143858.438590331</v>
      </c>
      <c r="V71" s="156">
        <v>2562344.0047628013</v>
      </c>
      <c r="W71" s="156">
        <v>-40402.7145933304</v>
      </c>
      <c r="X71" s="214">
        <f t="shared" si="5"/>
        <v>642753.7519655973</v>
      </c>
      <c r="Y71" s="215">
        <f t="shared" si="6"/>
        <v>123.7254575487194</v>
      </c>
      <c r="Z71" s="81"/>
      <c r="AA71" s="94">
        <f t="shared" si="7"/>
        <v>-387025.96697094105</v>
      </c>
      <c r="AB71" s="153">
        <f t="shared" si="8"/>
        <v>-74.4997049029723</v>
      </c>
      <c r="AD71" s="216">
        <v>408477.52686260035</v>
      </c>
      <c r="AE71" s="224">
        <v>319507.18649050774</v>
      </c>
      <c r="AF71" s="224">
        <v>236807.84723000234</v>
      </c>
      <c r="AG71" s="224">
        <v>159873.4281539412</v>
      </c>
      <c r="AH71" s="225">
        <v>83043.99422272215</v>
      </c>
      <c r="AJ71" s="81">
        <f t="shared" si="9"/>
        <v>10286029.849999998</v>
      </c>
      <c r="AK71" s="81">
        <f t="shared" si="10"/>
        <v>406394.0577352656</v>
      </c>
      <c r="AL71" s="81">
        <f t="shared" si="11"/>
        <v>5921356.75977005</v>
      </c>
      <c r="AM71" s="81">
        <f t="shared" si="12"/>
        <v>17483022.95037031</v>
      </c>
      <c r="AN71" s="81">
        <f t="shared" si="13"/>
        <v>408477.52686260035</v>
      </c>
      <c r="AO71" s="81">
        <f t="shared" si="14"/>
        <v>319507.18649050774</v>
      </c>
      <c r="AP71" s="81">
        <f t="shared" si="15"/>
        <v>236807.84723000234</v>
      </c>
      <c r="AQ71" s="81">
        <f t="shared" si="16"/>
        <v>159873.4281539412</v>
      </c>
      <c r="AR71" s="81">
        <f t="shared" si="17"/>
        <v>83043.99422272215</v>
      </c>
      <c r="AS71" s="82">
        <v>1560</v>
      </c>
      <c r="AT71" s="82"/>
      <c r="AU71" s="82"/>
      <c r="AV71" s="82">
        <f t="shared" si="18"/>
        <v>0</v>
      </c>
      <c r="AW71" s="82">
        <v>4973.637519775719</v>
      </c>
      <c r="AX71" s="149">
        <v>-878.7283475253229</v>
      </c>
      <c r="AY71" s="81">
        <f t="shared" si="19"/>
        <v>-1725768.4516149394</v>
      </c>
      <c r="AZ71" s="409"/>
      <c r="BA71" s="81"/>
      <c r="BB71" s="81"/>
      <c r="BC71" s="81"/>
      <c r="BD71" s="81"/>
      <c r="BE71" s="81"/>
      <c r="BF71" s="81"/>
      <c r="BG71" s="81"/>
    </row>
    <row r="72" spans="1:59" ht="12.75">
      <c r="A72" s="81">
        <v>171</v>
      </c>
      <c r="B72" s="81" t="s">
        <v>194</v>
      </c>
      <c r="C72" s="81">
        <v>11</v>
      </c>
      <c r="D72" s="81">
        <v>4812</v>
      </c>
      <c r="E72" s="100">
        <v>11028823.92547492</v>
      </c>
      <c r="F72" s="81">
        <v>5995373</v>
      </c>
      <c r="G72" s="81">
        <v>1045083.8016792721</v>
      </c>
      <c r="H72" s="81">
        <v>1027716.4722021121</v>
      </c>
      <c r="I72" s="156">
        <v>2830453.9574821917</v>
      </c>
      <c r="J72" s="156">
        <v>865032.6915713074</v>
      </c>
      <c r="K72" s="81">
        <v>-342789.39084357535</v>
      </c>
      <c r="L72" s="81">
        <v>-190952</v>
      </c>
      <c r="M72" s="82">
        <v>78946</v>
      </c>
      <c r="N72" s="82">
        <v>48697.57027290623</v>
      </c>
      <c r="O72" s="214">
        <f t="shared" si="3"/>
        <v>328738.17688929476</v>
      </c>
      <c r="P72" s="215">
        <f t="shared" si="4"/>
        <v>68.31632936186507</v>
      </c>
      <c r="Q72" s="81"/>
      <c r="R72" s="223">
        <v>30847936</v>
      </c>
      <c r="S72" s="156">
        <v>14801552.2625</v>
      </c>
      <c r="T72" s="156">
        <v>1541574.708303168</v>
      </c>
      <c r="U72" s="156">
        <v>10827926.097506214</v>
      </c>
      <c r="V72" s="156">
        <v>2683339.5934062814</v>
      </c>
      <c r="W72" s="156">
        <v>933077.8016792721</v>
      </c>
      <c r="X72" s="214">
        <f t="shared" si="5"/>
        <v>-60465.536605063826</v>
      </c>
      <c r="Y72" s="215">
        <f t="shared" si="6"/>
        <v>-12.565572860570205</v>
      </c>
      <c r="Z72" s="81"/>
      <c r="AA72" s="94">
        <f t="shared" si="7"/>
        <v>389203.7134943586</v>
      </c>
      <c r="AB72" s="153">
        <f t="shared" si="8"/>
        <v>80.88190222243529</v>
      </c>
      <c r="AD72" s="216">
        <v>-369333.66417796316</v>
      </c>
      <c r="AE72" s="224">
        <v>-307384.6897545772</v>
      </c>
      <c r="AF72" s="224">
        <v>-239627.0421167623</v>
      </c>
      <c r="AG72" s="224">
        <v>-166529.49150925627</v>
      </c>
      <c r="AH72" s="225">
        <v>-93334.69575892444</v>
      </c>
      <c r="AJ72" s="81">
        <f t="shared" si="9"/>
        <v>8806179.2625</v>
      </c>
      <c r="AK72" s="81">
        <f t="shared" si="10"/>
        <v>513858.23610105587</v>
      </c>
      <c r="AL72" s="81">
        <f t="shared" si="11"/>
        <v>7997472.140024022</v>
      </c>
      <c r="AM72" s="81">
        <f t="shared" si="12"/>
        <v>19819112.07452508</v>
      </c>
      <c r="AN72" s="81">
        <f t="shared" si="13"/>
        <v>-369333.66417796316</v>
      </c>
      <c r="AO72" s="81">
        <f t="shared" si="14"/>
        <v>-307384.6897545772</v>
      </c>
      <c r="AP72" s="81">
        <f t="shared" si="15"/>
        <v>-239627.0421167623</v>
      </c>
      <c r="AQ72" s="81">
        <f t="shared" si="16"/>
        <v>-166529.49150925627</v>
      </c>
      <c r="AR72" s="81">
        <f t="shared" si="17"/>
        <v>-93334.69575892444</v>
      </c>
      <c r="AS72" s="82">
        <v>1050</v>
      </c>
      <c r="AT72" s="82"/>
      <c r="AU72" s="82"/>
      <c r="AV72" s="82">
        <f t="shared" si="18"/>
        <v>0</v>
      </c>
      <c r="AW72" s="82">
        <v>6803.57224353411</v>
      </c>
      <c r="AX72" s="149">
        <v>-1393.7407334405643</v>
      </c>
      <c r="AY72" s="81">
        <f t="shared" si="19"/>
        <v>-1818306.901834974</v>
      </c>
      <c r="AZ72" s="409"/>
      <c r="BA72" s="81"/>
      <c r="BB72" s="81"/>
      <c r="BC72" s="81"/>
      <c r="BD72" s="81"/>
      <c r="BE72" s="81"/>
      <c r="BF72" s="81"/>
      <c r="BG72" s="81"/>
    </row>
    <row r="73" spans="1:59" ht="12.75">
      <c r="A73" s="81">
        <v>172</v>
      </c>
      <c r="B73" s="81" t="s">
        <v>195</v>
      </c>
      <c r="C73" s="81">
        <v>13</v>
      </c>
      <c r="D73" s="81">
        <v>4467</v>
      </c>
      <c r="E73" s="100">
        <v>10692354.81922435</v>
      </c>
      <c r="F73" s="81">
        <v>4850975</v>
      </c>
      <c r="G73" s="81">
        <v>1664018.033398818</v>
      </c>
      <c r="H73" s="81">
        <v>1040091.390865296</v>
      </c>
      <c r="I73" s="156">
        <v>2220993.5189253017</v>
      </c>
      <c r="J73" s="156">
        <v>864901.6010551427</v>
      </c>
      <c r="K73" s="81">
        <v>-658596.1751315324</v>
      </c>
      <c r="L73" s="81">
        <v>34650</v>
      </c>
      <c r="M73" s="82">
        <v>122900</v>
      </c>
      <c r="N73" s="82">
        <v>40900.7692403724</v>
      </c>
      <c r="O73" s="214">
        <f t="shared" si="3"/>
        <v>-511520.6808709502</v>
      </c>
      <c r="P73" s="215">
        <f t="shared" si="4"/>
        <v>-114.5110098211216</v>
      </c>
      <c r="Q73" s="81"/>
      <c r="R73" s="223">
        <v>32600848</v>
      </c>
      <c r="S73" s="156">
        <v>12158767.549999999</v>
      </c>
      <c r="T73" s="156">
        <v>1560137.0862979442</v>
      </c>
      <c r="U73" s="156">
        <v>13260192.993311085</v>
      </c>
      <c r="V73" s="156">
        <v>2706154.838037675</v>
      </c>
      <c r="W73" s="156">
        <v>1821568.033398818</v>
      </c>
      <c r="X73" s="214">
        <f t="shared" si="5"/>
        <v>-1094027.4989544824</v>
      </c>
      <c r="Y73" s="215">
        <f t="shared" si="6"/>
        <v>-244.91325250827902</v>
      </c>
      <c r="Z73" s="81"/>
      <c r="AA73" s="94">
        <f t="shared" si="7"/>
        <v>582506.8180835322</v>
      </c>
      <c r="AB73" s="153">
        <f t="shared" si="8"/>
        <v>130.4022426871574</v>
      </c>
      <c r="AD73" s="216">
        <v>-564061.3670660071</v>
      </c>
      <c r="AE73" s="224">
        <v>-506553.87148220313</v>
      </c>
      <c r="AF73" s="224">
        <v>-443654.15992814687</v>
      </c>
      <c r="AG73" s="224">
        <v>-375797.39380933356</v>
      </c>
      <c r="AH73" s="225">
        <v>-307850.3546121739</v>
      </c>
      <c r="AJ73" s="81">
        <f t="shared" si="9"/>
        <v>7307792.549999999</v>
      </c>
      <c r="AK73" s="81">
        <f t="shared" si="10"/>
        <v>520045.6954326482</v>
      </c>
      <c r="AL73" s="81">
        <f t="shared" si="11"/>
        <v>11039199.474385783</v>
      </c>
      <c r="AM73" s="81">
        <f t="shared" si="12"/>
        <v>21908493.18077565</v>
      </c>
      <c r="AN73" s="81">
        <f t="shared" si="13"/>
        <v>-564061.3670660071</v>
      </c>
      <c r="AO73" s="81">
        <f t="shared" si="14"/>
        <v>-506553.87148220313</v>
      </c>
      <c r="AP73" s="81">
        <f t="shared" si="15"/>
        <v>-443654.15992814687</v>
      </c>
      <c r="AQ73" s="81">
        <f t="shared" si="16"/>
        <v>-375797.39380933356</v>
      </c>
      <c r="AR73" s="81">
        <f t="shared" si="17"/>
        <v>-307850.3546121739</v>
      </c>
      <c r="AS73" s="82">
        <v>1380</v>
      </c>
      <c r="AT73" s="82"/>
      <c r="AU73" s="82"/>
      <c r="AV73" s="82">
        <f t="shared" si="18"/>
        <v>0</v>
      </c>
      <c r="AW73" s="82">
        <v>9385.005492768132</v>
      </c>
      <c r="AX73" s="149">
        <v>-1833.992218360672</v>
      </c>
      <c r="AY73" s="81">
        <f t="shared" si="19"/>
        <v>-1841253.236982532</v>
      </c>
      <c r="AZ73" s="409"/>
      <c r="BA73" s="81"/>
      <c r="BB73" s="81"/>
      <c r="BC73" s="81"/>
      <c r="BD73" s="81"/>
      <c r="BE73" s="81"/>
      <c r="BF73" s="81"/>
      <c r="BG73" s="81"/>
    </row>
    <row r="74" spans="1:59" ht="12.75">
      <c r="A74" s="81">
        <v>176</v>
      </c>
      <c r="B74" s="81" t="s">
        <v>197</v>
      </c>
      <c r="C74" s="81">
        <v>12</v>
      </c>
      <c r="D74" s="81">
        <v>4709</v>
      </c>
      <c r="E74" s="100">
        <v>9668002.290210534</v>
      </c>
      <c r="F74" s="81">
        <v>4517659</v>
      </c>
      <c r="G74" s="81">
        <v>1175917.3683493761</v>
      </c>
      <c r="H74" s="81">
        <v>1135035.5313616705</v>
      </c>
      <c r="I74" s="156">
        <v>3610181.990846232</v>
      </c>
      <c r="J74" s="156">
        <v>913203.144565688</v>
      </c>
      <c r="K74" s="81">
        <v>-1478001.1715056787</v>
      </c>
      <c r="L74" s="81">
        <v>-263959</v>
      </c>
      <c r="M74" s="82">
        <v>465000</v>
      </c>
      <c r="N74" s="82">
        <v>39098.87150431504</v>
      </c>
      <c r="O74" s="214">
        <f t="shared" si="3"/>
        <v>446133.44491107017</v>
      </c>
      <c r="P74" s="215">
        <f t="shared" si="4"/>
        <v>94.74059140179872</v>
      </c>
      <c r="Q74" s="81"/>
      <c r="R74" s="223">
        <v>35949200</v>
      </c>
      <c r="S74" s="156">
        <v>11433121.32</v>
      </c>
      <c r="T74" s="156">
        <v>1702553.2970425056</v>
      </c>
      <c r="U74" s="156">
        <v>18457469.96802629</v>
      </c>
      <c r="V74" s="156">
        <v>2883925.5646901242</v>
      </c>
      <c r="W74" s="156">
        <v>1376958.3683493761</v>
      </c>
      <c r="X74" s="214">
        <f t="shared" si="5"/>
        <v>-95171.48189170659</v>
      </c>
      <c r="Y74" s="215">
        <f t="shared" si="6"/>
        <v>-20.210550412339476</v>
      </c>
      <c r="Z74" s="81"/>
      <c r="AA74" s="94">
        <f t="shared" si="7"/>
        <v>541304.9268027768</v>
      </c>
      <c r="AB74" s="153">
        <f t="shared" si="8"/>
        <v>114.9511418141382</v>
      </c>
      <c r="AD74" s="216">
        <v>-521860.1923408262</v>
      </c>
      <c r="AE74" s="224">
        <v>-461237.2246434603</v>
      </c>
      <c r="AF74" s="224">
        <v>-394929.9173436951</v>
      </c>
      <c r="AG74" s="224">
        <v>-323397.0067429582</v>
      </c>
      <c r="AH74" s="225">
        <v>-251768.93251429807</v>
      </c>
      <c r="AJ74" s="81">
        <f t="shared" si="9"/>
        <v>6915462.32</v>
      </c>
      <c r="AK74" s="81">
        <f t="shared" si="10"/>
        <v>567517.7656808351</v>
      </c>
      <c r="AL74" s="81">
        <f t="shared" si="11"/>
        <v>14847287.97718006</v>
      </c>
      <c r="AM74" s="81">
        <f t="shared" si="12"/>
        <v>26281197.709789466</v>
      </c>
      <c r="AN74" s="81">
        <f t="shared" si="13"/>
        <v>-521860.1923408262</v>
      </c>
      <c r="AO74" s="81">
        <f t="shared" si="14"/>
        <v>-461237.2246434603</v>
      </c>
      <c r="AP74" s="81">
        <f t="shared" si="15"/>
        <v>-394929.9173436951</v>
      </c>
      <c r="AQ74" s="81">
        <f t="shared" si="16"/>
        <v>-323397.0067429582</v>
      </c>
      <c r="AR74" s="81">
        <f t="shared" si="17"/>
        <v>-251768.93251429807</v>
      </c>
      <c r="AS74" s="82">
        <v>1824</v>
      </c>
      <c r="AT74" s="82"/>
      <c r="AU74" s="82"/>
      <c r="AV74" s="82">
        <f t="shared" si="18"/>
        <v>0</v>
      </c>
      <c r="AW74" s="82">
        <v>11795.633202673298</v>
      </c>
      <c r="AX74" s="149">
        <v>-2645.9506857554475</v>
      </c>
      <c r="AY74" s="81">
        <f t="shared" si="19"/>
        <v>-1970722.4201244363</v>
      </c>
      <c r="AZ74" s="409"/>
      <c r="BA74" s="81"/>
      <c r="BB74" s="81"/>
      <c r="BC74" s="81"/>
      <c r="BD74" s="81"/>
      <c r="BE74" s="81"/>
      <c r="BF74" s="81"/>
      <c r="BG74" s="81"/>
    </row>
    <row r="75" spans="1:59" ht="12.75">
      <c r="A75" s="81">
        <v>177</v>
      </c>
      <c r="B75" s="81" t="s">
        <v>198</v>
      </c>
      <c r="C75" s="81">
        <v>6</v>
      </c>
      <c r="D75" s="81">
        <v>1884</v>
      </c>
      <c r="E75" s="100">
        <v>4083493.5739880577</v>
      </c>
      <c r="F75" s="81">
        <v>2248047</v>
      </c>
      <c r="G75" s="81">
        <v>505408.3419467603</v>
      </c>
      <c r="H75" s="81">
        <v>705179.1613759199</v>
      </c>
      <c r="I75" s="156">
        <v>1006234.4601903581</v>
      </c>
      <c r="J75" s="156">
        <v>338898.9147511502</v>
      </c>
      <c r="K75" s="81">
        <v>-93984.84176026774</v>
      </c>
      <c r="L75" s="81">
        <v>-434688</v>
      </c>
      <c r="M75" s="82">
        <v>-20700</v>
      </c>
      <c r="N75" s="82">
        <v>19757.371752834148</v>
      </c>
      <c r="O75" s="214">
        <f t="shared" si="3"/>
        <v>190658.8342686966</v>
      </c>
      <c r="P75" s="215">
        <f t="shared" si="4"/>
        <v>101.19895661820415</v>
      </c>
      <c r="Q75" s="81"/>
      <c r="R75" s="223">
        <v>11685044</v>
      </c>
      <c r="S75" s="156">
        <v>5676743.52</v>
      </c>
      <c r="T75" s="156">
        <v>1057768.74206388</v>
      </c>
      <c r="U75" s="156">
        <v>4126098.1060392917</v>
      </c>
      <c r="V75" s="156">
        <v>1048383.38564757</v>
      </c>
      <c r="W75" s="156">
        <v>50020.34194676031</v>
      </c>
      <c r="X75" s="214">
        <f t="shared" si="5"/>
        <v>273970.0956975017</v>
      </c>
      <c r="Y75" s="215">
        <f t="shared" si="6"/>
        <v>145.4193713893321</v>
      </c>
      <c r="Z75" s="81"/>
      <c r="AA75" s="94">
        <f t="shared" si="7"/>
        <v>-83311.26142880507</v>
      </c>
      <c r="AB75" s="153">
        <f t="shared" si="8"/>
        <v>-44.220414771127956</v>
      </c>
      <c r="AD75" s="216">
        <v>91090.8069217562</v>
      </c>
      <c r="AE75" s="224">
        <v>58825.143541386155</v>
      </c>
      <c r="AF75" s="224">
        <v>28833.69885095455</v>
      </c>
      <c r="AG75" s="224">
        <v>2401.6779343161234</v>
      </c>
      <c r="AH75" s="225">
        <v>2798.9919812041444</v>
      </c>
      <c r="AJ75" s="81">
        <f t="shared" si="9"/>
        <v>3428696.5199999996</v>
      </c>
      <c r="AK75" s="81">
        <f t="shared" si="10"/>
        <v>352589.58068796</v>
      </c>
      <c r="AL75" s="81">
        <f t="shared" si="11"/>
        <v>3119863.6458489336</v>
      </c>
      <c r="AM75" s="81">
        <f t="shared" si="12"/>
        <v>7601550.426011942</v>
      </c>
      <c r="AN75" s="81">
        <f t="shared" si="13"/>
        <v>91090.8069217562</v>
      </c>
      <c r="AO75" s="81">
        <f t="shared" si="14"/>
        <v>58825.143541386155</v>
      </c>
      <c r="AP75" s="81">
        <f t="shared" si="15"/>
        <v>28833.69885095455</v>
      </c>
      <c r="AQ75" s="81">
        <f t="shared" si="16"/>
        <v>2401.6779343161234</v>
      </c>
      <c r="AR75" s="81">
        <f t="shared" si="17"/>
        <v>2798.9919812041444</v>
      </c>
      <c r="AS75" s="82">
        <v>517</v>
      </c>
      <c r="AT75" s="82"/>
      <c r="AU75" s="82"/>
      <c r="AV75" s="82">
        <f t="shared" si="18"/>
        <v>0</v>
      </c>
      <c r="AW75" s="82">
        <v>2567.783049958078</v>
      </c>
      <c r="AX75" s="149">
        <v>-421.4460682783957</v>
      </c>
      <c r="AY75" s="81">
        <f t="shared" si="19"/>
        <v>-709484.4708964198</v>
      </c>
      <c r="AZ75" s="409"/>
      <c r="BA75" s="81"/>
      <c r="BB75" s="81"/>
      <c r="BC75" s="81"/>
      <c r="BD75" s="81"/>
      <c r="BE75" s="81"/>
      <c r="BF75" s="81"/>
      <c r="BG75" s="81"/>
    </row>
    <row r="76" spans="1:59" ht="12.75">
      <c r="A76" s="81">
        <v>178</v>
      </c>
      <c r="B76" s="81" t="s">
        <v>199</v>
      </c>
      <c r="C76" s="81">
        <v>10</v>
      </c>
      <c r="D76" s="81">
        <v>6225</v>
      </c>
      <c r="E76" s="100">
        <v>15853572.886554353</v>
      </c>
      <c r="F76" s="81">
        <v>6438711</v>
      </c>
      <c r="G76" s="81">
        <v>1406802.001876874</v>
      </c>
      <c r="H76" s="81">
        <v>1744560.0119699135</v>
      </c>
      <c r="I76" s="156">
        <v>3339201.7913832525</v>
      </c>
      <c r="J76" s="156">
        <v>1232262.5888876738</v>
      </c>
      <c r="K76" s="81">
        <v>1349170.5019356688</v>
      </c>
      <c r="L76" s="81">
        <v>-563524</v>
      </c>
      <c r="M76" s="82">
        <v>356831</v>
      </c>
      <c r="N76" s="82">
        <v>55800.81882856414</v>
      </c>
      <c r="O76" s="214">
        <f t="shared" si="3"/>
        <v>-493757.17167240754</v>
      </c>
      <c r="P76" s="215">
        <f t="shared" si="4"/>
        <v>-79.31842115219398</v>
      </c>
      <c r="Q76" s="81"/>
      <c r="R76" s="223">
        <v>43881852</v>
      </c>
      <c r="S76" s="156">
        <v>16245931.45</v>
      </c>
      <c r="T76" s="156">
        <v>2616840.01795487</v>
      </c>
      <c r="U76" s="156">
        <v>20184265.710160207</v>
      </c>
      <c r="V76" s="156">
        <v>3879485.4679533425</v>
      </c>
      <c r="W76" s="156">
        <v>1200109.001876874</v>
      </c>
      <c r="X76" s="214">
        <f t="shared" si="5"/>
        <v>244779.64794529974</v>
      </c>
      <c r="Y76" s="215">
        <f t="shared" si="6"/>
        <v>39.32203179844173</v>
      </c>
      <c r="Z76" s="81"/>
      <c r="AA76" s="94">
        <f t="shared" si="7"/>
        <v>-738536.8196177073</v>
      </c>
      <c r="AB76" s="153">
        <f t="shared" si="8"/>
        <v>-118.6404529506357</v>
      </c>
      <c r="AD76" s="216">
        <v>764241.5280538073</v>
      </c>
      <c r="AE76" s="224">
        <v>657631.2549419159</v>
      </c>
      <c r="AF76" s="224">
        <v>558535.319061907</v>
      </c>
      <c r="AG76" s="224">
        <v>466347.30005353736</v>
      </c>
      <c r="AH76" s="225">
        <v>374285.0813390352</v>
      </c>
      <c r="AJ76" s="81">
        <f t="shared" si="9"/>
        <v>9807220.45</v>
      </c>
      <c r="AK76" s="81">
        <f t="shared" si="10"/>
        <v>872280.0059849566</v>
      </c>
      <c r="AL76" s="81">
        <f t="shared" si="11"/>
        <v>16845063.918776955</v>
      </c>
      <c r="AM76" s="81">
        <f t="shared" si="12"/>
        <v>28028279.113445647</v>
      </c>
      <c r="AN76" s="81">
        <f t="shared" si="13"/>
        <v>764241.5280538073</v>
      </c>
      <c r="AO76" s="81">
        <f t="shared" si="14"/>
        <v>657631.2549419159</v>
      </c>
      <c r="AP76" s="81">
        <f t="shared" si="15"/>
        <v>558535.319061907</v>
      </c>
      <c r="AQ76" s="81">
        <f t="shared" si="16"/>
        <v>466347.30005353736</v>
      </c>
      <c r="AR76" s="81">
        <f t="shared" si="17"/>
        <v>374285.0813390352</v>
      </c>
      <c r="AS76" s="82">
        <v>1811</v>
      </c>
      <c r="AT76" s="82"/>
      <c r="AU76" s="82"/>
      <c r="AV76" s="82">
        <f t="shared" si="18"/>
        <v>0</v>
      </c>
      <c r="AW76" s="82">
        <v>14251.528336970048</v>
      </c>
      <c r="AX76" s="149">
        <v>-2805.1091187407214</v>
      </c>
      <c r="AY76" s="81">
        <f t="shared" si="19"/>
        <v>-2647222.8790656687</v>
      </c>
      <c r="AZ76" s="409"/>
      <c r="BA76" s="81"/>
      <c r="BB76" s="81"/>
      <c r="BC76" s="81"/>
      <c r="BD76" s="81"/>
      <c r="BE76" s="81"/>
      <c r="BF76" s="81"/>
      <c r="BG76" s="81"/>
    </row>
    <row r="77" spans="1:59" ht="12.75">
      <c r="A77" s="81">
        <v>179</v>
      </c>
      <c r="B77" s="81" t="s">
        <v>200</v>
      </c>
      <c r="C77" s="81">
        <v>13</v>
      </c>
      <c r="D77" s="81">
        <v>141305</v>
      </c>
      <c r="E77" s="100">
        <v>326850917.142317</v>
      </c>
      <c r="F77" s="81">
        <v>170301505</v>
      </c>
      <c r="G77" s="81">
        <v>49771158.55427192</v>
      </c>
      <c r="H77" s="81">
        <v>17187619.846277867</v>
      </c>
      <c r="I77" s="156">
        <v>64208867.38986687</v>
      </c>
      <c r="J77" s="156">
        <v>19548393.755160235</v>
      </c>
      <c r="K77" s="81">
        <v>7130560.742713986</v>
      </c>
      <c r="L77" s="81">
        <v>-21838499</v>
      </c>
      <c r="M77" s="82">
        <v>11093000</v>
      </c>
      <c r="N77" s="82">
        <v>1623494.526715618</v>
      </c>
      <c r="O77" s="214">
        <f t="shared" si="3"/>
        <v>-7824816.3273105025</v>
      </c>
      <c r="P77" s="215">
        <f t="shared" si="4"/>
        <v>-55.3753676608082</v>
      </c>
      <c r="Q77" s="81"/>
      <c r="R77" s="223">
        <v>767399388</v>
      </c>
      <c r="S77" s="156">
        <v>472421962.40000004</v>
      </c>
      <c r="T77" s="156">
        <v>25781429.769416798</v>
      </c>
      <c r="U77" s="156">
        <v>174941774.54195976</v>
      </c>
      <c r="V77" s="156">
        <v>58999091.32868126</v>
      </c>
      <c r="W77" s="156">
        <v>39025659.55427192</v>
      </c>
      <c r="X77" s="214">
        <f t="shared" si="5"/>
        <v>3770529.594329834</v>
      </c>
      <c r="Y77" s="215">
        <f t="shared" si="6"/>
        <v>26.68362474314309</v>
      </c>
      <c r="Z77" s="81"/>
      <c r="AA77" s="94">
        <f t="shared" si="7"/>
        <v>-11595345.921640337</v>
      </c>
      <c r="AB77" s="153">
        <f t="shared" si="8"/>
        <v>-82.05899240395128</v>
      </c>
      <c r="AD77" s="216">
        <v>12178832.4799639</v>
      </c>
      <c r="AE77" s="224">
        <v>9758822.095694691</v>
      </c>
      <c r="AF77" s="224">
        <v>7509384.1487831</v>
      </c>
      <c r="AG77" s="224">
        <v>5416753.140593915</v>
      </c>
      <c r="AH77" s="225">
        <v>3326977.748553316</v>
      </c>
      <c r="AJ77" s="81">
        <f t="shared" si="9"/>
        <v>302120457.40000004</v>
      </c>
      <c r="AK77" s="81">
        <f t="shared" si="10"/>
        <v>8593809.923138931</v>
      </c>
      <c r="AL77" s="81">
        <f t="shared" si="11"/>
        <v>110732907.15209289</v>
      </c>
      <c r="AM77" s="81">
        <f t="shared" si="12"/>
        <v>440548470.857683</v>
      </c>
      <c r="AN77" s="81">
        <f t="shared" si="13"/>
        <v>12178832.4799639</v>
      </c>
      <c r="AO77" s="81">
        <f t="shared" si="14"/>
        <v>9758822.095694691</v>
      </c>
      <c r="AP77" s="81">
        <f t="shared" si="15"/>
        <v>7509384.1487831</v>
      </c>
      <c r="AQ77" s="81">
        <f t="shared" si="16"/>
        <v>5416753.140593915</v>
      </c>
      <c r="AR77" s="81">
        <f t="shared" si="17"/>
        <v>3326977.748553316</v>
      </c>
      <c r="AS77" s="82">
        <v>53776</v>
      </c>
      <c r="AT77" s="82">
        <v>1571</v>
      </c>
      <c r="AU77" s="82">
        <v>1019</v>
      </c>
      <c r="AV77" s="82">
        <f t="shared" si="18"/>
        <v>2590</v>
      </c>
      <c r="AW77" s="82">
        <v>88459.9351549733</v>
      </c>
      <c r="AX77" s="149">
        <v>-16581.371054985957</v>
      </c>
      <c r="AY77" s="81">
        <f t="shared" si="19"/>
        <v>-39450697.573521025</v>
      </c>
      <c r="AZ77" s="409"/>
      <c r="BA77" s="81"/>
      <c r="BB77" s="81"/>
      <c r="BC77" s="81"/>
      <c r="BD77" s="81"/>
      <c r="BE77" s="81"/>
      <c r="BF77" s="81"/>
      <c r="BG77" s="81"/>
    </row>
    <row r="78" spans="1:59" ht="12.75">
      <c r="A78" s="81">
        <v>181</v>
      </c>
      <c r="B78" s="81" t="s">
        <v>201</v>
      </c>
      <c r="C78" s="81">
        <v>4</v>
      </c>
      <c r="D78" s="81">
        <v>1809</v>
      </c>
      <c r="E78" s="100">
        <v>4158018.9329080824</v>
      </c>
      <c r="F78" s="81">
        <v>2208972</v>
      </c>
      <c r="G78" s="81">
        <v>654408.9518995753</v>
      </c>
      <c r="H78" s="81">
        <v>178706.3738711328</v>
      </c>
      <c r="I78" s="156">
        <v>1491032.2218838765</v>
      </c>
      <c r="J78" s="156">
        <v>381030.4810944261</v>
      </c>
      <c r="K78" s="81">
        <v>-348311.4514710564</v>
      </c>
      <c r="L78" s="81">
        <v>-415291</v>
      </c>
      <c r="M78" s="82">
        <v>-39325</v>
      </c>
      <c r="N78" s="82">
        <v>14550.360124824088</v>
      </c>
      <c r="O78" s="214">
        <f t="shared" si="3"/>
        <v>-32245.995505304076</v>
      </c>
      <c r="P78" s="215">
        <f t="shared" si="4"/>
        <v>-17.825315370538462</v>
      </c>
      <c r="Q78" s="81"/>
      <c r="R78" s="223">
        <v>11638424</v>
      </c>
      <c r="S78" s="156">
        <v>4904355.325</v>
      </c>
      <c r="T78" s="156">
        <v>268059.5608066992</v>
      </c>
      <c r="U78" s="156">
        <v>4791143.530850784</v>
      </c>
      <c r="V78" s="156">
        <v>1201268.5018545883</v>
      </c>
      <c r="W78" s="156">
        <v>199792.9518995753</v>
      </c>
      <c r="X78" s="214">
        <f t="shared" si="5"/>
        <v>-273804.1295883544</v>
      </c>
      <c r="Y78" s="215">
        <f t="shared" si="6"/>
        <v>-151.35662221578463</v>
      </c>
      <c r="Z78" s="81"/>
      <c r="AA78" s="94">
        <f t="shared" si="7"/>
        <v>241558.1340830503</v>
      </c>
      <c r="AB78" s="153">
        <f t="shared" si="8"/>
        <v>133.53130684524615</v>
      </c>
      <c r="AD78" s="216">
        <v>-234088.28387245865</v>
      </c>
      <c r="AE78" s="224">
        <v>-210799.48613099873</v>
      </c>
      <c r="AF78" s="224">
        <v>-185327.00388311697</v>
      </c>
      <c r="AG78" s="224">
        <v>-157847.06434675402</v>
      </c>
      <c r="AH78" s="225">
        <v>-130330.56694185997</v>
      </c>
      <c r="AJ78" s="81">
        <f t="shared" si="9"/>
        <v>2695383.325</v>
      </c>
      <c r="AK78" s="81">
        <f t="shared" si="10"/>
        <v>89353.18693556642</v>
      </c>
      <c r="AL78" s="81">
        <f t="shared" si="11"/>
        <v>3300111.3089669077</v>
      </c>
      <c r="AM78" s="81">
        <f t="shared" si="12"/>
        <v>7480405.067091918</v>
      </c>
      <c r="AN78" s="81">
        <f t="shared" si="13"/>
        <v>-234088.28387245865</v>
      </c>
      <c r="AO78" s="81">
        <f t="shared" si="14"/>
        <v>-210799.48613099873</v>
      </c>
      <c r="AP78" s="81">
        <f t="shared" si="15"/>
        <v>-185327.00388311697</v>
      </c>
      <c r="AQ78" s="81">
        <f t="shared" si="16"/>
        <v>-157847.06434675402</v>
      </c>
      <c r="AR78" s="81">
        <f t="shared" si="17"/>
        <v>-130330.56694185997</v>
      </c>
      <c r="AS78" s="82">
        <v>361</v>
      </c>
      <c r="AT78" s="82"/>
      <c r="AU78" s="82">
        <v>6</v>
      </c>
      <c r="AV78" s="82">
        <f t="shared" si="18"/>
        <v>6</v>
      </c>
      <c r="AW78" s="82">
        <v>2381.744387716353</v>
      </c>
      <c r="AX78" s="149">
        <v>-942.4403141388069</v>
      </c>
      <c r="AY78" s="81">
        <f t="shared" si="19"/>
        <v>-820238.0207601622</v>
      </c>
      <c r="AZ78" s="409"/>
      <c r="BA78" s="81"/>
      <c r="BB78" s="81"/>
      <c r="BC78" s="81"/>
      <c r="BD78" s="81"/>
      <c r="BE78" s="81"/>
      <c r="BF78" s="81"/>
      <c r="BG78" s="81"/>
    </row>
    <row r="79" spans="1:59" ht="12.75">
      <c r="A79" s="81">
        <v>182</v>
      </c>
      <c r="B79" s="81" t="s">
        <v>128</v>
      </c>
      <c r="C79" s="81">
        <v>13</v>
      </c>
      <c r="D79" s="81">
        <v>20607</v>
      </c>
      <c r="E79" s="100">
        <v>45333019.18008697</v>
      </c>
      <c r="F79" s="81">
        <v>27965305</v>
      </c>
      <c r="G79" s="81">
        <v>5815691.869726608</v>
      </c>
      <c r="H79" s="81">
        <v>6785584.483877338</v>
      </c>
      <c r="I79" s="156">
        <v>4904037.7345763985</v>
      </c>
      <c r="J79" s="156">
        <v>3160344.2427986935</v>
      </c>
      <c r="K79" s="81">
        <v>-1261324.4297558076</v>
      </c>
      <c r="L79" s="81">
        <v>-1912489</v>
      </c>
      <c r="M79" s="82">
        <v>1175770</v>
      </c>
      <c r="N79" s="82">
        <v>246420.68845344742</v>
      </c>
      <c r="O79" s="214">
        <f t="shared" si="3"/>
        <v>1546321.4095897079</v>
      </c>
      <c r="P79" s="215">
        <f t="shared" si="4"/>
        <v>75.03864752703974</v>
      </c>
      <c r="Q79" s="81"/>
      <c r="R79" s="223">
        <v>135472540</v>
      </c>
      <c r="S79" s="156">
        <v>71734004.47</v>
      </c>
      <c r="T79" s="156">
        <v>10178376.725816006</v>
      </c>
      <c r="U79" s="156">
        <v>40834256.554212615</v>
      </c>
      <c r="V79" s="156">
        <v>9555308.598202368</v>
      </c>
      <c r="W79" s="156">
        <v>5078972.869726608</v>
      </c>
      <c r="X79" s="214">
        <f t="shared" si="5"/>
        <v>1908379.217957586</v>
      </c>
      <c r="Y79" s="215">
        <f t="shared" si="6"/>
        <v>92.60829902254505</v>
      </c>
      <c r="Z79" s="81"/>
      <c r="AA79" s="94">
        <f t="shared" si="7"/>
        <v>-362057.8083678782</v>
      </c>
      <c r="AB79" s="153">
        <f t="shared" si="8"/>
        <v>-17.569651495505322</v>
      </c>
      <c r="AD79" s="216">
        <v>447149.684149865</v>
      </c>
      <c r="AE79" s="224">
        <v>94231.14631584905</v>
      </c>
      <c r="AF79" s="224">
        <v>22339.972376992282</v>
      </c>
      <c r="AG79" s="224">
        <v>26269.30848856282</v>
      </c>
      <c r="AH79" s="225">
        <v>30615.08904282049</v>
      </c>
      <c r="AJ79" s="81">
        <f t="shared" si="9"/>
        <v>43768699.47</v>
      </c>
      <c r="AK79" s="81">
        <f t="shared" si="10"/>
        <v>3392792.2419386683</v>
      </c>
      <c r="AL79" s="81">
        <f t="shared" si="11"/>
        <v>35930218.81963622</v>
      </c>
      <c r="AM79" s="81">
        <f t="shared" si="12"/>
        <v>90139520.81991303</v>
      </c>
      <c r="AN79" s="81">
        <f t="shared" si="13"/>
        <v>447149.684149865</v>
      </c>
      <c r="AO79" s="81">
        <f t="shared" si="14"/>
        <v>94231.14631584905</v>
      </c>
      <c r="AP79" s="81">
        <f t="shared" si="15"/>
        <v>22339.972376992282</v>
      </c>
      <c r="AQ79" s="81">
        <f t="shared" si="16"/>
        <v>26269.30848856282</v>
      </c>
      <c r="AR79" s="81">
        <f t="shared" si="17"/>
        <v>30615.08904282049</v>
      </c>
      <c r="AS79" s="82">
        <v>8110</v>
      </c>
      <c r="AT79" s="82">
        <v>8</v>
      </c>
      <c r="AU79" s="82"/>
      <c r="AV79" s="82">
        <f t="shared" si="18"/>
        <v>8</v>
      </c>
      <c r="AW79" s="82">
        <v>33702.661592099656</v>
      </c>
      <c r="AX79" s="149">
        <v>-1192.3304839683976</v>
      </c>
      <c r="AY79" s="81">
        <f t="shared" si="19"/>
        <v>-6394964.355403675</v>
      </c>
      <c r="AZ79" s="409"/>
      <c r="BA79" s="81"/>
      <c r="BB79" s="81"/>
      <c r="BC79" s="81"/>
      <c r="BD79" s="81"/>
      <c r="BE79" s="81"/>
      <c r="BF79" s="81"/>
      <c r="BG79" s="81"/>
    </row>
    <row r="80" spans="1:59" ht="12.75">
      <c r="A80" s="81">
        <v>186</v>
      </c>
      <c r="B80" s="81" t="s">
        <v>202</v>
      </c>
      <c r="C80" s="81">
        <v>1</v>
      </c>
      <c r="D80" s="81">
        <v>43410</v>
      </c>
      <c r="E80" s="100">
        <v>115866145.87235588</v>
      </c>
      <c r="F80" s="81">
        <v>62209262</v>
      </c>
      <c r="G80" s="81">
        <v>13946840.301898075</v>
      </c>
      <c r="H80" s="81">
        <v>2719731.996761472</v>
      </c>
      <c r="I80" s="156">
        <v>17243534.374757975</v>
      </c>
      <c r="J80" s="156">
        <v>5043309.808235906</v>
      </c>
      <c r="K80" s="81">
        <v>-7130806.25480001</v>
      </c>
      <c r="L80" s="81">
        <v>-823418</v>
      </c>
      <c r="M80" s="82">
        <v>-303965</v>
      </c>
      <c r="N80" s="82">
        <v>622098.6753272663</v>
      </c>
      <c r="O80" s="214">
        <f t="shared" si="3"/>
        <v>-22339557.97017519</v>
      </c>
      <c r="P80" s="215">
        <f t="shared" si="4"/>
        <v>-514.6177832337063</v>
      </c>
      <c r="Q80" s="81"/>
      <c r="R80" s="223">
        <v>265476036</v>
      </c>
      <c r="S80" s="156">
        <v>179910428.1925</v>
      </c>
      <c r="T80" s="156">
        <v>4079597.995142208</v>
      </c>
      <c r="U80" s="156">
        <v>27922701.636563264</v>
      </c>
      <c r="V80" s="156">
        <v>14554457.783091292</v>
      </c>
      <c r="W80" s="156">
        <v>12819457.301898075</v>
      </c>
      <c r="X80" s="214">
        <f t="shared" si="5"/>
        <v>-26189393.090805173</v>
      </c>
      <c r="Y80" s="215">
        <f t="shared" si="6"/>
        <v>-603.3032271551525</v>
      </c>
      <c r="Z80" s="81"/>
      <c r="AA80" s="94">
        <f t="shared" si="7"/>
        <v>3849835.120629981</v>
      </c>
      <c r="AB80" s="153">
        <f t="shared" si="8"/>
        <v>88.68544392144624</v>
      </c>
      <c r="AD80" s="216">
        <v>-3670583.491198427</v>
      </c>
      <c r="AE80" s="224">
        <v>-3111729.5885136398</v>
      </c>
      <c r="AF80" s="224">
        <v>-2500474.5004094127</v>
      </c>
      <c r="AG80" s="224">
        <v>-1841047.0956147667</v>
      </c>
      <c r="AH80" s="225">
        <v>-1180742.4232286685</v>
      </c>
      <c r="AJ80" s="81">
        <f t="shared" si="9"/>
        <v>117701166.1925</v>
      </c>
      <c r="AK80" s="81">
        <f t="shared" si="10"/>
        <v>1359865.998380736</v>
      </c>
      <c r="AL80" s="81">
        <f t="shared" si="11"/>
        <v>10679167.261805288</v>
      </c>
      <c r="AM80" s="81">
        <f t="shared" si="12"/>
        <v>149609890.12764412</v>
      </c>
      <c r="AN80" s="81">
        <f t="shared" si="13"/>
        <v>-3670583.491198427</v>
      </c>
      <c r="AO80" s="81">
        <f t="shared" si="14"/>
        <v>-3111729.5885136398</v>
      </c>
      <c r="AP80" s="81">
        <f t="shared" si="15"/>
        <v>-2500474.5004094127</v>
      </c>
      <c r="AQ80" s="81">
        <f t="shared" si="16"/>
        <v>-1841047.0956147667</v>
      </c>
      <c r="AR80" s="81">
        <f t="shared" si="17"/>
        <v>-1180742.4232286685</v>
      </c>
      <c r="AS80" s="82">
        <v>23684</v>
      </c>
      <c r="AT80" s="82">
        <v>19</v>
      </c>
      <c r="AU80" s="82">
        <v>7</v>
      </c>
      <c r="AV80" s="82">
        <f t="shared" si="18"/>
        <v>26</v>
      </c>
      <c r="AW80" s="82">
        <v>17963.986396678978</v>
      </c>
      <c r="AX80" s="149">
        <v>7835.554248064949</v>
      </c>
      <c r="AY80" s="81">
        <f t="shared" si="19"/>
        <v>-9511147.974855386</v>
      </c>
      <c r="AZ80" s="409"/>
      <c r="BA80" s="81"/>
      <c r="BB80" s="81"/>
      <c r="BC80" s="81"/>
      <c r="BD80" s="81"/>
      <c r="BE80" s="81"/>
      <c r="BF80" s="81"/>
      <c r="BG80" s="81"/>
    </row>
    <row r="81" spans="1:59" ht="12.75">
      <c r="A81" s="81">
        <v>202</v>
      </c>
      <c r="B81" s="81" t="s">
        <v>203</v>
      </c>
      <c r="C81" s="81">
        <v>2</v>
      </c>
      <c r="D81" s="81">
        <v>33458</v>
      </c>
      <c r="E81" s="100">
        <v>80386759.64690958</v>
      </c>
      <c r="F81" s="81">
        <v>47228005</v>
      </c>
      <c r="G81" s="81">
        <v>7014162.071282624</v>
      </c>
      <c r="H81" s="81">
        <v>3384575.8042928833</v>
      </c>
      <c r="I81" s="156">
        <v>18195159.636469223</v>
      </c>
      <c r="J81" s="156">
        <v>3727213.3216444477</v>
      </c>
      <c r="K81" s="81">
        <v>-95587.00278844035</v>
      </c>
      <c r="L81" s="81">
        <v>-2710044</v>
      </c>
      <c r="M81" s="82">
        <v>-900000</v>
      </c>
      <c r="N81" s="82">
        <v>475081.8007711007</v>
      </c>
      <c r="O81" s="214">
        <f t="shared" si="3"/>
        <v>-4068193.0152377337</v>
      </c>
      <c r="P81" s="215">
        <f t="shared" si="4"/>
        <v>-121.59103996765299</v>
      </c>
      <c r="Q81" s="81"/>
      <c r="R81" s="223">
        <v>189774480</v>
      </c>
      <c r="S81" s="156">
        <v>136459764.71</v>
      </c>
      <c r="T81" s="156">
        <v>5076863.706439325</v>
      </c>
      <c r="U81" s="156">
        <v>30078454.7109107</v>
      </c>
      <c r="V81" s="156">
        <v>10720379.802768715</v>
      </c>
      <c r="W81" s="156">
        <v>3404118.0712826243</v>
      </c>
      <c r="X81" s="214">
        <f t="shared" si="5"/>
        <v>-4034898.998598635</v>
      </c>
      <c r="Y81" s="215">
        <f t="shared" si="6"/>
        <v>-120.59594113810255</v>
      </c>
      <c r="Z81" s="81"/>
      <c r="AA81" s="94">
        <f t="shared" si="7"/>
        <v>-33294.016639098525</v>
      </c>
      <c r="AB81" s="153">
        <f t="shared" si="8"/>
        <v>-0.9950988295504372</v>
      </c>
      <c r="AD81" s="216">
        <v>171451.1467363338</v>
      </c>
      <c r="AE81" s="224">
        <v>67020.46057471815</v>
      </c>
      <c r="AF81" s="224">
        <v>36271.693880206134</v>
      </c>
      <c r="AG81" s="224">
        <v>42651.45452566288</v>
      </c>
      <c r="AH81" s="225">
        <v>49707.36396344387</v>
      </c>
      <c r="AJ81" s="81">
        <f t="shared" si="9"/>
        <v>89231759.71000001</v>
      </c>
      <c r="AK81" s="81">
        <f t="shared" si="10"/>
        <v>1692287.9021464414</v>
      </c>
      <c r="AL81" s="81">
        <f t="shared" si="11"/>
        <v>11883295.074441478</v>
      </c>
      <c r="AM81" s="81">
        <f t="shared" si="12"/>
        <v>109387720.35309042</v>
      </c>
      <c r="AN81" s="81">
        <f t="shared" si="13"/>
        <v>171451.1467363338</v>
      </c>
      <c r="AO81" s="81">
        <f t="shared" si="14"/>
        <v>67020.46057471815</v>
      </c>
      <c r="AP81" s="81">
        <f t="shared" si="15"/>
        <v>36271.693880206134</v>
      </c>
      <c r="AQ81" s="81">
        <f t="shared" si="16"/>
        <v>42651.45452566288</v>
      </c>
      <c r="AR81" s="81">
        <f t="shared" si="17"/>
        <v>49707.36396344387</v>
      </c>
      <c r="AS81" s="82">
        <v>11670</v>
      </c>
      <c r="AT81" s="82">
        <v>412</v>
      </c>
      <c r="AU81" s="82"/>
      <c r="AV81" s="82">
        <f t="shared" si="18"/>
        <v>412</v>
      </c>
      <c r="AW81" s="82">
        <v>17585.522114333566</v>
      </c>
      <c r="AX81" s="149">
        <v>5526.941381229547</v>
      </c>
      <c r="AY81" s="81">
        <f t="shared" si="19"/>
        <v>-6993166.481124267</v>
      </c>
      <c r="AZ81" s="409"/>
      <c r="BA81" s="81"/>
      <c r="BB81" s="81"/>
      <c r="BC81" s="81"/>
      <c r="BD81" s="81"/>
      <c r="BE81" s="81"/>
      <c r="BF81" s="81"/>
      <c r="BG81" s="81"/>
    </row>
    <row r="82" spans="1:59" ht="12.75">
      <c r="A82" s="81">
        <v>204</v>
      </c>
      <c r="B82" s="81" t="s">
        <v>204</v>
      </c>
      <c r="C82" s="81">
        <v>11</v>
      </c>
      <c r="D82" s="81">
        <v>2990</v>
      </c>
      <c r="E82" s="100">
        <v>5839372.814716142</v>
      </c>
      <c r="F82" s="81">
        <v>3262541</v>
      </c>
      <c r="G82" s="81">
        <v>1106357.783703282</v>
      </c>
      <c r="H82" s="81">
        <v>773303.0972036832</v>
      </c>
      <c r="I82" s="156">
        <v>2279762.583510185</v>
      </c>
      <c r="J82" s="156">
        <v>573846.1856588703</v>
      </c>
      <c r="K82" s="81">
        <v>-1063915.4601977072</v>
      </c>
      <c r="L82" s="81">
        <v>-536287</v>
      </c>
      <c r="M82" s="82">
        <v>112500</v>
      </c>
      <c r="N82" s="82">
        <v>24390.154806314953</v>
      </c>
      <c r="O82" s="214">
        <f t="shared" si="3"/>
        <v>693125.5299684871</v>
      </c>
      <c r="P82" s="215">
        <f t="shared" si="4"/>
        <v>231.81455851788866</v>
      </c>
      <c r="Q82" s="81"/>
      <c r="R82" s="223">
        <v>22933932</v>
      </c>
      <c r="S82" s="156">
        <v>7543825.78</v>
      </c>
      <c r="T82" s="156">
        <v>1159954.645805525</v>
      </c>
      <c r="U82" s="156">
        <v>11295886.651844928</v>
      </c>
      <c r="V82" s="156">
        <v>1803925.2314112997</v>
      </c>
      <c r="W82" s="156">
        <v>682570.783703282</v>
      </c>
      <c r="X82" s="214">
        <f t="shared" si="5"/>
        <v>-447768.90723496675</v>
      </c>
      <c r="Y82" s="215">
        <f t="shared" si="6"/>
        <v>-149.7554873695541</v>
      </c>
      <c r="Z82" s="81"/>
      <c r="AA82" s="94">
        <f t="shared" si="7"/>
        <v>1140894.4372034539</v>
      </c>
      <c r="AB82" s="153">
        <f t="shared" si="8"/>
        <v>381.57004588744275</v>
      </c>
      <c r="AD82" s="216">
        <v>-1128547.9186132543</v>
      </c>
      <c r="AE82" s="224">
        <v>-1090055.1020035448</v>
      </c>
      <c r="AF82" s="224">
        <v>-1047952.9892776373</v>
      </c>
      <c r="AG82" s="224">
        <v>-1002532.8570423</v>
      </c>
      <c r="AH82" s="225">
        <v>-957052.3002481412</v>
      </c>
      <c r="AJ82" s="81">
        <f t="shared" si="9"/>
        <v>4281284.78</v>
      </c>
      <c r="AK82" s="81">
        <f t="shared" si="10"/>
        <v>386651.54860184167</v>
      </c>
      <c r="AL82" s="81">
        <f t="shared" si="11"/>
        <v>9016124.068334743</v>
      </c>
      <c r="AM82" s="81">
        <f t="shared" si="12"/>
        <v>17094559.18528386</v>
      </c>
      <c r="AN82" s="81">
        <f t="shared" si="13"/>
        <v>-1128547.9186132543</v>
      </c>
      <c r="AO82" s="81">
        <f t="shared" si="14"/>
        <v>-1090055.1020035448</v>
      </c>
      <c r="AP82" s="81">
        <f t="shared" si="15"/>
        <v>-1047952.9892776373</v>
      </c>
      <c r="AQ82" s="81">
        <f t="shared" si="16"/>
        <v>-1002532.8570423</v>
      </c>
      <c r="AR82" s="81">
        <f t="shared" si="17"/>
        <v>-957052.3002481412</v>
      </c>
      <c r="AS82" s="82">
        <v>797</v>
      </c>
      <c r="AT82" s="82"/>
      <c r="AU82" s="82"/>
      <c r="AV82" s="82">
        <f t="shared" si="18"/>
        <v>0</v>
      </c>
      <c r="AW82" s="82">
        <v>7711.996915611796</v>
      </c>
      <c r="AX82" s="149">
        <v>-1760.0793043697909</v>
      </c>
      <c r="AY82" s="81">
        <f t="shared" si="19"/>
        <v>-1230079.0457524294</v>
      </c>
      <c r="AZ82" s="409"/>
      <c r="BA82" s="81"/>
      <c r="BB82" s="81"/>
      <c r="BC82" s="81"/>
      <c r="BD82" s="81"/>
      <c r="BE82" s="81"/>
      <c r="BF82" s="81"/>
      <c r="BG82" s="81"/>
    </row>
    <row r="83" spans="1:59" ht="12.75">
      <c r="A83" s="81">
        <v>205</v>
      </c>
      <c r="B83" s="81" t="s">
        <v>205</v>
      </c>
      <c r="C83" s="81">
        <v>18</v>
      </c>
      <c r="D83" s="81">
        <v>36973</v>
      </c>
      <c r="E83" s="100">
        <v>129928632.56984445</v>
      </c>
      <c r="F83" s="81">
        <v>49689458</v>
      </c>
      <c r="G83" s="81">
        <v>10425403.362881664</v>
      </c>
      <c r="H83" s="81">
        <v>3393708.0672093984</v>
      </c>
      <c r="I83" s="156">
        <v>22399410.660853792</v>
      </c>
      <c r="J83" s="156">
        <v>5371354.298069606</v>
      </c>
      <c r="K83" s="81">
        <v>-7933095.951297017</v>
      </c>
      <c r="L83" s="81">
        <v>27443706</v>
      </c>
      <c r="M83" s="82">
        <v>9752000</v>
      </c>
      <c r="N83" s="82">
        <v>407973.1869066136</v>
      </c>
      <c r="O83" s="214">
        <f t="shared" si="3"/>
        <v>-8978714.945220396</v>
      </c>
      <c r="P83" s="215">
        <f t="shared" si="4"/>
        <v>-242.84518284208465</v>
      </c>
      <c r="Q83" s="81"/>
      <c r="R83" s="223">
        <v>282496480</v>
      </c>
      <c r="S83" s="156">
        <v>126072996.46000001</v>
      </c>
      <c r="T83" s="156">
        <v>5090562.100814098</v>
      </c>
      <c r="U83" s="156">
        <v>73889796.39099626</v>
      </c>
      <c r="V83" s="156">
        <v>16288769.327062694</v>
      </c>
      <c r="W83" s="156">
        <v>47621109.36288166</v>
      </c>
      <c r="X83" s="214">
        <f t="shared" si="5"/>
        <v>-13533246.358245254</v>
      </c>
      <c r="Y83" s="215">
        <f t="shared" si="6"/>
        <v>-366.0305184390029</v>
      </c>
      <c r="Z83" s="81"/>
      <c r="AA83" s="94">
        <f t="shared" si="7"/>
        <v>4554531.413024858</v>
      </c>
      <c r="AB83" s="153">
        <f t="shared" si="8"/>
        <v>123.18533559691822</v>
      </c>
      <c r="AD83" s="216">
        <v>-4401859.897360903</v>
      </c>
      <c r="AE83" s="224">
        <v>-3925874.9781265208</v>
      </c>
      <c r="AF83" s="224">
        <v>-3405259.120663319</v>
      </c>
      <c r="AG83" s="224">
        <v>-2843614.1209519054</v>
      </c>
      <c r="AH83" s="225">
        <v>-2281221.938226008</v>
      </c>
      <c r="AJ83" s="81">
        <f t="shared" si="9"/>
        <v>76383538.46000001</v>
      </c>
      <c r="AK83" s="81">
        <f t="shared" si="10"/>
        <v>1696854.0336046992</v>
      </c>
      <c r="AL83" s="81">
        <f t="shared" si="11"/>
        <v>51490385.730142474</v>
      </c>
      <c r="AM83" s="81">
        <f t="shared" si="12"/>
        <v>152567847.43015555</v>
      </c>
      <c r="AN83" s="81">
        <f t="shared" si="13"/>
        <v>-4401859.897360903</v>
      </c>
      <c r="AO83" s="81">
        <f t="shared" si="14"/>
        <v>-3925874.9781265208</v>
      </c>
      <c r="AP83" s="81">
        <f t="shared" si="15"/>
        <v>-3405259.120663319</v>
      </c>
      <c r="AQ83" s="81">
        <f t="shared" si="16"/>
        <v>-2843614.1209519054</v>
      </c>
      <c r="AR83" s="81">
        <f t="shared" si="17"/>
        <v>-2281221.938226008</v>
      </c>
      <c r="AS83" s="82">
        <v>17821</v>
      </c>
      <c r="AT83" s="82"/>
      <c r="AU83" s="82">
        <v>390</v>
      </c>
      <c r="AV83" s="82">
        <f t="shared" si="18"/>
        <v>390</v>
      </c>
      <c r="AW83" s="82">
        <v>45401.08386763324</v>
      </c>
      <c r="AX83" s="149">
        <v>-5656.014486166212</v>
      </c>
      <c r="AY83" s="81">
        <f t="shared" si="19"/>
        <v>-10917415.028993089</v>
      </c>
      <c r="AZ83" s="409"/>
      <c r="BA83" s="81"/>
      <c r="BB83" s="81"/>
      <c r="BC83" s="81"/>
      <c r="BD83" s="81"/>
      <c r="BE83" s="81"/>
      <c r="BF83" s="81"/>
      <c r="BG83" s="81"/>
    </row>
    <row r="84" spans="1:59" ht="12.75">
      <c r="A84" s="81">
        <v>208</v>
      </c>
      <c r="B84" s="81" t="s">
        <v>206</v>
      </c>
      <c r="C84" s="81">
        <v>17</v>
      </c>
      <c r="D84" s="81">
        <v>12387</v>
      </c>
      <c r="E84" s="100">
        <v>34531388.77923176</v>
      </c>
      <c r="F84" s="81">
        <v>14135600</v>
      </c>
      <c r="G84" s="81">
        <v>4991797.642653503</v>
      </c>
      <c r="H84" s="81">
        <v>1201660.875244368</v>
      </c>
      <c r="I84" s="156">
        <v>12275875.198325153</v>
      </c>
      <c r="J84" s="156">
        <v>2095843.5027998192</v>
      </c>
      <c r="K84" s="81">
        <v>1227311.4257125985</v>
      </c>
      <c r="L84" s="81">
        <v>-641378</v>
      </c>
      <c r="M84" s="82">
        <v>293000</v>
      </c>
      <c r="N84" s="82">
        <v>113120.09293141717</v>
      </c>
      <c r="O84" s="214">
        <f aca="true" t="shared" si="20" ref="O84:O147">N84+M84+L84+K84+J84+I84+H84+G84+F84-E84</f>
        <v>1161441.9584351033</v>
      </c>
      <c r="P84" s="215">
        <f aca="true" t="shared" si="21" ref="P84:P147">O84/D84</f>
        <v>93.76297395940125</v>
      </c>
      <c r="Q84" s="81"/>
      <c r="R84" s="223">
        <v>76783140</v>
      </c>
      <c r="S84" s="156">
        <v>35184381.69</v>
      </c>
      <c r="T84" s="156">
        <v>1802491.312866552</v>
      </c>
      <c r="U84" s="156">
        <v>30308274.3980645</v>
      </c>
      <c r="V84" s="156">
        <v>6499704.503340651</v>
      </c>
      <c r="W84" s="156">
        <v>4643419.642653503</v>
      </c>
      <c r="X84" s="214">
        <f aca="true" t="shared" si="22" ref="X84:X147">W84+V84+U84+T84+S84-R84</f>
        <v>1655131.546925217</v>
      </c>
      <c r="Y84" s="215">
        <f aca="true" t="shared" si="23" ref="Y84:Y147">X84/D84</f>
        <v>133.61843440100242</v>
      </c>
      <c r="Z84" s="81"/>
      <c r="AA84" s="94">
        <f aca="true" t="shared" si="24" ref="AA84:AA147">O84-X84</f>
        <v>-493689.5884901136</v>
      </c>
      <c r="AB84" s="153">
        <f aca="true" t="shared" si="25" ref="AB84:AB147">AA84/D84</f>
        <v>-39.85546044160117</v>
      </c>
      <c r="AD84" s="216">
        <v>544838.861325144</v>
      </c>
      <c r="AE84" s="224">
        <v>332697.26244369824</v>
      </c>
      <c r="AF84" s="224">
        <v>135508.28931186371</v>
      </c>
      <c r="AG84" s="224">
        <v>15790.649985336422</v>
      </c>
      <c r="AH84" s="225">
        <v>18402.926577057184</v>
      </c>
      <c r="AJ84" s="81">
        <f aca="true" t="shared" si="26" ref="AJ84:AJ147">S84-F84</f>
        <v>21048781.689999998</v>
      </c>
      <c r="AK84" s="81">
        <f aca="true" t="shared" si="27" ref="AK84:AK147">T84-H84</f>
        <v>600830.4376221839</v>
      </c>
      <c r="AL84" s="81">
        <f aca="true" t="shared" si="28" ref="AL84:AL147">U84-I84</f>
        <v>18032399.19973935</v>
      </c>
      <c r="AM84" s="81">
        <f aca="true" t="shared" si="29" ref="AM84:AM147">R84-E84</f>
        <v>42251751.22076824</v>
      </c>
      <c r="AN84" s="81">
        <f aca="true" t="shared" si="30" ref="AN84:AN147">AD84</f>
        <v>544838.861325144</v>
      </c>
      <c r="AO84" s="81">
        <f aca="true" t="shared" si="31" ref="AO84:AO147">AE84</f>
        <v>332697.26244369824</v>
      </c>
      <c r="AP84" s="81">
        <f aca="true" t="shared" si="32" ref="AP84:AP147">AF84</f>
        <v>135508.28931186371</v>
      </c>
      <c r="AQ84" s="81">
        <f aca="true" t="shared" si="33" ref="AQ84:AQ147">AG84</f>
        <v>15790.649985336422</v>
      </c>
      <c r="AR84" s="81">
        <f aca="true" t="shared" si="34" ref="AR84:AR147">AH84</f>
        <v>18402.926577057184</v>
      </c>
      <c r="AS84" s="82">
        <v>5866</v>
      </c>
      <c r="AT84" s="82">
        <v>11</v>
      </c>
      <c r="AU84" s="82">
        <v>1</v>
      </c>
      <c r="AV84" s="82">
        <f aca="true" t="shared" si="35" ref="AV84:AV147">AT84+AU84</f>
        <v>12</v>
      </c>
      <c r="AW84" s="82">
        <v>13426.97489121397</v>
      </c>
      <c r="AX84" s="149">
        <v>-5030.756310127836</v>
      </c>
      <c r="AY84" s="81">
        <f aca="true" t="shared" si="36" ref="AY84:AY147">J84-V84</f>
        <v>-4403861.000540832</v>
      </c>
      <c r="AZ84" s="409"/>
      <c r="BA84" s="81"/>
      <c r="BB84" s="81"/>
      <c r="BC84" s="81"/>
      <c r="BD84" s="81"/>
      <c r="BE84" s="81"/>
      <c r="BF84" s="81"/>
      <c r="BG84" s="81"/>
    </row>
    <row r="85" spans="1:59" ht="12.75">
      <c r="A85" s="81">
        <v>211</v>
      </c>
      <c r="B85" s="81" t="s">
        <v>207</v>
      </c>
      <c r="C85" s="81">
        <v>6</v>
      </c>
      <c r="D85" s="81">
        <v>31676</v>
      </c>
      <c r="E85" s="100">
        <v>81880396.4266724</v>
      </c>
      <c r="F85" s="81">
        <v>48121589</v>
      </c>
      <c r="G85" s="81">
        <v>6800920.487794921</v>
      </c>
      <c r="H85" s="81">
        <v>2905263.7247630307</v>
      </c>
      <c r="I85" s="156">
        <v>22041343.353310376</v>
      </c>
      <c r="J85" s="156">
        <v>4078948.3315862976</v>
      </c>
      <c r="K85" s="81">
        <v>2758668.5690534683</v>
      </c>
      <c r="L85" s="81">
        <v>-4017642</v>
      </c>
      <c r="M85" s="82">
        <v>-293400</v>
      </c>
      <c r="N85" s="82">
        <v>400615.0270133684</v>
      </c>
      <c r="O85" s="214">
        <f t="shared" si="20"/>
        <v>915910.0668490678</v>
      </c>
      <c r="P85" s="215">
        <f t="shared" si="21"/>
        <v>28.91495349315153</v>
      </c>
      <c r="Q85" s="81"/>
      <c r="R85" s="223">
        <v>178353616</v>
      </c>
      <c r="S85" s="156">
        <v>123341100.19</v>
      </c>
      <c r="T85" s="156">
        <v>4357895.587144546</v>
      </c>
      <c r="U85" s="156">
        <v>39038573.95233421</v>
      </c>
      <c r="V85" s="156">
        <v>12060132.515235642</v>
      </c>
      <c r="W85" s="156">
        <v>2489878.487794921</v>
      </c>
      <c r="X85" s="214">
        <f t="shared" si="22"/>
        <v>2933964.732509315</v>
      </c>
      <c r="Y85" s="215">
        <f t="shared" si="23"/>
        <v>92.62421809917019</v>
      </c>
      <c r="Z85" s="81"/>
      <c r="AA85" s="94">
        <f t="shared" si="24"/>
        <v>-2018054.6656602472</v>
      </c>
      <c r="AB85" s="153">
        <f t="shared" si="25"/>
        <v>-63.709264606018664</v>
      </c>
      <c r="AD85" s="216">
        <v>2148853.4358485583</v>
      </c>
      <c r="AE85" s="224">
        <v>1606365.5625807226</v>
      </c>
      <c r="AF85" s="224">
        <v>1102114.4999405362</v>
      </c>
      <c r="AG85" s="224">
        <v>633014.4694009189</v>
      </c>
      <c r="AH85" s="225">
        <v>164554.57542492368</v>
      </c>
      <c r="AJ85" s="81">
        <f t="shared" si="26"/>
        <v>75219511.19</v>
      </c>
      <c r="AK85" s="81">
        <f t="shared" si="27"/>
        <v>1452631.8623815156</v>
      </c>
      <c r="AL85" s="81">
        <f t="shared" si="28"/>
        <v>16997230.599023834</v>
      </c>
      <c r="AM85" s="81">
        <f t="shared" si="29"/>
        <v>96473219.5733276</v>
      </c>
      <c r="AN85" s="81">
        <f t="shared" si="30"/>
        <v>2148853.4358485583</v>
      </c>
      <c r="AO85" s="81">
        <f t="shared" si="31"/>
        <v>1606365.5625807226</v>
      </c>
      <c r="AP85" s="81">
        <f t="shared" si="32"/>
        <v>1102114.4999405362</v>
      </c>
      <c r="AQ85" s="81">
        <f t="shared" si="33"/>
        <v>633014.4694009189</v>
      </c>
      <c r="AR85" s="81">
        <f t="shared" si="34"/>
        <v>164554.57542492368</v>
      </c>
      <c r="AS85" s="82">
        <v>13335</v>
      </c>
      <c r="AT85" s="82">
        <v>308</v>
      </c>
      <c r="AU85" s="82"/>
      <c r="AV85" s="82">
        <f t="shared" si="35"/>
        <v>308</v>
      </c>
      <c r="AW85" s="82">
        <v>19089.551838643056</v>
      </c>
      <c r="AX85" s="149">
        <v>2013.462330529035</v>
      </c>
      <c r="AY85" s="81">
        <f t="shared" si="36"/>
        <v>-7981184.183649344</v>
      </c>
      <c r="AZ85" s="409"/>
      <c r="BA85" s="81"/>
      <c r="BB85" s="81"/>
      <c r="BC85" s="81"/>
      <c r="BD85" s="81"/>
      <c r="BE85" s="81"/>
      <c r="BF85" s="81"/>
      <c r="BG85" s="81"/>
    </row>
    <row r="86" spans="1:59" ht="12.75">
      <c r="A86" s="81">
        <v>213</v>
      </c>
      <c r="B86" s="81" t="s">
        <v>208</v>
      </c>
      <c r="C86" s="81">
        <v>10</v>
      </c>
      <c r="D86" s="81">
        <v>5452</v>
      </c>
      <c r="E86" s="100">
        <v>13207391.389080364</v>
      </c>
      <c r="F86" s="81">
        <v>6124038</v>
      </c>
      <c r="G86" s="81">
        <v>1766405.040670983</v>
      </c>
      <c r="H86" s="81">
        <v>1751057.3451726432</v>
      </c>
      <c r="I86" s="156">
        <v>2248254.369081741</v>
      </c>
      <c r="J86" s="156">
        <v>1036325.5477711475</v>
      </c>
      <c r="K86" s="81">
        <v>-141892.5349080634</v>
      </c>
      <c r="L86" s="81">
        <v>-503278</v>
      </c>
      <c r="M86" s="82">
        <v>100</v>
      </c>
      <c r="N86" s="82">
        <v>49602.167311575155</v>
      </c>
      <c r="O86" s="214">
        <f t="shared" si="20"/>
        <v>-876779.4539803378</v>
      </c>
      <c r="P86" s="215">
        <f t="shared" si="21"/>
        <v>-160.81794827225565</v>
      </c>
      <c r="Q86" s="81"/>
      <c r="R86" s="223">
        <v>39234356</v>
      </c>
      <c r="S86" s="156">
        <v>14741674.115</v>
      </c>
      <c r="T86" s="156">
        <v>2626586.017758965</v>
      </c>
      <c r="U86" s="156">
        <v>16783591.212602176</v>
      </c>
      <c r="V86" s="156">
        <v>3237997.903869991</v>
      </c>
      <c r="W86" s="156">
        <v>1263227.040670983</v>
      </c>
      <c r="X86" s="214">
        <f t="shared" si="22"/>
        <v>-581279.7100978866</v>
      </c>
      <c r="Y86" s="215">
        <f t="shared" si="23"/>
        <v>-106.61770177877598</v>
      </c>
      <c r="Z86" s="81"/>
      <c r="AA86" s="94">
        <f t="shared" si="24"/>
        <v>-295499.7438824512</v>
      </c>
      <c r="AB86" s="153">
        <f t="shared" si="25"/>
        <v>-54.200246493479675</v>
      </c>
      <c r="AD86" s="216">
        <v>318012.5262750142</v>
      </c>
      <c r="AE86" s="224">
        <v>224640.76579211737</v>
      </c>
      <c r="AF86" s="224">
        <v>137850.23688965818</v>
      </c>
      <c r="AG86" s="224">
        <v>57109.82249068125</v>
      </c>
      <c r="AH86" s="225">
        <v>8099.843036902864</v>
      </c>
      <c r="AJ86" s="81">
        <f t="shared" si="26"/>
        <v>8617636.115</v>
      </c>
      <c r="AK86" s="81">
        <f t="shared" si="27"/>
        <v>875528.6725863218</v>
      </c>
      <c r="AL86" s="81">
        <f t="shared" si="28"/>
        <v>14535336.843520435</v>
      </c>
      <c r="AM86" s="81">
        <f t="shared" si="29"/>
        <v>26026964.610919636</v>
      </c>
      <c r="AN86" s="81">
        <f t="shared" si="30"/>
        <v>318012.5262750142</v>
      </c>
      <c r="AO86" s="81">
        <f t="shared" si="31"/>
        <v>224640.76579211737</v>
      </c>
      <c r="AP86" s="81">
        <f t="shared" si="32"/>
        <v>137850.23688965818</v>
      </c>
      <c r="AQ86" s="81">
        <f t="shared" si="33"/>
        <v>57109.82249068125</v>
      </c>
      <c r="AR86" s="81">
        <f t="shared" si="34"/>
        <v>8099.843036902864</v>
      </c>
      <c r="AS86" s="82">
        <v>1672</v>
      </c>
      <c r="AT86" s="82"/>
      <c r="AU86" s="82">
        <v>9</v>
      </c>
      <c r="AV86" s="82">
        <f t="shared" si="35"/>
        <v>9</v>
      </c>
      <c r="AW86" s="82">
        <v>11912.5941323874</v>
      </c>
      <c r="AX86" s="149">
        <v>-2277.020090626468</v>
      </c>
      <c r="AY86" s="81">
        <f t="shared" si="36"/>
        <v>-2201672.3560988437</v>
      </c>
      <c r="AZ86" s="409"/>
      <c r="BA86" s="81"/>
      <c r="BB86" s="81"/>
      <c r="BC86" s="81"/>
      <c r="BD86" s="81"/>
      <c r="BE86" s="81"/>
      <c r="BF86" s="81"/>
      <c r="BG86" s="81"/>
    </row>
    <row r="87" spans="1:59" ht="12.75">
      <c r="A87" s="81">
        <v>214</v>
      </c>
      <c r="B87" s="81" t="s">
        <v>209</v>
      </c>
      <c r="C87" s="81">
        <v>4</v>
      </c>
      <c r="D87" s="81">
        <v>11471</v>
      </c>
      <c r="E87" s="100">
        <v>29173399.773684733</v>
      </c>
      <c r="F87" s="81">
        <v>14981432</v>
      </c>
      <c r="G87" s="81">
        <v>3334497.659826875</v>
      </c>
      <c r="H87" s="81">
        <v>1599219.8352700418</v>
      </c>
      <c r="I87" s="156">
        <v>6959765.952816965</v>
      </c>
      <c r="J87" s="156">
        <v>1997274.6457790867</v>
      </c>
      <c r="K87" s="81">
        <v>-1906782.4556307795</v>
      </c>
      <c r="L87" s="81">
        <v>567207</v>
      </c>
      <c r="M87" s="82">
        <v>843195</v>
      </c>
      <c r="N87" s="82">
        <v>112172.59018281821</v>
      </c>
      <c r="O87" s="214">
        <f t="shared" si="20"/>
        <v>-685417.5454397276</v>
      </c>
      <c r="P87" s="215">
        <f t="shared" si="21"/>
        <v>-59.75220516430369</v>
      </c>
      <c r="Q87" s="81"/>
      <c r="R87" s="223">
        <v>73994228</v>
      </c>
      <c r="S87" s="156">
        <v>35650095.365</v>
      </c>
      <c r="T87" s="156">
        <v>2398829.7529050624</v>
      </c>
      <c r="U87" s="156">
        <v>23794481.698080447</v>
      </c>
      <c r="V87" s="156">
        <v>6189778.743318405</v>
      </c>
      <c r="W87" s="156">
        <v>4744899.659826875</v>
      </c>
      <c r="X87" s="214">
        <f t="shared" si="22"/>
        <v>-1216142.7808692157</v>
      </c>
      <c r="Y87" s="215">
        <f t="shared" si="23"/>
        <v>-106.01889816661283</v>
      </c>
      <c r="Z87" s="81"/>
      <c r="AA87" s="94">
        <f t="shared" si="24"/>
        <v>530725.2354294881</v>
      </c>
      <c r="AB87" s="153">
        <f t="shared" si="25"/>
        <v>46.26669300230914</v>
      </c>
      <c r="AD87" s="216">
        <v>-483358.3743097071</v>
      </c>
      <c r="AE87" s="224">
        <v>-335682.4213565357</v>
      </c>
      <c r="AF87" s="224">
        <v>-174159.56681510308</v>
      </c>
      <c r="AG87" s="224">
        <v>92.71976401206027</v>
      </c>
      <c r="AH87" s="225">
        <v>17042.05786432736</v>
      </c>
      <c r="AJ87" s="81">
        <f t="shared" si="26"/>
        <v>20668663.365000002</v>
      </c>
      <c r="AK87" s="81">
        <f t="shared" si="27"/>
        <v>799609.9176350206</v>
      </c>
      <c r="AL87" s="81">
        <f t="shared" si="28"/>
        <v>16834715.74526348</v>
      </c>
      <c r="AM87" s="81">
        <f t="shared" si="29"/>
        <v>44820828.22631527</v>
      </c>
      <c r="AN87" s="81">
        <f t="shared" si="30"/>
        <v>-483358.3743097071</v>
      </c>
      <c r="AO87" s="81">
        <f t="shared" si="31"/>
        <v>-335682.4213565357</v>
      </c>
      <c r="AP87" s="81">
        <f t="shared" si="32"/>
        <v>-174159.56681510308</v>
      </c>
      <c r="AQ87" s="81">
        <f t="shared" si="33"/>
        <v>92.71976401206027</v>
      </c>
      <c r="AR87" s="81">
        <f t="shared" si="34"/>
        <v>17042.05786432736</v>
      </c>
      <c r="AS87" s="82">
        <v>3671</v>
      </c>
      <c r="AT87" s="82"/>
      <c r="AU87" s="82"/>
      <c r="AV87" s="82">
        <f t="shared" si="35"/>
        <v>0</v>
      </c>
      <c r="AW87" s="82">
        <v>12396.152706130963</v>
      </c>
      <c r="AX87" s="149">
        <v>-3791.458902245856</v>
      </c>
      <c r="AY87" s="81">
        <f t="shared" si="36"/>
        <v>-4192504.0975393183</v>
      </c>
      <c r="AZ87" s="409"/>
      <c r="BA87" s="81"/>
      <c r="BB87" s="81"/>
      <c r="BC87" s="81"/>
      <c r="BD87" s="81"/>
      <c r="BE87" s="81"/>
      <c r="BF87" s="81"/>
      <c r="BG87" s="81"/>
    </row>
    <row r="88" spans="1:59" ht="12.75">
      <c r="A88" s="81">
        <v>216</v>
      </c>
      <c r="B88" s="81" t="s">
        <v>210</v>
      </c>
      <c r="C88" s="81">
        <v>13</v>
      </c>
      <c r="D88" s="81">
        <v>1353</v>
      </c>
      <c r="E88" s="100">
        <v>3963017.574010933</v>
      </c>
      <c r="F88" s="81">
        <v>1263890</v>
      </c>
      <c r="G88" s="81">
        <v>419979.3213309238</v>
      </c>
      <c r="H88" s="81">
        <v>417421.11379066564</v>
      </c>
      <c r="I88" s="156">
        <v>1431219.2801875784</v>
      </c>
      <c r="J88" s="156">
        <v>276794.94490345847</v>
      </c>
      <c r="K88" s="81">
        <v>-153905.82626666882</v>
      </c>
      <c r="L88" s="81">
        <v>-314250</v>
      </c>
      <c r="M88" s="82">
        <v>19850</v>
      </c>
      <c r="N88" s="82">
        <v>10820.794406223084</v>
      </c>
      <c r="O88" s="214">
        <f t="shared" si="20"/>
        <v>-591197.9456587518</v>
      </c>
      <c r="P88" s="215">
        <f t="shared" si="21"/>
        <v>-436.9533966435711</v>
      </c>
      <c r="Q88" s="81"/>
      <c r="R88" s="223">
        <v>10998176</v>
      </c>
      <c r="S88" s="156">
        <v>3126128.96</v>
      </c>
      <c r="T88" s="156">
        <v>626131.6706859984</v>
      </c>
      <c r="U88" s="156">
        <v>5424219.435289312</v>
      </c>
      <c r="V88" s="156">
        <v>873547.6762768986</v>
      </c>
      <c r="W88" s="156">
        <v>125579.32133092382</v>
      </c>
      <c r="X88" s="214">
        <f t="shared" si="22"/>
        <v>-822568.9364168681</v>
      </c>
      <c r="Y88" s="215">
        <f t="shared" si="23"/>
        <v>-607.9593025993113</v>
      </c>
      <c r="Z88" s="81"/>
      <c r="AA88" s="94">
        <f t="shared" si="24"/>
        <v>231370.99075811636</v>
      </c>
      <c r="AB88" s="153">
        <f t="shared" si="25"/>
        <v>171.0059059557401</v>
      </c>
      <c r="AD88" s="216">
        <v>-225784.08786429217</v>
      </c>
      <c r="AE88" s="224">
        <v>-208365.76650210563</v>
      </c>
      <c r="AF88" s="224">
        <v>-189314.20846927867</v>
      </c>
      <c r="AG88" s="224">
        <v>-168761.21886579657</v>
      </c>
      <c r="AH88" s="225">
        <v>-148180.88664422574</v>
      </c>
      <c r="AJ88" s="81">
        <f t="shared" si="26"/>
        <v>1862238.96</v>
      </c>
      <c r="AK88" s="81">
        <f t="shared" si="27"/>
        <v>208710.55689533276</v>
      </c>
      <c r="AL88" s="81">
        <f t="shared" si="28"/>
        <v>3993000.1551017337</v>
      </c>
      <c r="AM88" s="81">
        <f t="shared" si="29"/>
        <v>7035158.425989067</v>
      </c>
      <c r="AN88" s="81">
        <f t="shared" si="30"/>
        <v>-225784.08786429217</v>
      </c>
      <c r="AO88" s="81">
        <f t="shared" si="31"/>
        <v>-208365.76650210563</v>
      </c>
      <c r="AP88" s="81">
        <f t="shared" si="32"/>
        <v>-189314.20846927867</v>
      </c>
      <c r="AQ88" s="81">
        <f t="shared" si="33"/>
        <v>-168761.21886579657</v>
      </c>
      <c r="AR88" s="81">
        <f t="shared" si="34"/>
        <v>-148180.88664422574</v>
      </c>
      <c r="AS88" s="82">
        <v>1144</v>
      </c>
      <c r="AT88" s="82"/>
      <c r="AU88" s="82"/>
      <c r="AV88" s="82">
        <f t="shared" si="35"/>
        <v>0</v>
      </c>
      <c r="AW88" s="82">
        <v>3353.7983618298817</v>
      </c>
      <c r="AX88" s="149">
        <v>-778.9805495980883</v>
      </c>
      <c r="AY88" s="81">
        <f t="shared" si="36"/>
        <v>-596752.7313734401</v>
      </c>
      <c r="AZ88" s="409"/>
      <c r="BA88" s="81"/>
      <c r="BB88" s="81"/>
      <c r="BC88" s="81"/>
      <c r="BD88" s="81"/>
      <c r="BE88" s="81"/>
      <c r="BF88" s="81"/>
      <c r="BG88" s="81"/>
    </row>
    <row r="89" spans="1:59" ht="12.75">
      <c r="A89" s="81">
        <v>217</v>
      </c>
      <c r="B89" s="81" t="s">
        <v>211</v>
      </c>
      <c r="C89" s="81">
        <v>16</v>
      </c>
      <c r="D89" s="81">
        <v>5502</v>
      </c>
      <c r="E89" s="100">
        <v>12987241.573311575</v>
      </c>
      <c r="F89" s="81">
        <v>6798308</v>
      </c>
      <c r="G89" s="81">
        <v>1151464.9483934438</v>
      </c>
      <c r="H89" s="81">
        <v>640917.8580220416</v>
      </c>
      <c r="I89" s="156">
        <v>5479000.478537411</v>
      </c>
      <c r="J89" s="156">
        <v>931737.3229171159</v>
      </c>
      <c r="K89" s="81">
        <v>-681063.7941465762</v>
      </c>
      <c r="L89" s="81">
        <v>-31405</v>
      </c>
      <c r="M89" s="82">
        <v>28000</v>
      </c>
      <c r="N89" s="82">
        <v>51057.82818781867</v>
      </c>
      <c r="O89" s="214">
        <f t="shared" si="20"/>
        <v>1380776.0685996804</v>
      </c>
      <c r="P89" s="215">
        <f t="shared" si="21"/>
        <v>250.95893649576163</v>
      </c>
      <c r="Q89" s="81"/>
      <c r="R89" s="223">
        <v>33771528</v>
      </c>
      <c r="S89" s="156">
        <v>16249607.100000001</v>
      </c>
      <c r="T89" s="156">
        <v>961376.7870330624</v>
      </c>
      <c r="U89" s="156">
        <v>13076280.915250177</v>
      </c>
      <c r="V89" s="156">
        <v>2896574.756363254</v>
      </c>
      <c r="W89" s="156">
        <v>1148059.9483934438</v>
      </c>
      <c r="X89" s="214">
        <f t="shared" si="22"/>
        <v>560371.5070399344</v>
      </c>
      <c r="Y89" s="215">
        <f t="shared" si="23"/>
        <v>101.84869266447372</v>
      </c>
      <c r="Z89" s="81"/>
      <c r="AA89" s="94">
        <f t="shared" si="24"/>
        <v>820404.561559746</v>
      </c>
      <c r="AB89" s="153">
        <f t="shared" si="25"/>
        <v>149.1102438312879</v>
      </c>
      <c r="AD89" s="216">
        <v>-797685.315645608</v>
      </c>
      <c r="AE89" s="224">
        <v>-726853.3835430581</v>
      </c>
      <c r="AF89" s="224">
        <v>-649379.8637377262</v>
      </c>
      <c r="AG89" s="224">
        <v>-565800.7441528345</v>
      </c>
      <c r="AH89" s="225">
        <v>-482110.4352961584</v>
      </c>
      <c r="AJ89" s="81">
        <f t="shared" si="26"/>
        <v>9451299.100000001</v>
      </c>
      <c r="AK89" s="81">
        <f t="shared" si="27"/>
        <v>320458.9290110208</v>
      </c>
      <c r="AL89" s="81">
        <f t="shared" si="28"/>
        <v>7597280.436712765</v>
      </c>
      <c r="AM89" s="81">
        <f t="shared" si="29"/>
        <v>20784286.426688425</v>
      </c>
      <c r="AN89" s="81">
        <f t="shared" si="30"/>
        <v>-797685.315645608</v>
      </c>
      <c r="AO89" s="81">
        <f t="shared" si="31"/>
        <v>-726853.3835430581</v>
      </c>
      <c r="AP89" s="81">
        <f t="shared" si="32"/>
        <v>-649379.8637377262</v>
      </c>
      <c r="AQ89" s="81">
        <f t="shared" si="33"/>
        <v>-565800.7441528345</v>
      </c>
      <c r="AR89" s="81">
        <f t="shared" si="34"/>
        <v>-482110.4352961584</v>
      </c>
      <c r="AS89" s="82">
        <v>1159</v>
      </c>
      <c r="AT89" s="82"/>
      <c r="AU89" s="82">
        <v>20</v>
      </c>
      <c r="AV89" s="82">
        <f t="shared" si="35"/>
        <v>20</v>
      </c>
      <c r="AW89" s="82">
        <v>5886.813284179229</v>
      </c>
      <c r="AX89" s="149">
        <v>-2121.6082658905643</v>
      </c>
      <c r="AY89" s="81">
        <f t="shared" si="36"/>
        <v>-1964837.4334461382</v>
      </c>
      <c r="AZ89" s="409"/>
      <c r="BA89" s="81"/>
      <c r="BB89" s="81"/>
      <c r="BC89" s="81"/>
      <c r="BD89" s="81"/>
      <c r="BE89" s="81"/>
      <c r="BF89" s="81"/>
      <c r="BG89" s="81"/>
    </row>
    <row r="90" spans="1:59" ht="12.75">
      <c r="A90" s="81">
        <v>218</v>
      </c>
      <c r="B90" s="81" t="s">
        <v>212</v>
      </c>
      <c r="C90" s="81">
        <v>14</v>
      </c>
      <c r="D90" s="81">
        <v>1274</v>
      </c>
      <c r="E90" s="100">
        <v>2942503.2701880755</v>
      </c>
      <c r="F90" s="81">
        <v>1513582</v>
      </c>
      <c r="G90" s="81">
        <v>218347.22886671784</v>
      </c>
      <c r="H90" s="81">
        <v>193792.4742333888</v>
      </c>
      <c r="I90" s="156">
        <v>741941.772535992</v>
      </c>
      <c r="J90" s="156">
        <v>296077.24477479013</v>
      </c>
      <c r="K90" s="81">
        <v>10701.283419983529</v>
      </c>
      <c r="L90" s="81">
        <v>-297390</v>
      </c>
      <c r="M90" s="82">
        <v>-22530</v>
      </c>
      <c r="N90" s="82">
        <v>10496.369573496077</v>
      </c>
      <c r="O90" s="214">
        <f t="shared" si="20"/>
        <v>-277484.8967837072</v>
      </c>
      <c r="P90" s="215">
        <f t="shared" si="21"/>
        <v>-217.8060414314813</v>
      </c>
      <c r="Q90" s="81"/>
      <c r="R90" s="223">
        <v>9749796</v>
      </c>
      <c r="S90" s="156">
        <v>3425544.88</v>
      </c>
      <c r="T90" s="156">
        <v>290688.71135008323</v>
      </c>
      <c r="U90" s="156">
        <v>4881048.3964538</v>
      </c>
      <c r="V90" s="156">
        <v>940326.4073801304</v>
      </c>
      <c r="W90" s="156">
        <v>-101572.77113328216</v>
      </c>
      <c r="X90" s="214">
        <f t="shared" si="22"/>
        <v>-313760.37594926916</v>
      </c>
      <c r="Y90" s="215">
        <f t="shared" si="23"/>
        <v>-246.2797299444813</v>
      </c>
      <c r="Z90" s="81"/>
      <c r="AA90" s="94">
        <f t="shared" si="24"/>
        <v>36275.47916556196</v>
      </c>
      <c r="AB90" s="153">
        <f t="shared" si="25"/>
        <v>28.47368851299997</v>
      </c>
      <c r="AD90" s="216">
        <v>-31014.788635825036</v>
      </c>
      <c r="AE90" s="224">
        <v>-14613.501558644271</v>
      </c>
      <c r="AF90" s="224">
        <v>1381.1386814329192</v>
      </c>
      <c r="AG90" s="224">
        <v>1624.0645904027288</v>
      </c>
      <c r="AH90" s="225">
        <v>1892.7366157399574</v>
      </c>
      <c r="AJ90" s="81">
        <f t="shared" si="26"/>
        <v>1911962.88</v>
      </c>
      <c r="AK90" s="81">
        <f t="shared" si="27"/>
        <v>96896.23711669442</v>
      </c>
      <c r="AL90" s="81">
        <f t="shared" si="28"/>
        <v>4139106.623917808</v>
      </c>
      <c r="AM90" s="81">
        <f t="shared" si="29"/>
        <v>6807292.7298119245</v>
      </c>
      <c r="AN90" s="81">
        <f t="shared" si="30"/>
        <v>-31014.788635825036</v>
      </c>
      <c r="AO90" s="81">
        <f t="shared" si="31"/>
        <v>-14613.501558644271</v>
      </c>
      <c r="AP90" s="81">
        <f t="shared" si="32"/>
        <v>1381.1386814329192</v>
      </c>
      <c r="AQ90" s="81">
        <f t="shared" si="33"/>
        <v>1624.0645904027288</v>
      </c>
      <c r="AR90" s="81">
        <f t="shared" si="34"/>
        <v>1892.7366157399574</v>
      </c>
      <c r="AS90" s="82">
        <v>271</v>
      </c>
      <c r="AT90" s="82"/>
      <c r="AU90" s="82"/>
      <c r="AV90" s="82">
        <f t="shared" si="35"/>
        <v>0</v>
      </c>
      <c r="AW90" s="82">
        <v>3523.1372976125767</v>
      </c>
      <c r="AX90" s="149">
        <v>-669.7476875263004</v>
      </c>
      <c r="AY90" s="81">
        <f t="shared" si="36"/>
        <v>-644249.1626053402</v>
      </c>
      <c r="AZ90" s="409"/>
      <c r="BA90" s="81"/>
      <c r="BB90" s="81"/>
      <c r="BC90" s="81"/>
      <c r="BD90" s="81"/>
      <c r="BE90" s="81"/>
      <c r="BF90" s="81"/>
      <c r="BG90" s="81"/>
    </row>
    <row r="91" spans="1:59" ht="12.75">
      <c r="A91" s="81">
        <v>224</v>
      </c>
      <c r="B91" s="81" t="s">
        <v>213</v>
      </c>
      <c r="C91" s="81">
        <v>1</v>
      </c>
      <c r="D91" s="81">
        <v>8778</v>
      </c>
      <c r="E91" s="100">
        <v>20048407.088550054</v>
      </c>
      <c r="F91" s="81">
        <v>11020475</v>
      </c>
      <c r="G91" s="81">
        <v>2146754.744985526</v>
      </c>
      <c r="H91" s="81">
        <v>752046.4251492191</v>
      </c>
      <c r="I91" s="156">
        <v>6136620.661970481</v>
      </c>
      <c r="J91" s="156">
        <v>1300018.2250138614</v>
      </c>
      <c r="K91" s="81">
        <v>-1360651.6482309336</v>
      </c>
      <c r="L91" s="81">
        <v>-566525</v>
      </c>
      <c r="M91" s="82">
        <v>-282892</v>
      </c>
      <c r="N91" s="82">
        <v>92653.0856567078</v>
      </c>
      <c r="O91" s="214">
        <f t="shared" si="20"/>
        <v>-809907.5940051898</v>
      </c>
      <c r="P91" s="215">
        <f t="shared" si="21"/>
        <v>-92.26561790899862</v>
      </c>
      <c r="Q91" s="81"/>
      <c r="R91" s="223">
        <v>53861640</v>
      </c>
      <c r="S91" s="156">
        <v>28376963.447499998</v>
      </c>
      <c r="T91" s="156">
        <v>1128069.6377238287</v>
      </c>
      <c r="U91" s="156">
        <v>17305493.75293171</v>
      </c>
      <c r="V91" s="156">
        <v>3967853.386161262</v>
      </c>
      <c r="W91" s="156">
        <v>1297337.744985526</v>
      </c>
      <c r="X91" s="214">
        <f t="shared" si="22"/>
        <v>-1785922.0306976736</v>
      </c>
      <c r="Y91" s="215">
        <f t="shared" si="23"/>
        <v>-203.45432110932714</v>
      </c>
      <c r="Z91" s="81"/>
      <c r="AA91" s="94">
        <f t="shared" si="24"/>
        <v>976014.4366924837</v>
      </c>
      <c r="AB91" s="153">
        <f t="shared" si="25"/>
        <v>111.18870320032852</v>
      </c>
      <c r="AD91" s="216">
        <v>-939767.7008447449</v>
      </c>
      <c r="AE91" s="224">
        <v>-826761.0305437301</v>
      </c>
      <c r="AF91" s="224">
        <v>-703158.2394039258</v>
      </c>
      <c r="AG91" s="224">
        <v>-569814.453195969</v>
      </c>
      <c r="AH91" s="225">
        <v>-436293.2734169971</v>
      </c>
      <c r="AJ91" s="81">
        <f t="shared" si="26"/>
        <v>17356488.447499998</v>
      </c>
      <c r="AK91" s="81">
        <f t="shared" si="27"/>
        <v>376023.21257460956</v>
      </c>
      <c r="AL91" s="81">
        <f t="shared" si="28"/>
        <v>11168873.090961229</v>
      </c>
      <c r="AM91" s="81">
        <f t="shared" si="29"/>
        <v>33813232.91144995</v>
      </c>
      <c r="AN91" s="81">
        <f t="shared" si="30"/>
        <v>-939767.7008447449</v>
      </c>
      <c r="AO91" s="81">
        <f t="shared" si="31"/>
        <v>-826761.0305437301</v>
      </c>
      <c r="AP91" s="81">
        <f t="shared" si="32"/>
        <v>-703158.2394039258</v>
      </c>
      <c r="AQ91" s="81">
        <f t="shared" si="33"/>
        <v>-569814.453195969</v>
      </c>
      <c r="AR91" s="81">
        <f t="shared" si="34"/>
        <v>-436293.2734169971</v>
      </c>
      <c r="AS91" s="82">
        <v>2897</v>
      </c>
      <c r="AT91" s="82"/>
      <c r="AU91" s="82"/>
      <c r="AV91" s="82">
        <f t="shared" si="35"/>
        <v>0</v>
      </c>
      <c r="AW91" s="82">
        <v>9405.501956768427</v>
      </c>
      <c r="AX91" s="149">
        <v>-1903.725907001478</v>
      </c>
      <c r="AY91" s="81">
        <f t="shared" si="36"/>
        <v>-2667835.1611474007</v>
      </c>
      <c r="AZ91" s="409"/>
      <c r="BA91" s="81"/>
      <c r="BB91" s="81"/>
      <c r="BC91" s="81"/>
      <c r="BD91" s="81"/>
      <c r="BE91" s="81"/>
      <c r="BF91" s="81"/>
      <c r="BG91" s="81"/>
    </row>
    <row r="92" spans="1:59" ht="12.75">
      <c r="A92" s="81">
        <v>226</v>
      </c>
      <c r="B92" s="81" t="s">
        <v>214</v>
      </c>
      <c r="C92" s="81">
        <v>13</v>
      </c>
      <c r="D92" s="81">
        <v>4031</v>
      </c>
      <c r="E92" s="100">
        <v>15272340.32790133</v>
      </c>
      <c r="F92" s="81">
        <v>4422831</v>
      </c>
      <c r="G92" s="81">
        <v>1028609.483529106</v>
      </c>
      <c r="H92" s="81">
        <v>897189.6748000032</v>
      </c>
      <c r="I92" s="156">
        <v>3343551.0348887797</v>
      </c>
      <c r="J92" s="156">
        <v>747871.7937756551</v>
      </c>
      <c r="K92" s="81">
        <v>29445.215426732037</v>
      </c>
      <c r="L92" s="81">
        <v>78083</v>
      </c>
      <c r="M92" s="82">
        <v>-58400</v>
      </c>
      <c r="N92" s="82">
        <v>34621.552830985944</v>
      </c>
      <c r="O92" s="214">
        <f t="shared" si="20"/>
        <v>-4748537.5726500675</v>
      </c>
      <c r="P92" s="215">
        <f t="shared" si="21"/>
        <v>-1178.0048555321428</v>
      </c>
      <c r="Q92" s="81"/>
      <c r="R92" s="223">
        <v>33359200</v>
      </c>
      <c r="S92" s="156">
        <v>10600319.74</v>
      </c>
      <c r="T92" s="156">
        <v>1345784.512200005</v>
      </c>
      <c r="U92" s="156">
        <v>13165403.819175929</v>
      </c>
      <c r="V92" s="156">
        <v>2348251.004762881</v>
      </c>
      <c r="W92" s="156">
        <v>1048292.483529106</v>
      </c>
      <c r="X92" s="214">
        <f t="shared" si="22"/>
        <v>-4851148.440332077</v>
      </c>
      <c r="Y92" s="215">
        <f t="shared" si="23"/>
        <v>-1203.460292813713</v>
      </c>
      <c r="Z92" s="81"/>
      <c r="AA92" s="94">
        <f t="shared" si="24"/>
        <v>102610.86768200994</v>
      </c>
      <c r="AB92" s="153">
        <f t="shared" si="25"/>
        <v>25.455437281570315</v>
      </c>
      <c r="AD92" s="216">
        <v>-85965.77857262013</v>
      </c>
      <c r="AE92" s="224">
        <v>-34071.28233391115</v>
      </c>
      <c r="AF92" s="224">
        <v>4369.992170216717</v>
      </c>
      <c r="AG92" s="224">
        <v>5138.621949696546</v>
      </c>
      <c r="AH92" s="225">
        <v>5988.713734731373</v>
      </c>
      <c r="AJ92" s="81">
        <f t="shared" si="26"/>
        <v>6177488.74</v>
      </c>
      <c r="AK92" s="81">
        <f t="shared" si="27"/>
        <v>448594.8374000017</v>
      </c>
      <c r="AL92" s="81">
        <f t="shared" si="28"/>
        <v>9821852.78428715</v>
      </c>
      <c r="AM92" s="81">
        <f t="shared" si="29"/>
        <v>18086859.67209867</v>
      </c>
      <c r="AN92" s="81">
        <f t="shared" si="30"/>
        <v>-85965.77857262013</v>
      </c>
      <c r="AO92" s="81">
        <f t="shared" si="31"/>
        <v>-34071.28233391115</v>
      </c>
      <c r="AP92" s="81">
        <f t="shared" si="32"/>
        <v>4369.992170216717</v>
      </c>
      <c r="AQ92" s="81">
        <f t="shared" si="33"/>
        <v>5138.621949696546</v>
      </c>
      <c r="AR92" s="81">
        <f t="shared" si="34"/>
        <v>5988.713734731373</v>
      </c>
      <c r="AS92" s="82">
        <v>1890</v>
      </c>
      <c r="AT92" s="82">
        <v>6</v>
      </c>
      <c r="AU92" s="82"/>
      <c r="AV92" s="82">
        <f t="shared" si="35"/>
        <v>6</v>
      </c>
      <c r="AW92" s="82">
        <v>7816.922096484788</v>
      </c>
      <c r="AX92" s="149">
        <v>-2159.978764974865</v>
      </c>
      <c r="AY92" s="81">
        <f t="shared" si="36"/>
        <v>-1600379.2109872259</v>
      </c>
      <c r="AZ92" s="409"/>
      <c r="BA92" s="81"/>
      <c r="BB92" s="81"/>
      <c r="BC92" s="81"/>
      <c r="BD92" s="81"/>
      <c r="BE92" s="81"/>
      <c r="BF92" s="81"/>
      <c r="BG92" s="81"/>
    </row>
    <row r="93" spans="1:59" ht="12.75">
      <c r="A93" s="81">
        <v>230</v>
      </c>
      <c r="B93" s="81" t="s">
        <v>215</v>
      </c>
      <c r="C93" s="81">
        <v>4</v>
      </c>
      <c r="D93" s="81">
        <v>2390</v>
      </c>
      <c r="E93" s="100">
        <v>6294934.844610695</v>
      </c>
      <c r="F93" s="81">
        <v>2183146</v>
      </c>
      <c r="G93" s="81">
        <v>642745.9939139719</v>
      </c>
      <c r="H93" s="81">
        <v>403973.1716948928</v>
      </c>
      <c r="I93" s="156">
        <v>1958982.401378177</v>
      </c>
      <c r="J93" s="156">
        <v>517409.05992753454</v>
      </c>
      <c r="K93" s="81">
        <v>-364953.1509793517</v>
      </c>
      <c r="L93" s="81">
        <v>-440169</v>
      </c>
      <c r="M93" s="82">
        <v>262490</v>
      </c>
      <c r="N93" s="82">
        <v>18544.634889122302</v>
      </c>
      <c r="O93" s="214">
        <f t="shared" si="20"/>
        <v>-1112765.7337863483</v>
      </c>
      <c r="P93" s="215">
        <f t="shared" si="21"/>
        <v>-465.5923572327817</v>
      </c>
      <c r="Q93" s="81"/>
      <c r="R93" s="223">
        <v>16966572</v>
      </c>
      <c r="S93" s="156">
        <v>5530344.55</v>
      </c>
      <c r="T93" s="156">
        <v>605959.7575423393</v>
      </c>
      <c r="U93" s="156">
        <v>7312429.319412753</v>
      </c>
      <c r="V93" s="156">
        <v>1647647.0740256389</v>
      </c>
      <c r="W93" s="156">
        <v>465066.99391397194</v>
      </c>
      <c r="X93" s="214">
        <f t="shared" si="22"/>
        <v>-1405124.305105295</v>
      </c>
      <c r="Y93" s="215">
        <f t="shared" si="23"/>
        <v>-587.9181192909184</v>
      </c>
      <c r="Z93" s="81"/>
      <c r="AA93" s="94">
        <f t="shared" si="24"/>
        <v>292358.5713189468</v>
      </c>
      <c r="AB93" s="153">
        <f t="shared" si="25"/>
        <v>122.32576205813673</v>
      </c>
      <c r="AD93" s="216">
        <v>-282489.61498765607</v>
      </c>
      <c r="AE93" s="224">
        <v>-251721.10940330586</v>
      </c>
      <c r="AF93" s="224">
        <v>-218067.58117089162</v>
      </c>
      <c r="AG93" s="224">
        <v>-181761.8567419765</v>
      </c>
      <c r="AH93" s="225">
        <v>-145407.8330837693</v>
      </c>
      <c r="AJ93" s="81">
        <f t="shared" si="26"/>
        <v>3347198.55</v>
      </c>
      <c r="AK93" s="81">
        <f t="shared" si="27"/>
        <v>201986.58584744646</v>
      </c>
      <c r="AL93" s="81">
        <f t="shared" si="28"/>
        <v>5353446.918034576</v>
      </c>
      <c r="AM93" s="81">
        <f t="shared" si="29"/>
        <v>10671637.155389305</v>
      </c>
      <c r="AN93" s="81">
        <f t="shared" si="30"/>
        <v>-282489.61498765607</v>
      </c>
      <c r="AO93" s="81">
        <f t="shared" si="31"/>
        <v>-251721.10940330586</v>
      </c>
      <c r="AP93" s="81">
        <f t="shared" si="32"/>
        <v>-218067.58117089162</v>
      </c>
      <c r="AQ93" s="81">
        <f t="shared" si="33"/>
        <v>-181761.8567419765</v>
      </c>
      <c r="AR93" s="81">
        <f t="shared" si="34"/>
        <v>-145407.8330837693</v>
      </c>
      <c r="AS93" s="82">
        <v>903</v>
      </c>
      <c r="AT93" s="82"/>
      <c r="AU93" s="82"/>
      <c r="AV93" s="82">
        <f t="shared" si="35"/>
        <v>0</v>
      </c>
      <c r="AW93" s="82">
        <v>4004.641953900802</v>
      </c>
      <c r="AX93" s="149">
        <v>-1417.3129077434296</v>
      </c>
      <c r="AY93" s="81">
        <f t="shared" si="36"/>
        <v>-1130238.0140981043</v>
      </c>
      <c r="AZ93" s="409"/>
      <c r="BA93" s="81"/>
      <c r="BB93" s="81"/>
      <c r="BC93" s="81"/>
      <c r="BD93" s="81"/>
      <c r="BE93" s="81"/>
      <c r="BF93" s="81"/>
      <c r="BG93" s="81"/>
    </row>
    <row r="94" spans="1:59" ht="12.75">
      <c r="A94" s="81">
        <v>231</v>
      </c>
      <c r="B94" s="81" t="s">
        <v>216</v>
      </c>
      <c r="C94" s="81">
        <v>15</v>
      </c>
      <c r="D94" s="81">
        <v>1262</v>
      </c>
      <c r="E94" s="100">
        <v>3172377.8251029635</v>
      </c>
      <c r="F94" s="81">
        <v>2155106</v>
      </c>
      <c r="G94" s="81">
        <v>827131.9090027866</v>
      </c>
      <c r="H94" s="81">
        <v>478099.2607909056</v>
      </c>
      <c r="I94" s="156">
        <v>167750.53356879327</v>
      </c>
      <c r="J94" s="156">
        <v>210468.96930110123</v>
      </c>
      <c r="K94" s="81">
        <v>-787478.3425323179</v>
      </c>
      <c r="L94" s="81">
        <v>-207587</v>
      </c>
      <c r="M94" s="82">
        <v>-60000</v>
      </c>
      <c r="N94" s="82">
        <v>17139.19488338864</v>
      </c>
      <c r="O94" s="214">
        <f t="shared" si="20"/>
        <v>-371747.30008830596</v>
      </c>
      <c r="P94" s="215">
        <f t="shared" si="21"/>
        <v>-294.56996837425197</v>
      </c>
      <c r="Q94" s="81"/>
      <c r="R94" s="223">
        <v>9953888</v>
      </c>
      <c r="S94" s="156">
        <v>5196259.84</v>
      </c>
      <c r="T94" s="156">
        <v>717148.8911863584</v>
      </c>
      <c r="U94" s="156">
        <v>1940993.1999488343</v>
      </c>
      <c r="V94" s="156">
        <v>627867.131152686</v>
      </c>
      <c r="W94" s="156">
        <v>559544.9090027866</v>
      </c>
      <c r="X94" s="214">
        <f t="shared" si="22"/>
        <v>-912074.0287093353</v>
      </c>
      <c r="Y94" s="215">
        <f t="shared" si="23"/>
        <v>-722.7211004035937</v>
      </c>
      <c r="Z94" s="81"/>
      <c r="AA94" s="94">
        <f t="shared" si="24"/>
        <v>540326.7286210293</v>
      </c>
      <c r="AB94" s="153">
        <f t="shared" si="25"/>
        <v>428.15113202934174</v>
      </c>
      <c r="AD94" s="216">
        <v>-535115.5893364722</v>
      </c>
      <c r="AE94" s="224">
        <v>-518868.78847979865</v>
      </c>
      <c r="AF94" s="224">
        <v>-501098.59909515147</v>
      </c>
      <c r="AG94" s="224">
        <v>-481927.9613423101</v>
      </c>
      <c r="AH94" s="225">
        <v>-462731.81997969194</v>
      </c>
      <c r="AJ94" s="81">
        <f t="shared" si="26"/>
        <v>3041153.84</v>
      </c>
      <c r="AK94" s="81">
        <f t="shared" si="27"/>
        <v>239049.63039545278</v>
      </c>
      <c r="AL94" s="81">
        <f t="shared" si="28"/>
        <v>1773242.666380041</v>
      </c>
      <c r="AM94" s="81">
        <f t="shared" si="29"/>
        <v>6781510.1748970365</v>
      </c>
      <c r="AN94" s="81">
        <f t="shared" si="30"/>
        <v>-535115.5893364722</v>
      </c>
      <c r="AO94" s="81">
        <f t="shared" si="31"/>
        <v>-518868.78847979865</v>
      </c>
      <c r="AP94" s="81">
        <f t="shared" si="32"/>
        <v>-501098.59909515147</v>
      </c>
      <c r="AQ94" s="81">
        <f t="shared" si="33"/>
        <v>-481927.9613423101</v>
      </c>
      <c r="AR94" s="81">
        <f t="shared" si="34"/>
        <v>-462731.81997969194</v>
      </c>
      <c r="AS94" s="82">
        <v>955</v>
      </c>
      <c r="AT94" s="82">
        <v>10</v>
      </c>
      <c r="AU94" s="82"/>
      <c r="AV94" s="82">
        <f t="shared" si="35"/>
        <v>10</v>
      </c>
      <c r="AW94" s="82">
        <v>1970.340887309597</v>
      </c>
      <c r="AX94" s="149">
        <v>171.48602518718525</v>
      </c>
      <c r="AY94" s="81">
        <f t="shared" si="36"/>
        <v>-417398.16185158474</v>
      </c>
      <c r="AZ94" s="409"/>
      <c r="BA94" s="81"/>
      <c r="BB94" s="81"/>
      <c r="BC94" s="81"/>
      <c r="BD94" s="81"/>
      <c r="BE94" s="81"/>
      <c r="BF94" s="81"/>
      <c r="BG94" s="81"/>
    </row>
    <row r="95" spans="1:59" ht="12.75">
      <c r="A95" s="81">
        <v>232</v>
      </c>
      <c r="B95" s="81" t="s">
        <v>217</v>
      </c>
      <c r="C95" s="81">
        <v>14</v>
      </c>
      <c r="D95" s="81">
        <v>13375</v>
      </c>
      <c r="E95" s="100">
        <v>32561636.29923033</v>
      </c>
      <c r="F95" s="81">
        <v>16639953</v>
      </c>
      <c r="G95" s="81">
        <v>3305221.0540941185</v>
      </c>
      <c r="H95" s="81">
        <v>2333574.769400582</v>
      </c>
      <c r="I95" s="156">
        <v>9678548.271192705</v>
      </c>
      <c r="J95" s="156">
        <v>2539537.443054191</v>
      </c>
      <c r="K95" s="81">
        <v>-2486635.5836300226</v>
      </c>
      <c r="L95" s="81">
        <v>-518770</v>
      </c>
      <c r="M95" s="82">
        <v>460000</v>
      </c>
      <c r="N95" s="82">
        <v>119574.24979384957</v>
      </c>
      <c r="O95" s="214">
        <f t="shared" si="20"/>
        <v>-490633.0953249037</v>
      </c>
      <c r="P95" s="215">
        <f t="shared" si="21"/>
        <v>-36.682848248590936</v>
      </c>
      <c r="Q95" s="81"/>
      <c r="R95" s="223">
        <v>91122416</v>
      </c>
      <c r="S95" s="156">
        <v>38358013.58</v>
      </c>
      <c r="T95" s="156">
        <v>3500362.1541008735</v>
      </c>
      <c r="U95" s="156">
        <v>35652691.14839843</v>
      </c>
      <c r="V95" s="156">
        <v>7946116.834211352</v>
      </c>
      <c r="W95" s="156">
        <v>3246451.0540941185</v>
      </c>
      <c r="X95" s="214">
        <f t="shared" si="22"/>
        <v>-2418781.229195237</v>
      </c>
      <c r="Y95" s="215">
        <f t="shared" si="23"/>
        <v>-180.84345638842893</v>
      </c>
      <c r="Z95" s="81"/>
      <c r="AA95" s="94">
        <f t="shared" si="24"/>
        <v>1928148.1338703334</v>
      </c>
      <c r="AB95" s="153">
        <f t="shared" si="25"/>
        <v>144.16060813983802</v>
      </c>
      <c r="AD95" s="216">
        <v>-1872919.1418489593</v>
      </c>
      <c r="AE95" s="224">
        <v>-1700731.3752419788</v>
      </c>
      <c r="AF95" s="224">
        <v>-1512398.3459078614</v>
      </c>
      <c r="AG95" s="224">
        <v>-1309223.005223033</v>
      </c>
      <c r="AH95" s="225">
        <v>-1105777.370734112</v>
      </c>
      <c r="AJ95" s="81">
        <f t="shared" si="26"/>
        <v>21718060.58</v>
      </c>
      <c r="AK95" s="81">
        <f t="shared" si="27"/>
        <v>1166787.3847002913</v>
      </c>
      <c r="AL95" s="81">
        <f t="shared" si="28"/>
        <v>25974142.877205722</v>
      </c>
      <c r="AM95" s="81">
        <f t="shared" si="29"/>
        <v>58560779.70076967</v>
      </c>
      <c r="AN95" s="81">
        <f t="shared" si="30"/>
        <v>-1872919.1418489593</v>
      </c>
      <c r="AO95" s="81">
        <f t="shared" si="31"/>
        <v>-1700731.3752419788</v>
      </c>
      <c r="AP95" s="81">
        <f t="shared" si="32"/>
        <v>-1512398.3459078614</v>
      </c>
      <c r="AQ95" s="81">
        <f t="shared" si="33"/>
        <v>-1309223.005223033</v>
      </c>
      <c r="AR95" s="81">
        <f t="shared" si="34"/>
        <v>-1105777.370734112</v>
      </c>
      <c r="AS95" s="82">
        <v>4940</v>
      </c>
      <c r="AT95" s="82"/>
      <c r="AU95" s="82">
        <v>2</v>
      </c>
      <c r="AV95" s="82">
        <f t="shared" si="35"/>
        <v>2</v>
      </c>
      <c r="AW95" s="82">
        <v>20722.858615769634</v>
      </c>
      <c r="AX95" s="149">
        <v>-5630.530339812794</v>
      </c>
      <c r="AY95" s="81">
        <f t="shared" si="36"/>
        <v>-5406579.391157161</v>
      </c>
      <c r="AZ95" s="409"/>
      <c r="BA95" s="81"/>
      <c r="BB95" s="81"/>
      <c r="BC95" s="81"/>
      <c r="BD95" s="81"/>
      <c r="BE95" s="81"/>
      <c r="BF95" s="81"/>
      <c r="BG95" s="81"/>
    </row>
    <row r="96" spans="1:59" ht="12.75">
      <c r="A96" s="81">
        <v>233</v>
      </c>
      <c r="B96" s="81" t="s">
        <v>218</v>
      </c>
      <c r="C96" s="81">
        <v>14</v>
      </c>
      <c r="D96" s="81">
        <v>16022</v>
      </c>
      <c r="E96" s="100">
        <v>44788703.52138533</v>
      </c>
      <c r="F96" s="81">
        <v>19790137</v>
      </c>
      <c r="G96" s="81">
        <v>3703123.493457428</v>
      </c>
      <c r="H96" s="81">
        <v>2029697.2124152416</v>
      </c>
      <c r="I96" s="156">
        <v>12693506.931899212</v>
      </c>
      <c r="J96" s="156">
        <v>3006713.6126924343</v>
      </c>
      <c r="K96" s="81">
        <v>-2375093.3331223982</v>
      </c>
      <c r="L96" s="81">
        <v>-599749</v>
      </c>
      <c r="M96" s="82">
        <v>-440800</v>
      </c>
      <c r="N96" s="82">
        <v>145817.34426787638</v>
      </c>
      <c r="O96" s="214">
        <f t="shared" si="20"/>
        <v>-6835350.259775534</v>
      </c>
      <c r="P96" s="215">
        <f t="shared" si="21"/>
        <v>-426.6227849067241</v>
      </c>
      <c r="Q96" s="81"/>
      <c r="R96" s="223">
        <v>115884888</v>
      </c>
      <c r="S96" s="156">
        <v>46682699.5625</v>
      </c>
      <c r="T96" s="156">
        <v>3044545.8186228625</v>
      </c>
      <c r="U96" s="156">
        <v>44866607.19824893</v>
      </c>
      <c r="V96" s="156">
        <v>9403542.758871164</v>
      </c>
      <c r="W96" s="156">
        <v>2662574.493457428</v>
      </c>
      <c r="X96" s="214">
        <f t="shared" si="22"/>
        <v>-9224918.168299615</v>
      </c>
      <c r="Y96" s="215">
        <f t="shared" si="23"/>
        <v>-575.7657076706788</v>
      </c>
      <c r="Z96" s="81"/>
      <c r="AA96" s="94">
        <f t="shared" si="24"/>
        <v>2389567.908524081</v>
      </c>
      <c r="AB96" s="153">
        <f t="shared" si="25"/>
        <v>149.14292276395463</v>
      </c>
      <c r="AD96" s="216">
        <v>-2323408.737670545</v>
      </c>
      <c r="AE96" s="224">
        <v>-2117143.8855900187</v>
      </c>
      <c r="AF96" s="224">
        <v>-1891538.5176654407</v>
      </c>
      <c r="AG96" s="224">
        <v>-1648153.447874613</v>
      </c>
      <c r="AH96" s="225">
        <v>-1404444.5913675856</v>
      </c>
      <c r="AJ96" s="81">
        <f t="shared" si="26"/>
        <v>26892562.5625</v>
      </c>
      <c r="AK96" s="81">
        <f t="shared" si="27"/>
        <v>1014848.6062076208</v>
      </c>
      <c r="AL96" s="81">
        <f t="shared" si="28"/>
        <v>32173100.266349718</v>
      </c>
      <c r="AM96" s="81">
        <f t="shared" si="29"/>
        <v>71096184.47861467</v>
      </c>
      <c r="AN96" s="81">
        <f t="shared" si="30"/>
        <v>-2323408.737670545</v>
      </c>
      <c r="AO96" s="81">
        <f t="shared" si="31"/>
        <v>-2117143.8855900187</v>
      </c>
      <c r="AP96" s="81">
        <f t="shared" si="32"/>
        <v>-1891538.5176654407</v>
      </c>
      <c r="AQ96" s="81">
        <f t="shared" si="33"/>
        <v>-1648153.447874613</v>
      </c>
      <c r="AR96" s="81">
        <f t="shared" si="34"/>
        <v>-1404444.5913675856</v>
      </c>
      <c r="AS96" s="82">
        <v>8008</v>
      </c>
      <c r="AT96" s="82"/>
      <c r="AU96" s="82">
        <v>10</v>
      </c>
      <c r="AV96" s="82">
        <f t="shared" si="35"/>
        <v>10</v>
      </c>
      <c r="AW96" s="82">
        <v>26816.445032295353</v>
      </c>
      <c r="AX96" s="149">
        <v>-6293.225704110156</v>
      </c>
      <c r="AY96" s="81">
        <f t="shared" si="36"/>
        <v>-6396829.14617873</v>
      </c>
      <c r="AZ96" s="409"/>
      <c r="BA96" s="81"/>
      <c r="BB96" s="81"/>
      <c r="BC96" s="81"/>
      <c r="BD96" s="81"/>
      <c r="BE96" s="81"/>
      <c r="BF96" s="81"/>
      <c r="BG96" s="81"/>
    </row>
    <row r="97" spans="1:59" ht="12.75">
      <c r="A97" s="81">
        <v>235</v>
      </c>
      <c r="B97" s="81" t="s">
        <v>219</v>
      </c>
      <c r="C97" s="81">
        <v>1</v>
      </c>
      <c r="D97" s="81">
        <v>9615</v>
      </c>
      <c r="E97" s="100">
        <v>37695515.406414255</v>
      </c>
      <c r="F97" s="81">
        <v>14416552</v>
      </c>
      <c r="G97" s="81">
        <v>4620636.0762250535</v>
      </c>
      <c r="H97" s="81">
        <v>610570.8272952288</v>
      </c>
      <c r="I97" s="156">
        <v>5396998.049122375</v>
      </c>
      <c r="J97" s="156">
        <v>826419.8459077564</v>
      </c>
      <c r="K97" s="81">
        <v>9380341.41038033</v>
      </c>
      <c r="L97" s="81">
        <v>2351928</v>
      </c>
      <c r="M97" s="82">
        <v>150000</v>
      </c>
      <c r="N97" s="82">
        <v>262977.93185068434</v>
      </c>
      <c r="O97" s="214">
        <f t="shared" si="20"/>
        <v>320908.7343671769</v>
      </c>
      <c r="P97" s="215">
        <f t="shared" si="21"/>
        <v>33.375843407922716</v>
      </c>
      <c r="Q97" s="81"/>
      <c r="R97" s="223">
        <v>69406820</v>
      </c>
      <c r="S97" s="156">
        <v>64441584.35</v>
      </c>
      <c r="T97" s="156">
        <v>915856.2409428431</v>
      </c>
      <c r="U97" s="156">
        <v>-1892827.3506951535</v>
      </c>
      <c r="V97" s="156">
        <v>1941263.279681245</v>
      </c>
      <c r="W97" s="156">
        <v>7122564.0762250535</v>
      </c>
      <c r="X97" s="214">
        <f t="shared" si="22"/>
        <v>3121620.5961539894</v>
      </c>
      <c r="Y97" s="215">
        <f t="shared" si="23"/>
        <v>324.66152846115335</v>
      </c>
      <c r="Z97" s="81"/>
      <c r="AA97" s="94">
        <f t="shared" si="24"/>
        <v>-2800711.8617868125</v>
      </c>
      <c r="AB97" s="153">
        <f t="shared" si="25"/>
        <v>-291.2856850532306</v>
      </c>
      <c r="AD97" s="216">
        <v>2840414.796985716</v>
      </c>
      <c r="AE97" s="224">
        <v>2675746.8811671073</v>
      </c>
      <c r="AF97" s="224">
        <v>2522685.4476753348</v>
      </c>
      <c r="AG97" s="224">
        <v>2380293.8327732505</v>
      </c>
      <c r="AH97" s="225">
        <v>2238096.526276875</v>
      </c>
      <c r="AJ97" s="81">
        <f t="shared" si="26"/>
        <v>50025032.35</v>
      </c>
      <c r="AK97" s="81">
        <f t="shared" si="27"/>
        <v>305285.4136476143</v>
      </c>
      <c r="AL97" s="81">
        <f t="shared" si="28"/>
        <v>-7289825.399817529</v>
      </c>
      <c r="AM97" s="81">
        <f t="shared" si="29"/>
        <v>31711304.593585745</v>
      </c>
      <c r="AN97" s="81">
        <f t="shared" si="30"/>
        <v>2840414.796985716</v>
      </c>
      <c r="AO97" s="81">
        <f t="shared" si="31"/>
        <v>2675746.8811671073</v>
      </c>
      <c r="AP97" s="81">
        <f t="shared" si="32"/>
        <v>2522685.4476753348</v>
      </c>
      <c r="AQ97" s="81">
        <f t="shared" si="33"/>
        <v>2380293.8327732505</v>
      </c>
      <c r="AR97" s="81">
        <f t="shared" si="34"/>
        <v>2238096.526276875</v>
      </c>
      <c r="AS97" s="82">
        <v>7799</v>
      </c>
      <c r="AT97" s="82">
        <v>259</v>
      </c>
      <c r="AU97" s="82"/>
      <c r="AV97" s="82">
        <f t="shared" si="35"/>
        <v>259</v>
      </c>
      <c r="AW97" s="82">
        <v>6328.642784402201</v>
      </c>
      <c r="AX97" s="149">
        <v>10087.365585940111</v>
      </c>
      <c r="AY97" s="81">
        <f t="shared" si="36"/>
        <v>-1114843.4337734887</v>
      </c>
      <c r="AZ97" s="409"/>
      <c r="BA97" s="81"/>
      <c r="BB97" s="81"/>
      <c r="BC97" s="81"/>
      <c r="BD97" s="81"/>
      <c r="BE97" s="81"/>
      <c r="BF97" s="81"/>
      <c r="BG97" s="81"/>
    </row>
    <row r="98" spans="1:59" ht="12.75">
      <c r="A98" s="81">
        <v>236</v>
      </c>
      <c r="B98" s="81" t="s">
        <v>220</v>
      </c>
      <c r="C98" s="81">
        <v>16</v>
      </c>
      <c r="D98" s="81">
        <v>4273</v>
      </c>
      <c r="E98" s="100">
        <v>11107280.379297309</v>
      </c>
      <c r="F98" s="81">
        <v>5602031</v>
      </c>
      <c r="G98" s="81">
        <v>853862.133759499</v>
      </c>
      <c r="H98" s="81">
        <v>450460.4349589344</v>
      </c>
      <c r="I98" s="156">
        <v>4272780.889955471</v>
      </c>
      <c r="J98" s="156">
        <v>765118.8001926809</v>
      </c>
      <c r="K98" s="81">
        <v>-813187.2167843464</v>
      </c>
      <c r="L98" s="81">
        <v>905768</v>
      </c>
      <c r="M98" s="82">
        <v>-207000</v>
      </c>
      <c r="N98" s="82">
        <v>39054.56824139962</v>
      </c>
      <c r="O98" s="214">
        <f t="shared" si="20"/>
        <v>761608.2310263291</v>
      </c>
      <c r="P98" s="215">
        <f t="shared" si="21"/>
        <v>178.23735806841307</v>
      </c>
      <c r="Q98" s="81"/>
      <c r="R98" s="223">
        <v>27430172</v>
      </c>
      <c r="S98" s="156">
        <v>12851301.84</v>
      </c>
      <c r="T98" s="156">
        <v>675690.6524384016</v>
      </c>
      <c r="U98" s="156">
        <v>9918707.91676832</v>
      </c>
      <c r="V98" s="156">
        <v>2384753.6547839954</v>
      </c>
      <c r="W98" s="156">
        <v>1552630.133759499</v>
      </c>
      <c r="X98" s="214">
        <f t="shared" si="22"/>
        <v>-47087.80224978179</v>
      </c>
      <c r="Y98" s="215">
        <f t="shared" si="23"/>
        <v>-11.019846068284997</v>
      </c>
      <c r="Z98" s="81"/>
      <c r="AA98" s="94">
        <f t="shared" si="24"/>
        <v>808696.0332761109</v>
      </c>
      <c r="AB98" s="153">
        <f t="shared" si="25"/>
        <v>189.25720413669808</v>
      </c>
      <c r="AD98" s="216">
        <v>-791051.6607223013</v>
      </c>
      <c r="AE98" s="224">
        <v>-736041.6923700301</v>
      </c>
      <c r="AF98" s="224">
        <v>-675873.6898022033</v>
      </c>
      <c r="AG98" s="224">
        <v>-610963.9155407998</v>
      </c>
      <c r="AH98" s="225">
        <v>-545967.7887242646</v>
      </c>
      <c r="AJ98" s="81">
        <f t="shared" si="26"/>
        <v>7249270.84</v>
      </c>
      <c r="AK98" s="81">
        <f t="shared" si="27"/>
        <v>225230.21747946722</v>
      </c>
      <c r="AL98" s="81">
        <f t="shared" si="28"/>
        <v>5645927.026812849</v>
      </c>
      <c r="AM98" s="81">
        <f t="shared" si="29"/>
        <v>16322891.620702691</v>
      </c>
      <c r="AN98" s="81">
        <f t="shared" si="30"/>
        <v>-791051.6607223013</v>
      </c>
      <c r="AO98" s="81">
        <f t="shared" si="31"/>
        <v>-736041.6923700301</v>
      </c>
      <c r="AP98" s="81">
        <f t="shared" si="32"/>
        <v>-675873.6898022033</v>
      </c>
      <c r="AQ98" s="81">
        <f t="shared" si="33"/>
        <v>-610963.9155407998</v>
      </c>
      <c r="AR98" s="81">
        <f t="shared" si="34"/>
        <v>-545967.7887242646</v>
      </c>
      <c r="AS98" s="82">
        <v>1456</v>
      </c>
      <c r="AT98" s="82"/>
      <c r="AU98" s="82">
        <v>14</v>
      </c>
      <c r="AV98" s="82">
        <f t="shared" si="35"/>
        <v>14</v>
      </c>
      <c r="AW98" s="82">
        <v>4320.542124478134</v>
      </c>
      <c r="AX98" s="149">
        <v>-1626.7327536631215</v>
      </c>
      <c r="AY98" s="81">
        <f t="shared" si="36"/>
        <v>-1619634.8545913144</v>
      </c>
      <c r="AZ98" s="409"/>
      <c r="BA98" s="81"/>
      <c r="BB98" s="81"/>
      <c r="BC98" s="81"/>
      <c r="BD98" s="81"/>
      <c r="BE98" s="81"/>
      <c r="BF98" s="81"/>
      <c r="BG98" s="81"/>
    </row>
    <row r="99" spans="1:59" ht="12.75">
      <c r="A99" s="81">
        <v>239</v>
      </c>
      <c r="B99" s="81" t="s">
        <v>221</v>
      </c>
      <c r="C99" s="81">
        <v>11</v>
      </c>
      <c r="D99" s="81">
        <v>2244</v>
      </c>
      <c r="E99" s="100">
        <v>5063897.542599071</v>
      </c>
      <c r="F99" s="81">
        <v>2270210</v>
      </c>
      <c r="G99" s="81">
        <v>507877.1280063442</v>
      </c>
      <c r="H99" s="81">
        <v>708275.3812529473</v>
      </c>
      <c r="I99" s="156">
        <v>1826087.4146304168</v>
      </c>
      <c r="J99" s="156">
        <v>425274.4401653317</v>
      </c>
      <c r="K99" s="81">
        <v>488532.295357188</v>
      </c>
      <c r="L99" s="81">
        <v>-466039</v>
      </c>
      <c r="M99" s="82">
        <v>152000</v>
      </c>
      <c r="N99" s="82">
        <v>20807.40481121388</v>
      </c>
      <c r="O99" s="214">
        <f t="shared" si="20"/>
        <v>869127.5216243714</v>
      </c>
      <c r="P99" s="215">
        <f t="shared" si="21"/>
        <v>387.31172977913167</v>
      </c>
      <c r="Q99" s="81"/>
      <c r="R99" s="223">
        <v>15353520</v>
      </c>
      <c r="S99" s="156">
        <v>5898320.13</v>
      </c>
      <c r="T99" s="156">
        <v>1062413.071879421</v>
      </c>
      <c r="U99" s="156">
        <v>7660215.698096168</v>
      </c>
      <c r="V99" s="156">
        <v>1332468.0667607451</v>
      </c>
      <c r="W99" s="156">
        <v>193838.1280063442</v>
      </c>
      <c r="X99" s="214">
        <f t="shared" si="22"/>
        <v>793735.0947426781</v>
      </c>
      <c r="Y99" s="215">
        <f t="shared" si="23"/>
        <v>353.71439159655887</v>
      </c>
      <c r="Z99" s="81"/>
      <c r="AA99" s="94">
        <f t="shared" si="24"/>
        <v>75392.4268816933</v>
      </c>
      <c r="AB99" s="153">
        <f t="shared" si="25"/>
        <v>33.59733818257277</v>
      </c>
      <c r="AD99" s="216">
        <v>-66126.34403339715</v>
      </c>
      <c r="AE99" s="224">
        <v>-37237.42079855134</v>
      </c>
      <c r="AF99" s="224">
        <v>-5639.714792887073</v>
      </c>
      <c r="AG99" s="224">
        <v>2860.597284822389</v>
      </c>
      <c r="AH99" s="225">
        <v>3333.8312132813694</v>
      </c>
      <c r="AJ99" s="81">
        <f t="shared" si="26"/>
        <v>3628110.13</v>
      </c>
      <c r="AK99" s="81">
        <f t="shared" si="27"/>
        <v>354137.69062647363</v>
      </c>
      <c r="AL99" s="81">
        <f t="shared" si="28"/>
        <v>5834128.283465751</v>
      </c>
      <c r="AM99" s="81">
        <f t="shared" si="29"/>
        <v>10289622.45740093</v>
      </c>
      <c r="AN99" s="81">
        <f t="shared" si="30"/>
        <v>-66126.34403339715</v>
      </c>
      <c r="AO99" s="81">
        <f t="shared" si="31"/>
        <v>-37237.42079855134</v>
      </c>
      <c r="AP99" s="81">
        <f t="shared" si="32"/>
        <v>-5639.714792887073</v>
      </c>
      <c r="AQ99" s="81">
        <f t="shared" si="33"/>
        <v>2860.597284822389</v>
      </c>
      <c r="AR99" s="81">
        <f t="shared" si="34"/>
        <v>3333.8312132813694</v>
      </c>
      <c r="AS99" s="82">
        <v>574</v>
      </c>
      <c r="AT99" s="82">
        <v>75</v>
      </c>
      <c r="AU99" s="82">
        <v>12</v>
      </c>
      <c r="AV99" s="82">
        <f t="shared" si="35"/>
        <v>87</v>
      </c>
      <c r="AW99" s="82">
        <v>5233.581663782293</v>
      </c>
      <c r="AX99" s="149">
        <v>-1019.8904674387526</v>
      </c>
      <c r="AY99" s="81">
        <f t="shared" si="36"/>
        <v>-907193.6265954134</v>
      </c>
      <c r="AZ99" s="409"/>
      <c r="BA99" s="81"/>
      <c r="BB99" s="81"/>
      <c r="BC99" s="81"/>
      <c r="BD99" s="81"/>
      <c r="BE99" s="81"/>
      <c r="BF99" s="81"/>
      <c r="BG99" s="81"/>
    </row>
    <row r="100" spans="1:59" ht="12.75">
      <c r="A100" s="81">
        <v>240</v>
      </c>
      <c r="B100" s="81" t="s">
        <v>222</v>
      </c>
      <c r="C100" s="81">
        <v>19</v>
      </c>
      <c r="D100" s="81">
        <v>21021</v>
      </c>
      <c r="E100" s="100">
        <v>51303937.31008789</v>
      </c>
      <c r="F100" s="81">
        <v>31540811</v>
      </c>
      <c r="G100" s="81">
        <v>6384391.218531096</v>
      </c>
      <c r="H100" s="81">
        <v>3506206.3077599714</v>
      </c>
      <c r="I100" s="156">
        <v>7922175.094348349</v>
      </c>
      <c r="J100" s="156">
        <v>3116732.4016307592</v>
      </c>
      <c r="K100" s="81">
        <v>-8107333.138036104</v>
      </c>
      <c r="L100" s="81">
        <v>1465218</v>
      </c>
      <c r="M100" s="82">
        <v>2506000</v>
      </c>
      <c r="N100" s="82">
        <v>245749.8526628142</v>
      </c>
      <c r="O100" s="214">
        <f t="shared" si="20"/>
        <v>-2723986.573191002</v>
      </c>
      <c r="P100" s="215">
        <f t="shared" si="21"/>
        <v>-129.58406228014852</v>
      </c>
      <c r="Q100" s="81"/>
      <c r="R100" s="223">
        <v>149898840</v>
      </c>
      <c r="S100" s="156">
        <v>76820810.92</v>
      </c>
      <c r="T100" s="156">
        <v>5259309.461639957</v>
      </c>
      <c r="U100" s="156">
        <v>40620373.69735481</v>
      </c>
      <c r="V100" s="156">
        <v>9383918.859534383</v>
      </c>
      <c r="W100" s="156">
        <v>10355609.218531096</v>
      </c>
      <c r="X100" s="214">
        <f t="shared" si="22"/>
        <v>-7458817.842939764</v>
      </c>
      <c r="Y100" s="215">
        <f t="shared" si="23"/>
        <v>-354.826975069681</v>
      </c>
      <c r="Z100" s="81"/>
      <c r="AA100" s="94">
        <f t="shared" si="24"/>
        <v>4734831.269748762</v>
      </c>
      <c r="AB100" s="153">
        <f t="shared" si="25"/>
        <v>225.24291278953248</v>
      </c>
      <c r="AD100" s="216">
        <v>-4648029.8760081325</v>
      </c>
      <c r="AE100" s="224">
        <v>-4377408.639234651</v>
      </c>
      <c r="AF100" s="224">
        <v>-4081412.4815051192</v>
      </c>
      <c r="AG100" s="224">
        <v>-3762089.204007117</v>
      </c>
      <c r="AH100" s="225">
        <v>-3442341.1155890534</v>
      </c>
      <c r="AJ100" s="81">
        <f t="shared" si="26"/>
        <v>45279999.92</v>
      </c>
      <c r="AK100" s="81">
        <f t="shared" si="27"/>
        <v>1753103.1538799852</v>
      </c>
      <c r="AL100" s="81">
        <f t="shared" si="28"/>
        <v>32698198.60300646</v>
      </c>
      <c r="AM100" s="81">
        <f t="shared" si="29"/>
        <v>98594902.68991211</v>
      </c>
      <c r="AN100" s="81">
        <f t="shared" si="30"/>
        <v>-4648029.8760081325</v>
      </c>
      <c r="AO100" s="81">
        <f t="shared" si="31"/>
        <v>-4377408.639234651</v>
      </c>
      <c r="AP100" s="81">
        <f t="shared" si="32"/>
        <v>-4081412.4815051192</v>
      </c>
      <c r="AQ100" s="81">
        <f t="shared" si="33"/>
        <v>-3762089.204007117</v>
      </c>
      <c r="AR100" s="81">
        <f t="shared" si="34"/>
        <v>-3442341.1155890534</v>
      </c>
      <c r="AS100" s="82">
        <v>5087</v>
      </c>
      <c r="AT100" s="82">
        <v>56</v>
      </c>
      <c r="AU100" s="82"/>
      <c r="AV100" s="82">
        <f t="shared" si="35"/>
        <v>56</v>
      </c>
      <c r="AW100" s="82">
        <v>31157.209459729685</v>
      </c>
      <c r="AX100" s="149">
        <v>-1042.0150906308436</v>
      </c>
      <c r="AY100" s="81">
        <f t="shared" si="36"/>
        <v>-6267186.457903624</v>
      </c>
      <c r="AZ100" s="409"/>
      <c r="BA100" s="81"/>
      <c r="BB100" s="81"/>
      <c r="BC100" s="81"/>
      <c r="BD100" s="81"/>
      <c r="BE100" s="81"/>
      <c r="BF100" s="81"/>
      <c r="BG100" s="81"/>
    </row>
    <row r="101" spans="1:59" ht="12.75">
      <c r="A101" s="81">
        <v>241</v>
      </c>
      <c r="B101" s="81" t="s">
        <v>224</v>
      </c>
      <c r="C101" s="81">
        <v>19</v>
      </c>
      <c r="D101" s="81">
        <v>8147</v>
      </c>
      <c r="E101" s="100">
        <v>18857556.712283812</v>
      </c>
      <c r="F101" s="81">
        <v>12113505</v>
      </c>
      <c r="G101" s="81">
        <v>3661034.4416437484</v>
      </c>
      <c r="H101" s="81">
        <v>832486.3160179105</v>
      </c>
      <c r="I101" s="156">
        <v>5242340.681287467</v>
      </c>
      <c r="J101" s="156">
        <v>1140015.9786614245</v>
      </c>
      <c r="K101" s="81">
        <v>-2906471.763614442</v>
      </c>
      <c r="L101" s="81">
        <v>-675844</v>
      </c>
      <c r="M101" s="82">
        <v>28200</v>
      </c>
      <c r="N101" s="82">
        <v>98987.0194960736</v>
      </c>
      <c r="O101" s="214">
        <f t="shared" si="20"/>
        <v>676696.9612083696</v>
      </c>
      <c r="P101" s="215">
        <f t="shared" si="21"/>
        <v>83.06087654454026</v>
      </c>
      <c r="Q101" s="81"/>
      <c r="R101" s="223">
        <v>51913960</v>
      </c>
      <c r="S101" s="156">
        <v>30642000.325</v>
      </c>
      <c r="T101" s="156">
        <v>1248729.4740268656</v>
      </c>
      <c r="U101" s="156">
        <v>12373352.384835063</v>
      </c>
      <c r="V101" s="156">
        <v>3380037.833460593</v>
      </c>
      <c r="W101" s="156">
        <v>3013390.4416437484</v>
      </c>
      <c r="X101" s="214">
        <f t="shared" si="22"/>
        <v>-1256449.54103373</v>
      </c>
      <c r="Y101" s="215">
        <f t="shared" si="23"/>
        <v>-154.22235682260094</v>
      </c>
      <c r="Z101" s="81"/>
      <c r="AA101" s="94">
        <f t="shared" si="24"/>
        <v>1933146.5022420995</v>
      </c>
      <c r="AB101" s="153">
        <f t="shared" si="25"/>
        <v>237.2832333671412</v>
      </c>
      <c r="AD101" s="216">
        <v>-1899505.3360366425</v>
      </c>
      <c r="AE101" s="224">
        <v>-1794622.0661639648</v>
      </c>
      <c r="AF101" s="224">
        <v>-1679904.369716484</v>
      </c>
      <c r="AG101" s="224">
        <v>-1556145.9023849478</v>
      </c>
      <c r="AH101" s="225">
        <v>-1432222.7932872851</v>
      </c>
      <c r="AJ101" s="81">
        <f t="shared" si="26"/>
        <v>18528495.325</v>
      </c>
      <c r="AK101" s="81">
        <f t="shared" si="27"/>
        <v>416243.15800895507</v>
      </c>
      <c r="AL101" s="81">
        <f t="shared" si="28"/>
        <v>7131011.703547596</v>
      </c>
      <c r="AM101" s="81">
        <f t="shared" si="29"/>
        <v>33056403.287716188</v>
      </c>
      <c r="AN101" s="81">
        <f t="shared" si="30"/>
        <v>-1899505.3360366425</v>
      </c>
      <c r="AO101" s="81">
        <f t="shared" si="31"/>
        <v>-1794622.0661639648</v>
      </c>
      <c r="AP101" s="81">
        <f t="shared" si="32"/>
        <v>-1679904.369716484</v>
      </c>
      <c r="AQ101" s="81">
        <f t="shared" si="33"/>
        <v>-1556145.9023849478</v>
      </c>
      <c r="AR101" s="81">
        <f t="shared" si="34"/>
        <v>-1432222.7932872851</v>
      </c>
      <c r="AS101" s="82">
        <v>1688</v>
      </c>
      <c r="AT101" s="82">
        <v>100</v>
      </c>
      <c r="AU101" s="82"/>
      <c r="AV101" s="82">
        <f t="shared" si="35"/>
        <v>100</v>
      </c>
      <c r="AW101" s="82">
        <v>7400.628916451622</v>
      </c>
      <c r="AX101" s="149">
        <v>207.8126325395179</v>
      </c>
      <c r="AY101" s="81">
        <f t="shared" si="36"/>
        <v>-2240021.8547991687</v>
      </c>
      <c r="AZ101" s="409"/>
      <c r="BA101" s="81"/>
      <c r="BB101" s="81"/>
      <c r="BC101" s="81"/>
      <c r="BD101" s="81"/>
      <c r="BE101" s="81"/>
      <c r="BF101" s="81"/>
      <c r="BG101" s="81"/>
    </row>
    <row r="102" spans="1:59" ht="12.75">
      <c r="A102" s="81">
        <v>244</v>
      </c>
      <c r="B102" s="81" t="s">
        <v>225</v>
      </c>
      <c r="C102" s="81">
        <v>17</v>
      </c>
      <c r="D102" s="81">
        <v>17923</v>
      </c>
      <c r="E102" s="100">
        <v>50066104.81792229</v>
      </c>
      <c r="F102" s="81">
        <v>24894381</v>
      </c>
      <c r="G102" s="81">
        <v>3559322.8828843078</v>
      </c>
      <c r="H102" s="81">
        <v>2299809.2224925663</v>
      </c>
      <c r="I102" s="156">
        <v>18456983.409961116</v>
      </c>
      <c r="J102" s="156">
        <v>2019038.3427785132</v>
      </c>
      <c r="K102" s="81">
        <v>762849.063245467</v>
      </c>
      <c r="L102" s="81">
        <v>-397046</v>
      </c>
      <c r="M102" s="82">
        <v>-730000</v>
      </c>
      <c r="N102" s="82">
        <v>223395.39744066822</v>
      </c>
      <c r="O102" s="214">
        <f t="shared" si="20"/>
        <v>1022628.5008803532</v>
      </c>
      <c r="P102" s="215">
        <f t="shared" si="21"/>
        <v>57.056770679035495</v>
      </c>
      <c r="Q102" s="81"/>
      <c r="R102" s="223">
        <v>102270812</v>
      </c>
      <c r="S102" s="156">
        <v>66499247.71499999</v>
      </c>
      <c r="T102" s="156">
        <v>3449713.83373885</v>
      </c>
      <c r="U102" s="156">
        <v>24976175.630997498</v>
      </c>
      <c r="V102" s="156">
        <v>5898338.856572716</v>
      </c>
      <c r="W102" s="156">
        <v>2432276.8828843078</v>
      </c>
      <c r="X102" s="214">
        <f t="shared" si="22"/>
        <v>984940.9191933572</v>
      </c>
      <c r="Y102" s="215">
        <f t="shared" si="23"/>
        <v>54.95402104521326</v>
      </c>
      <c r="Z102" s="81"/>
      <c r="AA102" s="94">
        <f t="shared" si="24"/>
        <v>37687.58168699592</v>
      </c>
      <c r="AB102" s="153">
        <f t="shared" si="25"/>
        <v>2.1027496338222353</v>
      </c>
      <c r="AD102" s="216">
        <v>36321.33225683647</v>
      </c>
      <c r="AE102" s="224">
        <v>35901.95812304003</v>
      </c>
      <c r="AF102" s="224">
        <v>19430.25791783533</v>
      </c>
      <c r="AG102" s="224">
        <v>22847.809775343885</v>
      </c>
      <c r="AH102" s="225">
        <v>26627.56543477807</v>
      </c>
      <c r="AJ102" s="81">
        <f t="shared" si="26"/>
        <v>41604866.71499999</v>
      </c>
      <c r="AK102" s="81">
        <f t="shared" si="27"/>
        <v>1149904.6112462836</v>
      </c>
      <c r="AL102" s="81">
        <f t="shared" si="28"/>
        <v>6519192.221036382</v>
      </c>
      <c r="AM102" s="81">
        <f t="shared" si="29"/>
        <v>52204707.18207771</v>
      </c>
      <c r="AN102" s="81">
        <f t="shared" si="30"/>
        <v>36321.33225683647</v>
      </c>
      <c r="AO102" s="81">
        <f t="shared" si="31"/>
        <v>35901.95812304003</v>
      </c>
      <c r="AP102" s="81">
        <f t="shared" si="32"/>
        <v>19430.25791783533</v>
      </c>
      <c r="AQ102" s="81">
        <f t="shared" si="33"/>
        <v>22847.809775343885</v>
      </c>
      <c r="AR102" s="81">
        <f t="shared" si="34"/>
        <v>26627.56543477807</v>
      </c>
      <c r="AS102" s="82">
        <v>5241</v>
      </c>
      <c r="AT102" s="82">
        <v>82</v>
      </c>
      <c r="AU102" s="82"/>
      <c r="AV102" s="82">
        <f t="shared" si="35"/>
        <v>82</v>
      </c>
      <c r="AW102" s="82">
        <v>7648.746654377717</v>
      </c>
      <c r="AX102" s="149">
        <v>437.4310397968483</v>
      </c>
      <c r="AY102" s="81">
        <f t="shared" si="36"/>
        <v>-3879300.5137942024</v>
      </c>
      <c r="AZ102" s="409"/>
      <c r="BA102" s="81"/>
      <c r="BB102" s="81"/>
      <c r="BC102" s="81"/>
      <c r="BD102" s="81"/>
      <c r="BE102" s="81"/>
      <c r="BF102" s="81"/>
      <c r="BG102" s="81"/>
    </row>
    <row r="103" spans="1:59" ht="12.75">
      <c r="A103" s="81">
        <v>245</v>
      </c>
      <c r="B103" s="81" t="s">
        <v>226</v>
      </c>
      <c r="C103" s="81">
        <v>1</v>
      </c>
      <c r="D103" s="81">
        <v>36254</v>
      </c>
      <c r="E103" s="100">
        <v>91161107.24560912</v>
      </c>
      <c r="F103" s="81">
        <v>47527920</v>
      </c>
      <c r="G103" s="81">
        <v>10198058.565045565</v>
      </c>
      <c r="H103" s="81">
        <v>4324256.840647497</v>
      </c>
      <c r="I103" s="156">
        <v>13921198.635559948</v>
      </c>
      <c r="J103" s="156">
        <v>4451983.070477439</v>
      </c>
      <c r="K103" s="81">
        <v>4700066.165489563</v>
      </c>
      <c r="L103" s="81">
        <v>-3360630</v>
      </c>
      <c r="M103" s="82">
        <v>300000</v>
      </c>
      <c r="N103" s="82">
        <v>518726.5486182806</v>
      </c>
      <c r="O103" s="214">
        <f t="shared" si="20"/>
        <v>-8579527.419770822</v>
      </c>
      <c r="P103" s="215">
        <f t="shared" si="21"/>
        <v>-236.65050531722906</v>
      </c>
      <c r="Q103" s="81"/>
      <c r="R103" s="223">
        <v>201184984</v>
      </c>
      <c r="S103" s="156">
        <v>144642836.77</v>
      </c>
      <c r="T103" s="156">
        <v>6486385.260971246</v>
      </c>
      <c r="U103" s="156">
        <v>24694191.346108735</v>
      </c>
      <c r="V103" s="156">
        <v>13016671.765073275</v>
      </c>
      <c r="W103" s="156">
        <v>7137428.565045565</v>
      </c>
      <c r="X103" s="214">
        <f t="shared" si="22"/>
        <v>-5207470.292801172</v>
      </c>
      <c r="Y103" s="215">
        <f t="shared" si="23"/>
        <v>-143.6385031389963</v>
      </c>
      <c r="Z103" s="81"/>
      <c r="AA103" s="94">
        <f t="shared" si="24"/>
        <v>-3372057.1269696504</v>
      </c>
      <c r="AB103" s="153">
        <f t="shared" si="25"/>
        <v>-93.01200217823276</v>
      </c>
      <c r="AD103" s="216">
        <v>3521759.6971933525</v>
      </c>
      <c r="AE103" s="224">
        <v>2900868.3170490135</v>
      </c>
      <c r="AF103" s="224">
        <v>2323739.9540941794</v>
      </c>
      <c r="AG103" s="224">
        <v>1786842.8551175634</v>
      </c>
      <c r="AH103" s="225">
        <v>1250678.4089688787</v>
      </c>
      <c r="AJ103" s="81">
        <f t="shared" si="26"/>
        <v>97114916.77000001</v>
      </c>
      <c r="AK103" s="81">
        <f t="shared" si="27"/>
        <v>2162128.420323749</v>
      </c>
      <c r="AL103" s="81">
        <f t="shared" si="28"/>
        <v>10772992.710548786</v>
      </c>
      <c r="AM103" s="81">
        <f t="shared" si="29"/>
        <v>110023876.75439088</v>
      </c>
      <c r="AN103" s="81">
        <f t="shared" si="30"/>
        <v>3521759.6971933525</v>
      </c>
      <c r="AO103" s="81">
        <f t="shared" si="31"/>
        <v>2900868.3170490135</v>
      </c>
      <c r="AP103" s="81">
        <f t="shared" si="32"/>
        <v>2323739.9540941794</v>
      </c>
      <c r="AQ103" s="81">
        <f t="shared" si="33"/>
        <v>1786842.8551175634</v>
      </c>
      <c r="AR103" s="81">
        <f t="shared" si="34"/>
        <v>1250678.4089688787</v>
      </c>
      <c r="AS103" s="82">
        <v>21953</v>
      </c>
      <c r="AT103" s="82">
        <v>817</v>
      </c>
      <c r="AU103" s="82"/>
      <c r="AV103" s="82">
        <f t="shared" si="35"/>
        <v>817</v>
      </c>
      <c r="AW103" s="82">
        <v>17217.06273899303</v>
      </c>
      <c r="AX103" s="149">
        <v>6387.689586190357</v>
      </c>
      <c r="AY103" s="81">
        <f t="shared" si="36"/>
        <v>-8564688.694595836</v>
      </c>
      <c r="AZ103" s="409"/>
      <c r="BA103" s="81"/>
      <c r="BB103" s="81"/>
      <c r="BC103" s="81"/>
      <c r="BD103" s="81"/>
      <c r="BE103" s="81"/>
      <c r="BF103" s="81"/>
      <c r="BG103" s="81"/>
    </row>
    <row r="104" spans="1:59" ht="12.75">
      <c r="A104" s="81">
        <v>249</v>
      </c>
      <c r="B104" s="81" t="s">
        <v>227</v>
      </c>
      <c r="C104" s="81">
        <v>13</v>
      </c>
      <c r="D104" s="81">
        <v>9762</v>
      </c>
      <c r="E104" s="100">
        <v>26640864.540529974</v>
      </c>
      <c r="F104" s="81">
        <v>12691251</v>
      </c>
      <c r="G104" s="81">
        <v>2287149.0608913577</v>
      </c>
      <c r="H104" s="81">
        <v>1801859.4861686497</v>
      </c>
      <c r="I104" s="156">
        <v>5610593.944468987</v>
      </c>
      <c r="J104" s="156">
        <v>1565068.185102513</v>
      </c>
      <c r="K104" s="81">
        <v>415907.0850239669</v>
      </c>
      <c r="L104" s="81">
        <v>-28801</v>
      </c>
      <c r="M104" s="82">
        <v>235570</v>
      </c>
      <c r="N104" s="82">
        <v>100087.90779272231</v>
      </c>
      <c r="O104" s="214">
        <f t="shared" si="20"/>
        <v>-1962178.871081777</v>
      </c>
      <c r="P104" s="215">
        <f t="shared" si="21"/>
        <v>-201.00172824029676</v>
      </c>
      <c r="Q104" s="81"/>
      <c r="R104" s="223">
        <v>66986724</v>
      </c>
      <c r="S104" s="156">
        <v>30945754.445</v>
      </c>
      <c r="T104" s="156">
        <v>2702789.2292529745</v>
      </c>
      <c r="U104" s="156">
        <v>25046585.345250275</v>
      </c>
      <c r="V104" s="156">
        <v>4817850.428512238</v>
      </c>
      <c r="W104" s="156">
        <v>2493918.0608913577</v>
      </c>
      <c r="X104" s="214">
        <f t="shared" si="22"/>
        <v>-979826.4910931587</v>
      </c>
      <c r="Y104" s="215">
        <f t="shared" si="23"/>
        <v>-100.3714905852447</v>
      </c>
      <c r="Z104" s="81"/>
      <c r="AA104" s="94">
        <f t="shared" si="24"/>
        <v>-982352.3799886182</v>
      </c>
      <c r="AB104" s="153">
        <f t="shared" si="25"/>
        <v>-100.63023765505206</v>
      </c>
      <c r="AD104" s="216">
        <v>1022662.3179409602</v>
      </c>
      <c r="AE104" s="224">
        <v>855476.858323565</v>
      </c>
      <c r="AF104" s="224">
        <v>700075.328032698</v>
      </c>
      <c r="AG104" s="224">
        <v>555506.7430431872</v>
      </c>
      <c r="AH104" s="225">
        <v>411135.43716511974</v>
      </c>
      <c r="AJ104" s="81">
        <f t="shared" si="26"/>
        <v>18254503.445</v>
      </c>
      <c r="AK104" s="81">
        <f t="shared" si="27"/>
        <v>900929.7430843248</v>
      </c>
      <c r="AL104" s="81">
        <f t="shared" si="28"/>
        <v>19435991.40078129</v>
      </c>
      <c r="AM104" s="81">
        <f t="shared" si="29"/>
        <v>40345859.459470026</v>
      </c>
      <c r="AN104" s="81">
        <f t="shared" si="30"/>
        <v>1022662.3179409602</v>
      </c>
      <c r="AO104" s="81">
        <f t="shared" si="31"/>
        <v>855476.858323565</v>
      </c>
      <c r="AP104" s="81">
        <f t="shared" si="32"/>
        <v>700075.328032698</v>
      </c>
      <c r="AQ104" s="81">
        <f t="shared" si="33"/>
        <v>555506.7430431872</v>
      </c>
      <c r="AR104" s="81">
        <f t="shared" si="34"/>
        <v>411135.43716511974</v>
      </c>
      <c r="AS104" s="82">
        <v>5031</v>
      </c>
      <c r="AT104" s="82">
        <v>21</v>
      </c>
      <c r="AU104" s="82">
        <v>6</v>
      </c>
      <c r="AV104" s="82">
        <f t="shared" si="35"/>
        <v>27</v>
      </c>
      <c r="AW104" s="82">
        <v>15787.69058180643</v>
      </c>
      <c r="AX104" s="149">
        <v>-3022.6697364815022</v>
      </c>
      <c r="AY104" s="81">
        <f t="shared" si="36"/>
        <v>-3252782.243409725</v>
      </c>
      <c r="AZ104" s="409"/>
      <c r="BA104" s="81"/>
      <c r="BB104" s="81"/>
      <c r="BC104" s="81"/>
      <c r="BD104" s="81"/>
      <c r="BE104" s="81"/>
      <c r="BF104" s="81"/>
      <c r="BG104" s="81"/>
    </row>
    <row r="105" spans="1:59" ht="12.75">
      <c r="A105" s="81">
        <v>250</v>
      </c>
      <c r="B105" s="81" t="s">
        <v>228</v>
      </c>
      <c r="C105" s="81">
        <v>6</v>
      </c>
      <c r="D105" s="81">
        <v>1910</v>
      </c>
      <c r="E105" s="100">
        <v>4461964.606150206</v>
      </c>
      <c r="F105" s="81">
        <v>1975232</v>
      </c>
      <c r="G105" s="81">
        <v>510153.3429510653</v>
      </c>
      <c r="H105" s="81">
        <v>461367.10218170885</v>
      </c>
      <c r="I105" s="156">
        <v>1470587.5796775264</v>
      </c>
      <c r="J105" s="156">
        <v>400071.99234254914</v>
      </c>
      <c r="K105" s="81">
        <v>-92816.12280082187</v>
      </c>
      <c r="L105" s="81">
        <v>-369711</v>
      </c>
      <c r="M105" s="82">
        <v>-80600</v>
      </c>
      <c r="N105" s="82">
        <v>15080.71831282279</v>
      </c>
      <c r="O105" s="214">
        <f t="shared" si="20"/>
        <v>-172598.99348535575</v>
      </c>
      <c r="P105" s="215">
        <f t="shared" si="21"/>
        <v>-90.36596517557892</v>
      </c>
      <c r="Q105" s="81"/>
      <c r="R105" s="223">
        <v>13212108</v>
      </c>
      <c r="S105" s="156">
        <v>4630788.14</v>
      </c>
      <c r="T105" s="156">
        <v>692050.6532725632</v>
      </c>
      <c r="U105" s="156">
        <v>6261797.044071691</v>
      </c>
      <c r="V105" s="156">
        <v>1266758.7212090224</v>
      </c>
      <c r="W105" s="156">
        <v>59842.34295106528</v>
      </c>
      <c r="X105" s="214">
        <f t="shared" si="22"/>
        <v>-300871.0984956585</v>
      </c>
      <c r="Y105" s="215">
        <f t="shared" si="23"/>
        <v>-157.5241353380411</v>
      </c>
      <c r="Z105" s="81"/>
      <c r="AA105" s="94">
        <f t="shared" si="24"/>
        <v>128272.10501030274</v>
      </c>
      <c r="AB105" s="153">
        <f t="shared" si="25"/>
        <v>67.15817016246217</v>
      </c>
      <c r="AD105" s="216">
        <v>-120385.19848613157</v>
      </c>
      <c r="AE105" s="224">
        <v>-95796.14172206937</v>
      </c>
      <c r="AF105" s="224">
        <v>-68901.4810844496</v>
      </c>
      <c r="AG105" s="224">
        <v>-39887.28290067225</v>
      </c>
      <c r="AH105" s="225">
        <v>-10834.48575122633</v>
      </c>
      <c r="AJ105" s="81">
        <f t="shared" si="26"/>
        <v>2655556.1399999997</v>
      </c>
      <c r="AK105" s="81">
        <f t="shared" si="27"/>
        <v>230683.5510908544</v>
      </c>
      <c r="AL105" s="81">
        <f t="shared" si="28"/>
        <v>4791209.464394165</v>
      </c>
      <c r="AM105" s="81">
        <f t="shared" si="29"/>
        <v>8750143.393849794</v>
      </c>
      <c r="AN105" s="81">
        <f t="shared" si="30"/>
        <v>-120385.19848613157</v>
      </c>
      <c r="AO105" s="81">
        <f t="shared" si="31"/>
        <v>-95796.14172206937</v>
      </c>
      <c r="AP105" s="81">
        <f t="shared" si="32"/>
        <v>-68901.4810844496</v>
      </c>
      <c r="AQ105" s="81">
        <f t="shared" si="33"/>
        <v>-39887.28290067225</v>
      </c>
      <c r="AR105" s="81">
        <f t="shared" si="34"/>
        <v>-10834.48575122633</v>
      </c>
      <c r="AS105" s="82">
        <v>599</v>
      </c>
      <c r="AT105" s="82">
        <v>15</v>
      </c>
      <c r="AU105" s="82"/>
      <c r="AV105" s="82">
        <f t="shared" si="35"/>
        <v>15</v>
      </c>
      <c r="AW105" s="82">
        <v>3753.563097445164</v>
      </c>
      <c r="AX105" s="149">
        <v>-1119.5859577304243</v>
      </c>
      <c r="AY105" s="81">
        <f t="shared" si="36"/>
        <v>-866686.7288664733</v>
      </c>
      <c r="AZ105" s="409"/>
      <c r="BA105" s="81"/>
      <c r="BB105" s="81"/>
      <c r="BC105" s="81"/>
      <c r="BD105" s="81"/>
      <c r="BE105" s="81"/>
      <c r="BF105" s="81"/>
      <c r="BG105" s="81"/>
    </row>
    <row r="106" spans="1:59" ht="12.75">
      <c r="A106" s="81">
        <v>256</v>
      </c>
      <c r="B106" s="81" t="s">
        <v>229</v>
      </c>
      <c r="C106" s="81">
        <v>13</v>
      </c>
      <c r="D106" s="81">
        <v>1615</v>
      </c>
      <c r="E106" s="100">
        <v>4649213.437844047</v>
      </c>
      <c r="F106" s="81">
        <v>1551182</v>
      </c>
      <c r="G106" s="81">
        <v>374769.84119323426</v>
      </c>
      <c r="H106" s="81">
        <v>417563.08445396164</v>
      </c>
      <c r="I106" s="156">
        <v>2232658.061529862</v>
      </c>
      <c r="J106" s="156">
        <v>305676.1084136984</v>
      </c>
      <c r="K106" s="81">
        <v>-488986.00724087516</v>
      </c>
      <c r="L106" s="81">
        <v>171301</v>
      </c>
      <c r="M106" s="82">
        <v>43000</v>
      </c>
      <c r="N106" s="82">
        <v>13289.646185372356</v>
      </c>
      <c r="O106" s="214">
        <f t="shared" si="20"/>
        <v>-28759.703308793716</v>
      </c>
      <c r="P106" s="215">
        <f t="shared" si="21"/>
        <v>-17.807865825878462</v>
      </c>
      <c r="Q106" s="81"/>
      <c r="R106" s="223">
        <v>12647488</v>
      </c>
      <c r="S106" s="156">
        <v>3885853.8599999994</v>
      </c>
      <c r="T106" s="156">
        <v>626344.6266809424</v>
      </c>
      <c r="U106" s="156">
        <v>6020766.449415274</v>
      </c>
      <c r="V106" s="156">
        <v>964702.1354561135</v>
      </c>
      <c r="W106" s="156">
        <v>589070.8411932343</v>
      </c>
      <c r="X106" s="214">
        <f t="shared" si="22"/>
        <v>-560750.0872544367</v>
      </c>
      <c r="Y106" s="215">
        <f t="shared" si="23"/>
        <v>-347.21367631853667</v>
      </c>
      <c r="Z106" s="81"/>
      <c r="AA106" s="94">
        <f t="shared" si="24"/>
        <v>531990.383945643</v>
      </c>
      <c r="AB106" s="153">
        <f t="shared" si="25"/>
        <v>329.4058104926582</v>
      </c>
      <c r="AD106" s="216">
        <v>-525321.6121987643</v>
      </c>
      <c r="AE106" s="224">
        <v>-504530.34168883745</v>
      </c>
      <c r="AF106" s="224">
        <v>-481789.5684271851</v>
      </c>
      <c r="AG106" s="224">
        <v>-457256.62074823206</v>
      </c>
      <c r="AH106" s="225">
        <v>-432691.0357239623</v>
      </c>
      <c r="AJ106" s="81">
        <f t="shared" si="26"/>
        <v>2334671.8599999994</v>
      </c>
      <c r="AK106" s="81">
        <f t="shared" si="27"/>
        <v>208781.54222698073</v>
      </c>
      <c r="AL106" s="81">
        <f t="shared" si="28"/>
        <v>3788108.3878854117</v>
      </c>
      <c r="AM106" s="81">
        <f t="shared" si="29"/>
        <v>7998274.562155953</v>
      </c>
      <c r="AN106" s="81">
        <f t="shared" si="30"/>
        <v>-525321.6121987643</v>
      </c>
      <c r="AO106" s="81">
        <f t="shared" si="31"/>
        <v>-504530.34168883745</v>
      </c>
      <c r="AP106" s="81">
        <f t="shared" si="32"/>
        <v>-481789.5684271851</v>
      </c>
      <c r="AQ106" s="81">
        <f t="shared" si="33"/>
        <v>-457256.62074823206</v>
      </c>
      <c r="AR106" s="81">
        <f t="shared" si="34"/>
        <v>-432691.0357239623</v>
      </c>
      <c r="AS106" s="82">
        <v>927</v>
      </c>
      <c r="AT106" s="82">
        <v>8</v>
      </c>
      <c r="AU106" s="82">
        <v>12</v>
      </c>
      <c r="AV106" s="82">
        <f t="shared" si="35"/>
        <v>20</v>
      </c>
      <c r="AW106" s="82">
        <v>2988.4070573267004</v>
      </c>
      <c r="AX106" s="149">
        <v>-1018.8450299576871</v>
      </c>
      <c r="AY106" s="81">
        <f t="shared" si="36"/>
        <v>-659026.0270424151</v>
      </c>
      <c r="AZ106" s="409"/>
      <c r="BA106" s="81"/>
      <c r="BB106" s="81"/>
      <c r="BC106" s="81"/>
      <c r="BD106" s="81"/>
      <c r="BE106" s="81"/>
      <c r="BF106" s="81"/>
      <c r="BG106" s="81"/>
    </row>
    <row r="107" spans="1:59" ht="12.75">
      <c r="A107" s="154">
        <v>257</v>
      </c>
      <c r="B107" s="154" t="s">
        <v>230</v>
      </c>
      <c r="C107" s="81">
        <v>1</v>
      </c>
      <c r="D107" s="154">
        <v>39262</v>
      </c>
      <c r="E107" s="155">
        <v>120984526.91460404</v>
      </c>
      <c r="F107" s="81">
        <v>62119549</v>
      </c>
      <c r="G107" s="81">
        <v>11332151.791288331</v>
      </c>
      <c r="H107" s="154">
        <v>3516183.5251080384</v>
      </c>
      <c r="I107" s="156">
        <v>28859791.848087203</v>
      </c>
      <c r="J107" s="156">
        <v>4350079.500944458</v>
      </c>
      <c r="K107" s="81">
        <v>3800914.9726082585</v>
      </c>
      <c r="L107" s="154">
        <v>-2743988</v>
      </c>
      <c r="M107" s="82">
        <v>-1282698</v>
      </c>
      <c r="N107" s="82">
        <v>633661.0317159721</v>
      </c>
      <c r="O107" s="214">
        <f t="shared" si="20"/>
        <v>-10398881.244851768</v>
      </c>
      <c r="P107" s="215">
        <f t="shared" si="21"/>
        <v>-264.8586736501393</v>
      </c>
      <c r="Q107" s="154"/>
      <c r="R107" s="226">
        <v>240113720</v>
      </c>
      <c r="S107" s="156">
        <v>181635363.5925</v>
      </c>
      <c r="T107" s="227">
        <v>5274275.287662058</v>
      </c>
      <c r="U107" s="227">
        <v>25883452.085814916</v>
      </c>
      <c r="V107" s="227">
        <v>12240814.315231204</v>
      </c>
      <c r="W107" s="227">
        <v>7305465.791288331</v>
      </c>
      <c r="X107" s="214">
        <f t="shared" si="22"/>
        <v>-7774348.927503496</v>
      </c>
      <c r="Y107" s="215">
        <f t="shared" si="23"/>
        <v>-198.0120454256914</v>
      </c>
      <c r="Z107" s="154"/>
      <c r="AA107" s="94">
        <f t="shared" si="24"/>
        <v>-2624532.3173482716</v>
      </c>
      <c r="AB107" s="153">
        <f t="shared" si="25"/>
        <v>-66.84662822444785</v>
      </c>
      <c r="AD107" s="216">
        <v>2786655.7330299825</v>
      </c>
      <c r="AE107" s="224">
        <v>2114248.898826113</v>
      </c>
      <c r="AF107" s="224">
        <v>1489236.1061319911</v>
      </c>
      <c r="AG107" s="224">
        <v>907792.5716249051</v>
      </c>
      <c r="AH107" s="225">
        <v>327142.47826445795</v>
      </c>
      <c r="AJ107" s="81">
        <f t="shared" si="26"/>
        <v>119515814.5925</v>
      </c>
      <c r="AK107" s="81">
        <f t="shared" si="27"/>
        <v>1758091.7625540197</v>
      </c>
      <c r="AL107" s="81">
        <f t="shared" si="28"/>
        <v>-2976339.762272287</v>
      </c>
      <c r="AM107" s="81">
        <f t="shared" si="29"/>
        <v>119129193.08539596</v>
      </c>
      <c r="AN107" s="81">
        <f t="shared" si="30"/>
        <v>2786655.7330299825</v>
      </c>
      <c r="AO107" s="81">
        <f t="shared" si="31"/>
        <v>2114248.898826113</v>
      </c>
      <c r="AP107" s="81">
        <f t="shared" si="32"/>
        <v>1489236.1061319911</v>
      </c>
      <c r="AQ107" s="81">
        <f t="shared" si="33"/>
        <v>907792.5716249051</v>
      </c>
      <c r="AR107" s="81">
        <f t="shared" si="34"/>
        <v>327142.47826445795</v>
      </c>
      <c r="AS107" s="82">
        <v>17602</v>
      </c>
      <c r="AT107" s="82">
        <v>380</v>
      </c>
      <c r="AU107" s="82"/>
      <c r="AV107" s="82">
        <f t="shared" si="35"/>
        <v>380</v>
      </c>
      <c r="AW107" s="82">
        <v>8448.121115681306</v>
      </c>
      <c r="AX107" s="149">
        <v>11195.508570308411</v>
      </c>
      <c r="AY107" s="81">
        <f t="shared" si="36"/>
        <v>-7890734.814286746</v>
      </c>
      <c r="AZ107" s="409"/>
      <c r="BA107" s="81"/>
      <c r="BB107" s="81"/>
      <c r="BC107" s="81"/>
      <c r="BD107" s="81"/>
      <c r="BE107" s="81"/>
      <c r="BF107" s="81"/>
      <c r="BG107" s="81"/>
    </row>
    <row r="108" spans="1:59" ht="12.75">
      <c r="A108" s="81">
        <v>260</v>
      </c>
      <c r="B108" s="81" t="s">
        <v>231</v>
      </c>
      <c r="C108" s="81">
        <v>12</v>
      </c>
      <c r="D108" s="81">
        <v>10358</v>
      </c>
      <c r="E108" s="100">
        <v>24822692.849354856</v>
      </c>
      <c r="F108" s="81">
        <v>11170084</v>
      </c>
      <c r="G108" s="81">
        <v>2726906.4239061563</v>
      </c>
      <c r="H108" s="81">
        <v>1445682.4556594111</v>
      </c>
      <c r="I108" s="156">
        <v>6879869.870025233</v>
      </c>
      <c r="J108" s="156">
        <v>1947247.325024297</v>
      </c>
      <c r="K108" s="81">
        <v>2494609.3884640397</v>
      </c>
      <c r="L108" s="81">
        <v>-803557</v>
      </c>
      <c r="M108" s="82">
        <v>359300</v>
      </c>
      <c r="N108" s="82">
        <v>91794.30561970682</v>
      </c>
      <c r="O108" s="214">
        <f t="shared" si="20"/>
        <v>1489243.9193439893</v>
      </c>
      <c r="P108" s="215">
        <f t="shared" si="21"/>
        <v>143.77716927437626</v>
      </c>
      <c r="Q108" s="81"/>
      <c r="R108" s="223">
        <v>71108968</v>
      </c>
      <c r="S108" s="156">
        <v>28015395.88</v>
      </c>
      <c r="T108" s="156">
        <v>2168523.683489117</v>
      </c>
      <c r="U108" s="156">
        <v>35673788.64922741</v>
      </c>
      <c r="V108" s="156">
        <v>6119766.444838632</v>
      </c>
      <c r="W108" s="156">
        <v>2282649.4239061563</v>
      </c>
      <c r="X108" s="214">
        <f t="shared" si="22"/>
        <v>3151156.0814613104</v>
      </c>
      <c r="Y108" s="215">
        <f t="shared" si="23"/>
        <v>304.22437550311935</v>
      </c>
      <c r="Z108" s="81"/>
      <c r="AA108" s="94">
        <f t="shared" si="24"/>
        <v>-1661912.162117321</v>
      </c>
      <c r="AB108" s="153">
        <f t="shared" si="25"/>
        <v>-160.4472062287431</v>
      </c>
      <c r="AD108" s="216">
        <v>1704683.1452468468</v>
      </c>
      <c r="AE108" s="224">
        <v>1527290.5012479755</v>
      </c>
      <c r="AF108" s="224">
        <v>1362401.2315539783</v>
      </c>
      <c r="AG108" s="224">
        <v>1209006.2916521805</v>
      </c>
      <c r="AH108" s="225">
        <v>1055820.6753558249</v>
      </c>
      <c r="AJ108" s="81">
        <f t="shared" si="26"/>
        <v>16845311.88</v>
      </c>
      <c r="AK108" s="81">
        <f t="shared" si="27"/>
        <v>722841.2278297057</v>
      </c>
      <c r="AL108" s="81">
        <f t="shared" si="28"/>
        <v>28793918.779202178</v>
      </c>
      <c r="AM108" s="81">
        <f t="shared" si="29"/>
        <v>46286275.150645144</v>
      </c>
      <c r="AN108" s="81">
        <f t="shared" si="30"/>
        <v>1704683.1452468468</v>
      </c>
      <c r="AO108" s="81">
        <f t="shared" si="31"/>
        <v>1527290.5012479755</v>
      </c>
      <c r="AP108" s="81">
        <f t="shared" si="32"/>
        <v>1362401.2315539783</v>
      </c>
      <c r="AQ108" s="81">
        <f t="shared" si="33"/>
        <v>1209006.2916521805</v>
      </c>
      <c r="AR108" s="81">
        <f t="shared" si="34"/>
        <v>1055820.6753558249</v>
      </c>
      <c r="AS108" s="82">
        <v>2871</v>
      </c>
      <c r="AT108" s="82"/>
      <c r="AU108" s="82"/>
      <c r="AV108" s="82">
        <f t="shared" si="35"/>
        <v>0</v>
      </c>
      <c r="AW108" s="82">
        <v>24006.42111032843</v>
      </c>
      <c r="AX108" s="149">
        <v>-4872.959000076896</v>
      </c>
      <c r="AY108" s="81">
        <f t="shared" si="36"/>
        <v>-4172519.119814335</v>
      </c>
      <c r="AZ108" s="409"/>
      <c r="BA108" s="81"/>
      <c r="BB108" s="81"/>
      <c r="BC108" s="81"/>
      <c r="BD108" s="81"/>
      <c r="BE108" s="81"/>
      <c r="BF108" s="81"/>
      <c r="BG108" s="81"/>
    </row>
    <row r="109" spans="1:59" ht="12.75">
      <c r="A109" s="81">
        <v>261</v>
      </c>
      <c r="B109" s="81" t="s">
        <v>232</v>
      </c>
      <c r="C109" s="81">
        <v>19</v>
      </c>
      <c r="D109" s="81">
        <v>6436</v>
      </c>
      <c r="E109" s="100">
        <v>23506203.38706749</v>
      </c>
      <c r="F109" s="81">
        <v>7695910</v>
      </c>
      <c r="G109" s="81">
        <v>6812724.464513459</v>
      </c>
      <c r="H109" s="81">
        <v>1558092.765992717</v>
      </c>
      <c r="I109" s="156">
        <v>7995063.610618379</v>
      </c>
      <c r="J109" s="156">
        <v>1139717.8799317009</v>
      </c>
      <c r="K109" s="81">
        <v>-1776429.3345833991</v>
      </c>
      <c r="L109" s="81">
        <v>289397</v>
      </c>
      <c r="M109" s="82">
        <v>1466430</v>
      </c>
      <c r="N109" s="82">
        <v>70573.73128406478</v>
      </c>
      <c r="O109" s="214">
        <f t="shared" si="20"/>
        <v>1745276.7306894325</v>
      </c>
      <c r="P109" s="215">
        <f t="shared" si="21"/>
        <v>271.17413466274587</v>
      </c>
      <c r="Q109" s="81"/>
      <c r="R109" s="223">
        <v>53302200</v>
      </c>
      <c r="S109" s="156">
        <v>20423694.005000003</v>
      </c>
      <c r="T109" s="156">
        <v>2337139.1489890753</v>
      </c>
      <c r="U109" s="156">
        <v>20649683.756480157</v>
      </c>
      <c r="V109" s="156">
        <v>3454481.9670016253</v>
      </c>
      <c r="W109" s="156">
        <v>8568551.464513458</v>
      </c>
      <c r="X109" s="214">
        <f t="shared" si="22"/>
        <v>2131350.3419843167</v>
      </c>
      <c r="Y109" s="215">
        <f t="shared" si="23"/>
        <v>331.16071193044075</v>
      </c>
      <c r="Z109" s="81"/>
      <c r="AA109" s="94">
        <f t="shared" si="24"/>
        <v>-386073.61129488423</v>
      </c>
      <c r="AB109" s="153">
        <f t="shared" si="25"/>
        <v>-59.98657726769488</v>
      </c>
      <c r="AD109" s="216">
        <v>412649.5957920428</v>
      </c>
      <c r="AE109" s="224">
        <v>302425.70539073605</v>
      </c>
      <c r="AF109" s="224">
        <v>199970.85505760557</v>
      </c>
      <c r="AG109" s="224">
        <v>104658.06946116105</v>
      </c>
      <c r="AH109" s="225">
        <v>9561.736937913945</v>
      </c>
      <c r="AJ109" s="81">
        <f t="shared" si="26"/>
        <v>12727784.005000003</v>
      </c>
      <c r="AK109" s="81">
        <f t="shared" si="27"/>
        <v>779046.3829963584</v>
      </c>
      <c r="AL109" s="81">
        <f t="shared" si="28"/>
        <v>12654620.145861778</v>
      </c>
      <c r="AM109" s="81">
        <f t="shared" si="29"/>
        <v>29795996.61293251</v>
      </c>
      <c r="AN109" s="81">
        <f t="shared" si="30"/>
        <v>412649.5957920428</v>
      </c>
      <c r="AO109" s="81">
        <f t="shared" si="31"/>
        <v>302425.70539073605</v>
      </c>
      <c r="AP109" s="81">
        <f t="shared" si="32"/>
        <v>199970.85505760557</v>
      </c>
      <c r="AQ109" s="81">
        <f t="shared" si="33"/>
        <v>104658.06946116105</v>
      </c>
      <c r="AR109" s="81">
        <f t="shared" si="34"/>
        <v>9561.736937913945</v>
      </c>
      <c r="AS109" s="82">
        <v>2799</v>
      </c>
      <c r="AT109" s="82">
        <v>67</v>
      </c>
      <c r="AU109" s="82"/>
      <c r="AV109" s="82">
        <f t="shared" si="35"/>
        <v>67</v>
      </c>
      <c r="AW109" s="82">
        <v>10452.484305669968</v>
      </c>
      <c r="AX109" s="149">
        <v>-684.1566250317215</v>
      </c>
      <c r="AY109" s="81">
        <f t="shared" si="36"/>
        <v>-2314764.0870699245</v>
      </c>
      <c r="AZ109" s="409"/>
      <c r="BA109" s="81"/>
      <c r="BB109" s="81"/>
      <c r="BC109" s="81"/>
      <c r="BD109" s="81"/>
      <c r="BE109" s="81"/>
      <c r="BF109" s="81"/>
      <c r="BG109" s="81"/>
    </row>
    <row r="110" spans="1:59" ht="12.75">
      <c r="A110" s="81">
        <v>263</v>
      </c>
      <c r="B110" s="81" t="s">
        <v>233</v>
      </c>
      <c r="C110" s="81">
        <v>11</v>
      </c>
      <c r="D110" s="81">
        <v>8153</v>
      </c>
      <c r="E110" s="100">
        <v>21495346.468866363</v>
      </c>
      <c r="F110" s="81">
        <v>9113411</v>
      </c>
      <c r="G110" s="81">
        <v>1461718.7034243548</v>
      </c>
      <c r="H110" s="81">
        <v>1310733.0431106912</v>
      </c>
      <c r="I110" s="156">
        <v>6999250.905666634</v>
      </c>
      <c r="J110" s="156">
        <v>1567922.181613333</v>
      </c>
      <c r="K110" s="81">
        <v>-121620.04168804894</v>
      </c>
      <c r="L110" s="81">
        <v>-429070</v>
      </c>
      <c r="M110" s="82">
        <v>517060</v>
      </c>
      <c r="N110" s="82">
        <v>67540.6476586918</v>
      </c>
      <c r="O110" s="214">
        <f t="shared" si="20"/>
        <v>-1008400.0290807076</v>
      </c>
      <c r="P110" s="215">
        <f t="shared" si="21"/>
        <v>-123.68453686749756</v>
      </c>
      <c r="Q110" s="81"/>
      <c r="R110" s="223">
        <v>59873548</v>
      </c>
      <c r="S110" s="156">
        <v>21384384.855</v>
      </c>
      <c r="T110" s="156">
        <v>1966099.564666037</v>
      </c>
      <c r="U110" s="156">
        <v>28759605.52445404</v>
      </c>
      <c r="V110" s="156">
        <v>4942075.732380622</v>
      </c>
      <c r="W110" s="156">
        <v>1549708.7034243548</v>
      </c>
      <c r="X110" s="214">
        <f t="shared" si="22"/>
        <v>-1271673.6200749427</v>
      </c>
      <c r="Y110" s="215">
        <f t="shared" si="23"/>
        <v>-155.97615847846714</v>
      </c>
      <c r="Z110" s="81"/>
      <c r="AA110" s="94">
        <f t="shared" si="24"/>
        <v>263273.5909942351</v>
      </c>
      <c r="AB110" s="153">
        <f t="shared" si="25"/>
        <v>32.2916216109696</v>
      </c>
      <c r="AD110" s="216">
        <v>-229607.6491661928</v>
      </c>
      <c r="AE110" s="224">
        <v>-124647.13618326148</v>
      </c>
      <c r="AF110" s="224">
        <v>-9844.953890845807</v>
      </c>
      <c r="AG110" s="224">
        <v>10393.248512993288</v>
      </c>
      <c r="AH110" s="225">
        <v>12112.6229420156</v>
      </c>
      <c r="AJ110" s="81">
        <f t="shared" si="26"/>
        <v>12270973.855</v>
      </c>
      <c r="AK110" s="81">
        <f t="shared" si="27"/>
        <v>655366.5215553457</v>
      </c>
      <c r="AL110" s="81">
        <f t="shared" si="28"/>
        <v>21760354.618787404</v>
      </c>
      <c r="AM110" s="81">
        <f t="shared" si="29"/>
        <v>38378201.53113364</v>
      </c>
      <c r="AN110" s="81">
        <f t="shared" si="30"/>
        <v>-229607.6491661928</v>
      </c>
      <c r="AO110" s="81">
        <f t="shared" si="31"/>
        <v>-124647.13618326148</v>
      </c>
      <c r="AP110" s="81">
        <f t="shared" si="32"/>
        <v>-9844.953890845807</v>
      </c>
      <c r="AQ110" s="81">
        <f t="shared" si="33"/>
        <v>10393.248512993288</v>
      </c>
      <c r="AR110" s="81">
        <f t="shared" si="34"/>
        <v>12112.6229420156</v>
      </c>
      <c r="AS110" s="82">
        <v>3639</v>
      </c>
      <c r="AT110" s="82">
        <v>67</v>
      </c>
      <c r="AU110" s="82"/>
      <c r="AV110" s="82">
        <f t="shared" si="35"/>
        <v>67</v>
      </c>
      <c r="AW110" s="82">
        <v>17638.584187629676</v>
      </c>
      <c r="AX110" s="149">
        <v>-4370.318747041618</v>
      </c>
      <c r="AY110" s="81">
        <f t="shared" si="36"/>
        <v>-3374153.550767289</v>
      </c>
      <c r="AZ110" s="409"/>
      <c r="BA110" s="81"/>
      <c r="BB110" s="81"/>
      <c r="BC110" s="81"/>
      <c r="BD110" s="81"/>
      <c r="BE110" s="81"/>
      <c r="BF110" s="81"/>
      <c r="BG110" s="81"/>
    </row>
    <row r="111" spans="1:59" ht="12.75">
      <c r="A111" s="81">
        <v>265</v>
      </c>
      <c r="B111" s="81" t="s">
        <v>234</v>
      </c>
      <c r="C111" s="81">
        <v>13</v>
      </c>
      <c r="D111" s="81">
        <v>1103</v>
      </c>
      <c r="E111" s="100">
        <v>3083900.52993236</v>
      </c>
      <c r="F111" s="81">
        <v>1090768</v>
      </c>
      <c r="G111" s="81">
        <v>418737.86887619854</v>
      </c>
      <c r="H111" s="81">
        <v>444689.327495952</v>
      </c>
      <c r="I111" s="156">
        <v>1067099.2807018892</v>
      </c>
      <c r="J111" s="156">
        <v>228357.7307411426</v>
      </c>
      <c r="K111" s="81">
        <v>-165888.32244550917</v>
      </c>
      <c r="L111" s="81">
        <v>-272666</v>
      </c>
      <c r="M111" s="82">
        <v>-28000</v>
      </c>
      <c r="N111" s="82">
        <v>8694.849758757991</v>
      </c>
      <c r="O111" s="214">
        <f t="shared" si="20"/>
        <v>-292107.7948039286</v>
      </c>
      <c r="P111" s="215">
        <f t="shared" si="21"/>
        <v>-264.83027634082373</v>
      </c>
      <c r="Q111" s="81"/>
      <c r="R111" s="223">
        <v>9083648</v>
      </c>
      <c r="S111" s="156">
        <v>2532496.6225</v>
      </c>
      <c r="T111" s="156">
        <v>667033.991243928</v>
      </c>
      <c r="U111" s="156">
        <v>4556377.741113797</v>
      </c>
      <c r="V111" s="156">
        <v>719905.4912322584</v>
      </c>
      <c r="W111" s="156">
        <v>118071.86887619854</v>
      </c>
      <c r="X111" s="214">
        <f t="shared" si="22"/>
        <v>-489762.28503381833</v>
      </c>
      <c r="Y111" s="215">
        <f t="shared" si="23"/>
        <v>-444.0274569662904</v>
      </c>
      <c r="Z111" s="81"/>
      <c r="AA111" s="94">
        <f t="shared" si="24"/>
        <v>197654.49022988975</v>
      </c>
      <c r="AB111" s="153">
        <f t="shared" si="25"/>
        <v>179.19718062546667</v>
      </c>
      <c r="AD111" s="216">
        <v>-193099.90494394166</v>
      </c>
      <c r="AE111" s="224">
        <v>-178900.04650898848</v>
      </c>
      <c r="AF111" s="224">
        <v>-163368.73201511698</v>
      </c>
      <c r="AG111" s="224">
        <v>-146613.41233097747</v>
      </c>
      <c r="AH111" s="225">
        <v>-129835.80224938647</v>
      </c>
      <c r="AJ111" s="81">
        <f t="shared" si="26"/>
        <v>1441728.6225</v>
      </c>
      <c r="AK111" s="81">
        <f t="shared" si="27"/>
        <v>222344.66374797595</v>
      </c>
      <c r="AL111" s="81">
        <f t="shared" si="28"/>
        <v>3489278.4604119076</v>
      </c>
      <c r="AM111" s="81">
        <f t="shared" si="29"/>
        <v>5999747.47006764</v>
      </c>
      <c r="AN111" s="81">
        <f t="shared" si="30"/>
        <v>-193099.90494394166</v>
      </c>
      <c r="AO111" s="81">
        <f t="shared" si="31"/>
        <v>-178900.04650898848</v>
      </c>
      <c r="AP111" s="81">
        <f t="shared" si="32"/>
        <v>-163368.73201511698</v>
      </c>
      <c r="AQ111" s="81">
        <f t="shared" si="33"/>
        <v>-146613.41233097747</v>
      </c>
      <c r="AR111" s="81">
        <f t="shared" si="34"/>
        <v>-129835.80224938647</v>
      </c>
      <c r="AS111" s="82">
        <v>620</v>
      </c>
      <c r="AT111" s="82"/>
      <c r="AU111" s="82"/>
      <c r="AV111" s="82">
        <f t="shared" si="35"/>
        <v>0</v>
      </c>
      <c r="AW111" s="82">
        <v>2924.5251871910664</v>
      </c>
      <c r="AX111" s="149">
        <v>-660.7925253309069</v>
      </c>
      <c r="AY111" s="81">
        <f t="shared" si="36"/>
        <v>-491547.7604911158</v>
      </c>
      <c r="AZ111" s="409"/>
      <c r="BA111" s="81"/>
      <c r="BB111" s="81"/>
      <c r="BC111" s="81"/>
      <c r="BD111" s="81"/>
      <c r="BE111" s="81"/>
      <c r="BF111" s="81"/>
      <c r="BG111" s="81"/>
    </row>
    <row r="112" spans="1:59" ht="12.75">
      <c r="A112" s="81">
        <v>271</v>
      </c>
      <c r="B112" s="81" t="s">
        <v>235</v>
      </c>
      <c r="C112" s="81">
        <v>4</v>
      </c>
      <c r="D112" s="81">
        <v>7226</v>
      </c>
      <c r="E112" s="100">
        <v>16422747.551276684</v>
      </c>
      <c r="F112" s="81">
        <v>9587020</v>
      </c>
      <c r="G112" s="81">
        <v>2367899.5544436425</v>
      </c>
      <c r="H112" s="81">
        <v>754582.089891168</v>
      </c>
      <c r="I112" s="156">
        <v>3764942.801202603</v>
      </c>
      <c r="J112" s="156">
        <v>1283601.6654701554</v>
      </c>
      <c r="K112" s="81">
        <v>-778414.2082281216</v>
      </c>
      <c r="L112" s="81">
        <v>-718579</v>
      </c>
      <c r="M112" s="82">
        <v>57200</v>
      </c>
      <c r="N112" s="82">
        <v>71158.17624174428</v>
      </c>
      <c r="O112" s="214">
        <f t="shared" si="20"/>
        <v>-33336.47225549072</v>
      </c>
      <c r="P112" s="215">
        <f t="shared" si="21"/>
        <v>-4.613406069124096</v>
      </c>
      <c r="Q112" s="81"/>
      <c r="R112" s="223">
        <v>46624144</v>
      </c>
      <c r="S112" s="156">
        <v>22828413.9775</v>
      </c>
      <c r="T112" s="156">
        <v>1131873.1348367522</v>
      </c>
      <c r="U112" s="156">
        <v>16508110.339276657</v>
      </c>
      <c r="V112" s="156">
        <v>3975491.7398834736</v>
      </c>
      <c r="W112" s="156">
        <v>1706520.5544436425</v>
      </c>
      <c r="X112" s="214">
        <f t="shared" si="22"/>
        <v>-473734.25405947864</v>
      </c>
      <c r="Y112" s="215">
        <f t="shared" si="23"/>
        <v>-65.55968088285063</v>
      </c>
      <c r="Z112" s="81"/>
      <c r="AA112" s="94">
        <f t="shared" si="24"/>
        <v>440397.7818039879</v>
      </c>
      <c r="AB112" s="153">
        <f t="shared" si="25"/>
        <v>60.94627481372653</v>
      </c>
      <c r="AD112" s="216">
        <v>-410559.67366593436</v>
      </c>
      <c r="AE112" s="224">
        <v>-317533.2212171839</v>
      </c>
      <c r="AF112" s="224">
        <v>-215784.10196721507</v>
      </c>
      <c r="AG112" s="224">
        <v>-106016.25061853703</v>
      </c>
      <c r="AH112" s="225">
        <v>3897.630115440067</v>
      </c>
      <c r="AJ112" s="81">
        <f t="shared" si="26"/>
        <v>13241393.9775</v>
      </c>
      <c r="AK112" s="81">
        <f t="shared" si="27"/>
        <v>377291.04494558414</v>
      </c>
      <c r="AL112" s="81">
        <f t="shared" si="28"/>
        <v>12743167.538074054</v>
      </c>
      <c r="AM112" s="81">
        <f t="shared" si="29"/>
        <v>30201396.448723316</v>
      </c>
      <c r="AN112" s="81">
        <f t="shared" si="30"/>
        <v>-410559.67366593436</v>
      </c>
      <c r="AO112" s="81">
        <f t="shared" si="31"/>
        <v>-317533.2212171839</v>
      </c>
      <c r="AP112" s="81">
        <f t="shared" si="32"/>
        <v>-215784.10196721507</v>
      </c>
      <c r="AQ112" s="81">
        <f t="shared" si="33"/>
        <v>-106016.25061853703</v>
      </c>
      <c r="AR112" s="81">
        <f t="shared" si="34"/>
        <v>3897.630115440067</v>
      </c>
      <c r="AS112" s="82">
        <v>1658</v>
      </c>
      <c r="AT112" s="82">
        <v>63</v>
      </c>
      <c r="AU112" s="82">
        <v>25</v>
      </c>
      <c r="AV112" s="82">
        <f t="shared" si="35"/>
        <v>88</v>
      </c>
      <c r="AW112" s="82">
        <v>10440.572938324509</v>
      </c>
      <c r="AX112" s="149">
        <v>-2282.8597616289953</v>
      </c>
      <c r="AY112" s="81">
        <f t="shared" si="36"/>
        <v>-2691890.074413318</v>
      </c>
      <c r="AZ112" s="409"/>
      <c r="BA112" s="81"/>
      <c r="BB112" s="81"/>
      <c r="BC112" s="81"/>
      <c r="BD112" s="81"/>
      <c r="BE112" s="81"/>
      <c r="BF112" s="81"/>
      <c r="BG112" s="81"/>
    </row>
    <row r="113" spans="1:59" ht="12.75">
      <c r="A113" s="81">
        <v>272</v>
      </c>
      <c r="B113" s="81" t="s">
        <v>236</v>
      </c>
      <c r="C113" s="81">
        <v>16</v>
      </c>
      <c r="D113" s="81">
        <v>47657</v>
      </c>
      <c r="E113" s="100">
        <v>118606254.74458101</v>
      </c>
      <c r="F113" s="81">
        <v>67540175</v>
      </c>
      <c r="G113" s="81">
        <v>14928801.488761777</v>
      </c>
      <c r="H113" s="81">
        <v>11299898.138434011</v>
      </c>
      <c r="I113" s="156">
        <v>34934324.04480224</v>
      </c>
      <c r="J113" s="156">
        <v>7089022.634640006</v>
      </c>
      <c r="K113" s="81">
        <v>-9703091.991870223</v>
      </c>
      <c r="L113" s="81">
        <v>-2096075</v>
      </c>
      <c r="M113" s="82">
        <v>1050000</v>
      </c>
      <c r="N113" s="82">
        <v>537716.3049301318</v>
      </c>
      <c r="O113" s="214">
        <f t="shared" si="20"/>
        <v>6974515.875116929</v>
      </c>
      <c r="P113" s="215">
        <f t="shared" si="21"/>
        <v>146.34819386694357</v>
      </c>
      <c r="Q113" s="81"/>
      <c r="R113" s="223">
        <v>298671548</v>
      </c>
      <c r="S113" s="156">
        <v>164801646.305</v>
      </c>
      <c r="T113" s="156">
        <v>16949847.20765102</v>
      </c>
      <c r="U113" s="156">
        <v>84036029.27231614</v>
      </c>
      <c r="V113" s="156">
        <v>21387903.733549505</v>
      </c>
      <c r="W113" s="156">
        <v>13882726.488761777</v>
      </c>
      <c r="X113" s="214">
        <f t="shared" si="22"/>
        <v>2386605.0072784424</v>
      </c>
      <c r="Y113" s="215">
        <f t="shared" si="23"/>
        <v>50.078792355340084</v>
      </c>
      <c r="Z113" s="81"/>
      <c r="AA113" s="94">
        <f t="shared" si="24"/>
        <v>4587910.867838487</v>
      </c>
      <c r="AB113" s="153">
        <f t="shared" si="25"/>
        <v>96.26940151160348</v>
      </c>
      <c r="AD113" s="216">
        <v>-4391122.226884338</v>
      </c>
      <c r="AE113" s="224">
        <v>-3777593.075991714</v>
      </c>
      <c r="AF113" s="224">
        <v>-3106536.0906477114</v>
      </c>
      <c r="AG113" s="224">
        <v>-2382593.869263273</v>
      </c>
      <c r="AH113" s="225">
        <v>-1657688.5531631978</v>
      </c>
      <c r="AJ113" s="81">
        <f t="shared" si="26"/>
        <v>97261471.305</v>
      </c>
      <c r="AK113" s="81">
        <f t="shared" si="27"/>
        <v>5649949.069217008</v>
      </c>
      <c r="AL113" s="81">
        <f t="shared" si="28"/>
        <v>49101705.2275139</v>
      </c>
      <c r="AM113" s="81">
        <f t="shared" si="29"/>
        <v>180065293.255419</v>
      </c>
      <c r="AN113" s="81">
        <f t="shared" si="30"/>
        <v>-4391122.226884338</v>
      </c>
      <c r="AO113" s="81">
        <f t="shared" si="31"/>
        <v>-3777593.075991714</v>
      </c>
      <c r="AP113" s="81">
        <f t="shared" si="32"/>
        <v>-3106536.0906477114</v>
      </c>
      <c r="AQ113" s="81">
        <f t="shared" si="33"/>
        <v>-2382593.869263273</v>
      </c>
      <c r="AR113" s="81">
        <f t="shared" si="34"/>
        <v>-1657688.5531631978</v>
      </c>
      <c r="AS113" s="82">
        <v>15059</v>
      </c>
      <c r="AT113" s="82">
        <v>10</v>
      </c>
      <c r="AU113" s="82">
        <v>221</v>
      </c>
      <c r="AV113" s="82">
        <f t="shared" si="35"/>
        <v>231</v>
      </c>
      <c r="AW113" s="82">
        <v>42150.023666073816</v>
      </c>
      <c r="AX113" s="149">
        <v>-5458.730060670608</v>
      </c>
      <c r="AY113" s="81">
        <f t="shared" si="36"/>
        <v>-14298881.0989095</v>
      </c>
      <c r="AZ113" s="409"/>
      <c r="BA113" s="81"/>
      <c r="BB113" s="81"/>
      <c r="BC113" s="81"/>
      <c r="BD113" s="81"/>
      <c r="BE113" s="81"/>
      <c r="BF113" s="81"/>
      <c r="BG113" s="81"/>
    </row>
    <row r="114" spans="1:59" ht="12.75">
      <c r="A114" s="81">
        <v>273</v>
      </c>
      <c r="B114" s="81" t="s">
        <v>237</v>
      </c>
      <c r="C114" s="81">
        <v>19</v>
      </c>
      <c r="D114" s="81">
        <v>3834</v>
      </c>
      <c r="E114" s="100">
        <v>11469327.800063618</v>
      </c>
      <c r="F114" s="81">
        <v>4041053</v>
      </c>
      <c r="G114" s="81">
        <v>3641454.2190050175</v>
      </c>
      <c r="H114" s="81">
        <v>556135.0387661376</v>
      </c>
      <c r="I114" s="156">
        <v>3699691.2955805673</v>
      </c>
      <c r="J114" s="156">
        <v>698644.7099387131</v>
      </c>
      <c r="K114" s="81">
        <v>-475808.67249874625</v>
      </c>
      <c r="L114" s="81">
        <v>-119846</v>
      </c>
      <c r="M114" s="82">
        <v>-62000</v>
      </c>
      <c r="N114" s="82">
        <v>37381.52219898665</v>
      </c>
      <c r="O114" s="214">
        <f t="shared" si="20"/>
        <v>547377.312927058</v>
      </c>
      <c r="P114" s="215">
        <f t="shared" si="21"/>
        <v>142.76925219798068</v>
      </c>
      <c r="Q114" s="81"/>
      <c r="R114" s="223">
        <v>29681400</v>
      </c>
      <c r="S114" s="156">
        <v>10917288.8</v>
      </c>
      <c r="T114" s="156">
        <v>834202.5581492063</v>
      </c>
      <c r="U114" s="156">
        <v>14060162.445929356</v>
      </c>
      <c r="V114" s="156">
        <v>2153555.7658619704</v>
      </c>
      <c r="W114" s="156">
        <v>3459608.2190050175</v>
      </c>
      <c r="X114" s="214">
        <f t="shared" si="22"/>
        <v>1743417.788945552</v>
      </c>
      <c r="Y114" s="215">
        <f t="shared" si="23"/>
        <v>454.725557888772</v>
      </c>
      <c r="Z114" s="81"/>
      <c r="AA114" s="94">
        <f t="shared" si="24"/>
        <v>-1196040.476018494</v>
      </c>
      <c r="AB114" s="153">
        <f t="shared" si="25"/>
        <v>-311.95630569079134</v>
      </c>
      <c r="AD114" s="216">
        <v>1211872.0988528775</v>
      </c>
      <c r="AE114" s="224">
        <v>1146210.4463049266</v>
      </c>
      <c r="AF114" s="224">
        <v>1085176.9012183477</v>
      </c>
      <c r="AG114" s="224">
        <v>1028397.9671013856</v>
      </c>
      <c r="AH114" s="225">
        <v>971696.5138401164</v>
      </c>
      <c r="AJ114" s="81">
        <f t="shared" si="26"/>
        <v>6876235.800000001</v>
      </c>
      <c r="AK114" s="81">
        <f t="shared" si="27"/>
        <v>278067.5193830688</v>
      </c>
      <c r="AL114" s="81">
        <f t="shared" si="28"/>
        <v>10360471.150348788</v>
      </c>
      <c r="AM114" s="81">
        <f t="shared" si="29"/>
        <v>18212072.199936382</v>
      </c>
      <c r="AN114" s="81">
        <f t="shared" si="30"/>
        <v>1211872.0988528775</v>
      </c>
      <c r="AO114" s="81">
        <f t="shared" si="31"/>
        <v>1146210.4463049266</v>
      </c>
      <c r="AP114" s="81">
        <f t="shared" si="32"/>
        <v>1085176.9012183477</v>
      </c>
      <c r="AQ114" s="81">
        <f t="shared" si="33"/>
        <v>1028397.9671013856</v>
      </c>
      <c r="AR114" s="81">
        <f t="shared" si="34"/>
        <v>971696.5138401164</v>
      </c>
      <c r="AS114" s="82">
        <v>1551</v>
      </c>
      <c r="AT114" s="82">
        <v>86</v>
      </c>
      <c r="AU114" s="82"/>
      <c r="AV114" s="82">
        <f t="shared" si="35"/>
        <v>86</v>
      </c>
      <c r="AW114" s="82">
        <v>7556.717013216615</v>
      </c>
      <c r="AX114" s="149">
        <v>-1321.7116230737045</v>
      </c>
      <c r="AY114" s="81">
        <f t="shared" si="36"/>
        <v>-1454911.0559232573</v>
      </c>
      <c r="AZ114" s="409"/>
      <c r="BA114" s="81"/>
      <c r="BB114" s="81"/>
      <c r="BC114" s="81"/>
      <c r="BD114" s="81"/>
      <c r="BE114" s="81"/>
      <c r="BF114" s="81"/>
      <c r="BG114" s="81"/>
    </row>
    <row r="115" spans="1:59" ht="12.75">
      <c r="A115" s="81">
        <v>275</v>
      </c>
      <c r="B115" s="81" t="s">
        <v>238</v>
      </c>
      <c r="C115" s="81">
        <v>13</v>
      </c>
      <c r="D115" s="81">
        <v>2698</v>
      </c>
      <c r="E115" s="100">
        <v>11265172.318646833</v>
      </c>
      <c r="F115" s="81">
        <v>3227689</v>
      </c>
      <c r="G115" s="81">
        <v>747167.492555602</v>
      </c>
      <c r="H115" s="81">
        <v>552832.9614273312</v>
      </c>
      <c r="I115" s="156">
        <v>2006449.5816333694</v>
      </c>
      <c r="J115" s="156">
        <v>496368.90578039037</v>
      </c>
      <c r="K115" s="81">
        <v>-422859.3088950059</v>
      </c>
      <c r="L115" s="81">
        <v>-105029</v>
      </c>
      <c r="M115" s="82">
        <v>54060</v>
      </c>
      <c r="N115" s="82">
        <v>23956.595771290926</v>
      </c>
      <c r="O115" s="214">
        <f t="shared" si="20"/>
        <v>-4684536.090373855</v>
      </c>
      <c r="P115" s="215">
        <f t="shared" si="21"/>
        <v>-1736.2995145937196</v>
      </c>
      <c r="Q115" s="81"/>
      <c r="R115" s="223">
        <v>23686068</v>
      </c>
      <c r="S115" s="156">
        <v>7536231.68</v>
      </c>
      <c r="T115" s="156">
        <v>829249.4421409968</v>
      </c>
      <c r="U115" s="156">
        <v>8265683.013862657</v>
      </c>
      <c r="V115" s="156">
        <v>1552738.9801459783</v>
      </c>
      <c r="W115" s="156">
        <v>696198.492555602</v>
      </c>
      <c r="X115" s="214">
        <f t="shared" si="22"/>
        <v>-4805966.391294766</v>
      </c>
      <c r="Y115" s="215">
        <f t="shared" si="23"/>
        <v>-1781.3070390269704</v>
      </c>
      <c r="Z115" s="81"/>
      <c r="AA115" s="94">
        <f t="shared" si="24"/>
        <v>121430.30092091113</v>
      </c>
      <c r="AB115" s="153">
        <f t="shared" si="25"/>
        <v>45.00752443325098</v>
      </c>
      <c r="AD115" s="216">
        <v>-110289.52929671125</v>
      </c>
      <c r="AE115" s="224">
        <v>-75555.87738600999</v>
      </c>
      <c r="AF115" s="224">
        <v>-37565.40911360259</v>
      </c>
      <c r="AG115" s="224">
        <v>3419.044655942583</v>
      </c>
      <c r="AH115" s="225">
        <v>4008.322911512092</v>
      </c>
      <c r="AJ115" s="81">
        <f t="shared" si="26"/>
        <v>4308542.68</v>
      </c>
      <c r="AK115" s="81">
        <f t="shared" si="27"/>
        <v>276416.4807136656</v>
      </c>
      <c r="AL115" s="81">
        <f t="shared" si="28"/>
        <v>6259233.432229288</v>
      </c>
      <c r="AM115" s="81">
        <f t="shared" si="29"/>
        <v>12420895.681353167</v>
      </c>
      <c r="AN115" s="81">
        <f t="shared" si="30"/>
        <v>-110289.52929671125</v>
      </c>
      <c r="AO115" s="81">
        <f t="shared" si="31"/>
        <v>-75555.87738600999</v>
      </c>
      <c r="AP115" s="81">
        <f t="shared" si="32"/>
        <v>-37565.40911360259</v>
      </c>
      <c r="AQ115" s="81">
        <f t="shared" si="33"/>
        <v>3419.044655942583</v>
      </c>
      <c r="AR115" s="81">
        <f t="shared" si="34"/>
        <v>4008.322911512092</v>
      </c>
      <c r="AS115" s="82">
        <v>1232</v>
      </c>
      <c r="AT115" s="82">
        <v>7</v>
      </c>
      <c r="AU115" s="82"/>
      <c r="AV115" s="82">
        <f t="shared" si="35"/>
        <v>7</v>
      </c>
      <c r="AW115" s="82">
        <v>4843.055743539987</v>
      </c>
      <c r="AX115" s="149">
        <v>-1277.6599736391418</v>
      </c>
      <c r="AY115" s="81">
        <f t="shared" si="36"/>
        <v>-1056370.074365588</v>
      </c>
      <c r="AZ115" s="409"/>
      <c r="BA115" s="81"/>
      <c r="BB115" s="81"/>
      <c r="BC115" s="81"/>
      <c r="BD115" s="81"/>
      <c r="BE115" s="81"/>
      <c r="BF115" s="81"/>
      <c r="BG115" s="81"/>
    </row>
    <row r="116" spans="1:59" ht="12.75">
      <c r="A116" s="81">
        <v>276</v>
      </c>
      <c r="B116" s="81" t="s">
        <v>239</v>
      </c>
      <c r="C116" s="81">
        <v>12</v>
      </c>
      <c r="D116" s="81">
        <v>14849</v>
      </c>
      <c r="E116" s="100">
        <v>39492622.53949463</v>
      </c>
      <c r="F116" s="81">
        <v>18444455</v>
      </c>
      <c r="G116" s="81">
        <v>2838699.470640889</v>
      </c>
      <c r="H116" s="81">
        <v>1378440.5698236097</v>
      </c>
      <c r="I116" s="156">
        <v>16100802.918959638</v>
      </c>
      <c r="J116" s="156">
        <v>1900467.4167302037</v>
      </c>
      <c r="K116" s="81">
        <v>1356162.8506375442</v>
      </c>
      <c r="L116" s="81">
        <v>-1276383</v>
      </c>
      <c r="M116" s="82">
        <v>-775000</v>
      </c>
      <c r="N116" s="82">
        <v>160344.5015791418</v>
      </c>
      <c r="O116" s="214">
        <f t="shared" si="20"/>
        <v>635367.1888763905</v>
      </c>
      <c r="P116" s="215">
        <f t="shared" si="21"/>
        <v>42.78855066848882</v>
      </c>
      <c r="Q116" s="81"/>
      <c r="R116" s="223">
        <v>79686012</v>
      </c>
      <c r="S116" s="156">
        <v>48442941.699999996</v>
      </c>
      <c r="T116" s="156">
        <v>2067660.8547354145</v>
      </c>
      <c r="U116" s="156">
        <v>23653570.905253526</v>
      </c>
      <c r="V116" s="156">
        <v>5724605.887279184</v>
      </c>
      <c r="W116" s="156">
        <v>787316.4706408889</v>
      </c>
      <c r="X116" s="214">
        <f t="shared" si="22"/>
        <v>990083.8179090023</v>
      </c>
      <c r="Y116" s="215">
        <f t="shared" si="23"/>
        <v>66.6768009905719</v>
      </c>
      <c r="Z116" s="81"/>
      <c r="AA116" s="94">
        <f t="shared" si="24"/>
        <v>-354716.62903261185</v>
      </c>
      <c r="AB116" s="153">
        <f t="shared" si="25"/>
        <v>-23.888250322083092</v>
      </c>
      <c r="AD116" s="216">
        <v>416032.16566999577</v>
      </c>
      <c r="AE116" s="224">
        <v>161725.9896959431</v>
      </c>
      <c r="AF116" s="224">
        <v>16097.745903137691</v>
      </c>
      <c r="AG116" s="224">
        <v>18929.148432409827</v>
      </c>
      <c r="AH116" s="225">
        <v>22060.632658651986</v>
      </c>
      <c r="AJ116" s="81">
        <f t="shared" si="26"/>
        <v>29998486.699999996</v>
      </c>
      <c r="AK116" s="81">
        <f t="shared" si="27"/>
        <v>689220.2849118048</v>
      </c>
      <c r="AL116" s="81">
        <f t="shared" si="28"/>
        <v>7552767.986293888</v>
      </c>
      <c r="AM116" s="81">
        <f t="shared" si="29"/>
        <v>40193389.46050537</v>
      </c>
      <c r="AN116" s="81">
        <f t="shared" si="30"/>
        <v>416032.16566999577</v>
      </c>
      <c r="AO116" s="81">
        <f t="shared" si="31"/>
        <v>161725.9896959431</v>
      </c>
      <c r="AP116" s="81">
        <f t="shared" si="32"/>
        <v>16097.745903137691</v>
      </c>
      <c r="AQ116" s="81">
        <f t="shared" si="33"/>
        <v>18929.148432409827</v>
      </c>
      <c r="AR116" s="81">
        <f t="shared" si="34"/>
        <v>22060.632658651986</v>
      </c>
      <c r="AS116" s="82">
        <v>5134</v>
      </c>
      <c r="AT116" s="82"/>
      <c r="AU116" s="82"/>
      <c r="AV116" s="82">
        <f t="shared" si="35"/>
        <v>0</v>
      </c>
      <c r="AW116" s="82">
        <v>5461.5686021766405</v>
      </c>
      <c r="AX116" s="149">
        <v>-2761.442753866546</v>
      </c>
      <c r="AY116" s="81">
        <f t="shared" si="36"/>
        <v>-3824138.47054898</v>
      </c>
      <c r="AZ116" s="409"/>
      <c r="BA116" s="81"/>
      <c r="BB116" s="81"/>
      <c r="BC116" s="81"/>
      <c r="BD116" s="81"/>
      <c r="BE116" s="81"/>
      <c r="BF116" s="81"/>
      <c r="BG116" s="81"/>
    </row>
    <row r="117" spans="1:59" ht="12.75">
      <c r="A117" s="81">
        <v>280</v>
      </c>
      <c r="B117" s="81" t="s">
        <v>240</v>
      </c>
      <c r="C117" s="81">
        <v>15</v>
      </c>
      <c r="D117" s="81">
        <v>2122</v>
      </c>
      <c r="E117" s="100">
        <v>6668320.013460193</v>
      </c>
      <c r="F117" s="81">
        <v>2354483</v>
      </c>
      <c r="G117" s="81">
        <v>719023.8830263369</v>
      </c>
      <c r="H117" s="81">
        <v>368728.72554672003</v>
      </c>
      <c r="I117" s="156">
        <v>2044513.5945884692</v>
      </c>
      <c r="J117" s="156">
        <v>457199.3156211057</v>
      </c>
      <c r="K117" s="81">
        <v>-154355.632550563</v>
      </c>
      <c r="L117" s="81">
        <v>-331601</v>
      </c>
      <c r="M117" s="82">
        <v>-29000</v>
      </c>
      <c r="N117" s="82">
        <v>17415.22747157618</v>
      </c>
      <c r="O117" s="214">
        <f t="shared" si="20"/>
        <v>-1221912.899756548</v>
      </c>
      <c r="P117" s="215">
        <f t="shared" si="21"/>
        <v>-575.8307727410688</v>
      </c>
      <c r="Q117" s="81"/>
      <c r="R117" s="223">
        <v>15106952</v>
      </c>
      <c r="S117" s="156">
        <v>5503150.905</v>
      </c>
      <c r="T117" s="156">
        <v>553093.0883200801</v>
      </c>
      <c r="U117" s="156">
        <v>6222330.126276007</v>
      </c>
      <c r="V117" s="156">
        <v>1446556.7880453113</v>
      </c>
      <c r="W117" s="156">
        <v>358422.8830263369</v>
      </c>
      <c r="X117" s="214">
        <f t="shared" si="22"/>
        <v>-1023398.209332265</v>
      </c>
      <c r="Y117" s="215">
        <f t="shared" si="23"/>
        <v>-482.2800232480042</v>
      </c>
      <c r="Z117" s="81"/>
      <c r="AA117" s="94">
        <f t="shared" si="24"/>
        <v>-198514.69042428304</v>
      </c>
      <c r="AB117" s="153">
        <f t="shared" si="25"/>
        <v>-93.55074949306457</v>
      </c>
      <c r="AD117" s="216">
        <v>207277.00227993197</v>
      </c>
      <c r="AE117" s="224">
        <v>170935.31560628794</v>
      </c>
      <c r="AF117" s="224">
        <v>137155.14276494193</v>
      </c>
      <c r="AG117" s="224">
        <v>105729.7650403218</v>
      </c>
      <c r="AH117" s="225">
        <v>74347.27056447061</v>
      </c>
      <c r="AJ117" s="81">
        <f t="shared" si="26"/>
        <v>3148667.9050000003</v>
      </c>
      <c r="AK117" s="81">
        <f t="shared" si="27"/>
        <v>184364.36277336004</v>
      </c>
      <c r="AL117" s="81">
        <f t="shared" si="28"/>
        <v>4177816.5316875377</v>
      </c>
      <c r="AM117" s="81">
        <f t="shared" si="29"/>
        <v>8438631.986539807</v>
      </c>
      <c r="AN117" s="81">
        <f t="shared" si="30"/>
        <v>207277.00227993197</v>
      </c>
      <c r="AO117" s="81">
        <f t="shared" si="31"/>
        <v>170935.31560628794</v>
      </c>
      <c r="AP117" s="81">
        <f t="shared" si="32"/>
        <v>137155.14276494193</v>
      </c>
      <c r="AQ117" s="81">
        <f t="shared" si="33"/>
        <v>105729.7650403218</v>
      </c>
      <c r="AR117" s="81">
        <f t="shared" si="34"/>
        <v>74347.27056447061</v>
      </c>
      <c r="AS117" s="82">
        <v>1277</v>
      </c>
      <c r="AT117" s="82">
        <v>137</v>
      </c>
      <c r="AU117" s="82"/>
      <c r="AV117" s="82">
        <f t="shared" si="35"/>
        <v>137</v>
      </c>
      <c r="AW117" s="82">
        <v>2885.222076313271</v>
      </c>
      <c r="AX117" s="149">
        <v>-1008.4463135088838</v>
      </c>
      <c r="AY117" s="81">
        <f t="shared" si="36"/>
        <v>-989357.4724242056</v>
      </c>
      <c r="AZ117" s="409"/>
      <c r="BA117" s="81"/>
      <c r="BB117" s="81"/>
      <c r="BC117" s="81"/>
      <c r="BD117" s="81"/>
      <c r="BE117" s="81"/>
      <c r="BF117" s="81"/>
      <c r="BG117" s="81"/>
    </row>
    <row r="118" spans="1:59" ht="12.75">
      <c r="A118" s="81">
        <v>284</v>
      </c>
      <c r="B118" s="81" t="s">
        <v>510</v>
      </c>
      <c r="C118" s="81">
        <v>2</v>
      </c>
      <c r="D118" s="81">
        <v>2340</v>
      </c>
      <c r="E118" s="100">
        <v>5883262.282337768</v>
      </c>
      <c r="F118" s="81">
        <v>2297558</v>
      </c>
      <c r="G118" s="81">
        <v>449413.9869748923</v>
      </c>
      <c r="H118" s="81">
        <v>420790.9706719488</v>
      </c>
      <c r="I118" s="156">
        <v>1422371.852698555</v>
      </c>
      <c r="J118" s="156">
        <v>431208.9083322699</v>
      </c>
      <c r="K118" s="81">
        <v>118554.96537172252</v>
      </c>
      <c r="L118" s="81">
        <v>701760</v>
      </c>
      <c r="M118" s="82">
        <v>14000</v>
      </c>
      <c r="N118" s="82">
        <v>21625.349656938524</v>
      </c>
      <c r="O118" s="214">
        <f t="shared" si="20"/>
        <v>-5978.248631441034</v>
      </c>
      <c r="P118" s="215">
        <f t="shared" si="21"/>
        <v>-2.5548071074534335</v>
      </c>
      <c r="Q118" s="81"/>
      <c r="R118" s="223">
        <v>15401176</v>
      </c>
      <c r="S118" s="156">
        <v>6225953.600000001</v>
      </c>
      <c r="T118" s="156">
        <v>631186.4560079232</v>
      </c>
      <c r="U118" s="156">
        <v>6243246.157896915</v>
      </c>
      <c r="V118" s="156">
        <v>1354630.127343371</v>
      </c>
      <c r="W118" s="156">
        <v>1165173.9869748922</v>
      </c>
      <c r="X118" s="214">
        <f t="shared" si="22"/>
        <v>219014.3282231018</v>
      </c>
      <c r="Y118" s="215">
        <f t="shared" si="23"/>
        <v>93.59586676200931</v>
      </c>
      <c r="Z118" s="81"/>
      <c r="AA118" s="94">
        <f t="shared" si="24"/>
        <v>-224992.57685454283</v>
      </c>
      <c r="AB118" s="153">
        <f t="shared" si="25"/>
        <v>-96.15067386946275</v>
      </c>
      <c r="AD118" s="216">
        <v>234655.06966426037</v>
      </c>
      <c r="AE118" s="224">
        <v>194579.8826631638</v>
      </c>
      <c r="AF118" s="224">
        <v>157329.36218778696</v>
      </c>
      <c r="AG118" s="224">
        <v>122675.55263283353</v>
      </c>
      <c r="AH118" s="225">
        <v>88069.03186304476</v>
      </c>
      <c r="AJ118" s="81">
        <f t="shared" si="26"/>
        <v>3928395.6000000006</v>
      </c>
      <c r="AK118" s="81">
        <f t="shared" si="27"/>
        <v>210395.48533597443</v>
      </c>
      <c r="AL118" s="81">
        <f t="shared" si="28"/>
        <v>4820874.30519836</v>
      </c>
      <c r="AM118" s="81">
        <f t="shared" si="29"/>
        <v>9517913.717662232</v>
      </c>
      <c r="AN118" s="81">
        <f t="shared" si="30"/>
        <v>234655.06966426037</v>
      </c>
      <c r="AO118" s="81">
        <f t="shared" si="31"/>
        <v>194579.8826631638</v>
      </c>
      <c r="AP118" s="81">
        <f t="shared" si="32"/>
        <v>157329.36218778696</v>
      </c>
      <c r="AQ118" s="81">
        <f t="shared" si="33"/>
        <v>122675.55263283353</v>
      </c>
      <c r="AR118" s="81">
        <f t="shared" si="34"/>
        <v>88069.03186304476</v>
      </c>
      <c r="AS118" s="82">
        <v>817</v>
      </c>
      <c r="AT118" s="82">
        <v>95</v>
      </c>
      <c r="AU118" s="82"/>
      <c r="AV118" s="82">
        <f t="shared" si="35"/>
        <v>95</v>
      </c>
      <c r="AW118" s="82">
        <v>3727.6710864325964</v>
      </c>
      <c r="AX118" s="149">
        <v>-966.2918238555666</v>
      </c>
      <c r="AY118" s="81">
        <f t="shared" si="36"/>
        <v>-923421.2190111012</v>
      </c>
      <c r="AZ118" s="409"/>
      <c r="BA118" s="81"/>
      <c r="BB118" s="81"/>
      <c r="BC118" s="81"/>
      <c r="BD118" s="81"/>
      <c r="BE118" s="81"/>
      <c r="BF118" s="81"/>
      <c r="BG118" s="81"/>
    </row>
    <row r="119" spans="1:59" ht="12.75">
      <c r="A119" s="81">
        <v>285</v>
      </c>
      <c r="B119" s="81" t="s">
        <v>242</v>
      </c>
      <c r="C119" s="81">
        <v>8</v>
      </c>
      <c r="D119" s="81">
        <v>52883</v>
      </c>
      <c r="E119" s="100">
        <v>115613069.65229374</v>
      </c>
      <c r="F119" s="81">
        <v>79698405</v>
      </c>
      <c r="G119" s="81">
        <v>14752295.263888469</v>
      </c>
      <c r="H119" s="81">
        <v>6468731.724206505</v>
      </c>
      <c r="I119" s="156">
        <v>22138913.298682846</v>
      </c>
      <c r="J119" s="156">
        <v>7426589.886721615</v>
      </c>
      <c r="K119" s="81">
        <v>-6042091.424655941</v>
      </c>
      <c r="L119" s="81">
        <v>-1134236</v>
      </c>
      <c r="M119" s="82">
        <v>385002</v>
      </c>
      <c r="N119" s="82">
        <v>633639.4905580905</v>
      </c>
      <c r="O119" s="214">
        <f t="shared" si="20"/>
        <v>8714179.587107837</v>
      </c>
      <c r="P119" s="215">
        <f t="shared" si="21"/>
        <v>164.782247359413</v>
      </c>
      <c r="Q119" s="81"/>
      <c r="R119" s="223">
        <v>343842184</v>
      </c>
      <c r="S119" s="156">
        <v>197733822.815</v>
      </c>
      <c r="T119" s="156">
        <v>9703097.586309759</v>
      </c>
      <c r="U119" s="156">
        <v>108580523.29281156</v>
      </c>
      <c r="V119" s="156">
        <v>22218404.521014098</v>
      </c>
      <c r="W119" s="156">
        <v>14003061.263888469</v>
      </c>
      <c r="X119" s="214">
        <f t="shared" si="22"/>
        <v>8396725.479023874</v>
      </c>
      <c r="Y119" s="215">
        <f t="shared" si="23"/>
        <v>158.77929540729298</v>
      </c>
      <c r="Z119" s="81"/>
      <c r="AA119" s="94">
        <f t="shared" si="24"/>
        <v>317454.1080839634</v>
      </c>
      <c r="AB119" s="153">
        <f t="shared" si="25"/>
        <v>6.002951952120027</v>
      </c>
      <c r="AD119" s="216">
        <v>-99085.89985477667</v>
      </c>
      <c r="AE119" s="224">
        <v>105931.10815269352</v>
      </c>
      <c r="AF119" s="224">
        <v>57330.26443502125</v>
      </c>
      <c r="AG119" s="224">
        <v>67413.97781339679</v>
      </c>
      <c r="AH119" s="225">
        <v>78566.39752761081</v>
      </c>
      <c r="AJ119" s="81">
        <f t="shared" si="26"/>
        <v>118035417.815</v>
      </c>
      <c r="AK119" s="81">
        <f t="shared" si="27"/>
        <v>3234365.8621032536</v>
      </c>
      <c r="AL119" s="81">
        <f t="shared" si="28"/>
        <v>86441609.9941287</v>
      </c>
      <c r="AM119" s="81">
        <f t="shared" si="29"/>
        <v>228229114.34770626</v>
      </c>
      <c r="AN119" s="81">
        <f t="shared" si="30"/>
        <v>-99085.89985477667</v>
      </c>
      <c r="AO119" s="81">
        <f t="shared" si="31"/>
        <v>105931.10815269352</v>
      </c>
      <c r="AP119" s="81">
        <f t="shared" si="32"/>
        <v>57330.26443502125</v>
      </c>
      <c r="AQ119" s="81">
        <f t="shared" si="33"/>
        <v>67413.97781339679</v>
      </c>
      <c r="AR119" s="81">
        <f t="shared" si="34"/>
        <v>78566.39752761081</v>
      </c>
      <c r="AS119" s="82">
        <v>21647</v>
      </c>
      <c r="AT119" s="82">
        <v>206</v>
      </c>
      <c r="AU119" s="82">
        <v>863</v>
      </c>
      <c r="AV119" s="82">
        <f t="shared" si="35"/>
        <v>1069</v>
      </c>
      <c r="AW119" s="82">
        <v>81533.55738797462</v>
      </c>
      <c r="AX119" s="149">
        <v>-1627.8441927840752</v>
      </c>
      <c r="AY119" s="81">
        <f t="shared" si="36"/>
        <v>-14791814.634292483</v>
      </c>
      <c r="AZ119" s="409"/>
      <c r="BA119" s="81"/>
      <c r="BB119" s="81"/>
      <c r="BC119" s="81"/>
      <c r="BD119" s="81"/>
      <c r="BE119" s="81"/>
      <c r="BF119" s="81"/>
      <c r="BG119" s="81"/>
    </row>
    <row r="120" spans="1:59" ht="12.75">
      <c r="A120" s="81">
        <v>286</v>
      </c>
      <c r="B120" s="81" t="s">
        <v>243</v>
      </c>
      <c r="C120" s="81">
        <v>8</v>
      </c>
      <c r="D120" s="81">
        <v>83177</v>
      </c>
      <c r="E120" s="100">
        <v>221383907.31803334</v>
      </c>
      <c r="F120" s="81">
        <v>120641270</v>
      </c>
      <c r="G120" s="81">
        <v>27276594.162641507</v>
      </c>
      <c r="H120" s="81">
        <v>15338818.676230157</v>
      </c>
      <c r="I120" s="156">
        <v>28910285.26470898</v>
      </c>
      <c r="J120" s="156">
        <v>12411440.584052213</v>
      </c>
      <c r="K120" s="81">
        <v>-9902127.762698494</v>
      </c>
      <c r="L120" s="81">
        <v>16155348</v>
      </c>
      <c r="M120" s="82">
        <v>9008000</v>
      </c>
      <c r="N120" s="82">
        <v>994526.4096682337</v>
      </c>
      <c r="O120" s="214">
        <f t="shared" si="20"/>
        <v>-549751.9834307432</v>
      </c>
      <c r="P120" s="215">
        <f t="shared" si="21"/>
        <v>-6.609423078864869</v>
      </c>
      <c r="Q120" s="81"/>
      <c r="R120" s="223">
        <v>565382496</v>
      </c>
      <c r="S120" s="156">
        <v>303310380.2125</v>
      </c>
      <c r="T120" s="156">
        <v>23008228.014345232</v>
      </c>
      <c r="U120" s="156">
        <v>145217188.185561</v>
      </c>
      <c r="V120" s="156">
        <v>37353794.40246731</v>
      </c>
      <c r="W120" s="156">
        <v>52439942.16264151</v>
      </c>
      <c r="X120" s="214">
        <f t="shared" si="22"/>
        <v>-4052963.022485018</v>
      </c>
      <c r="Y120" s="215">
        <f t="shared" si="23"/>
        <v>-48.726968061904344</v>
      </c>
      <c r="Z120" s="81"/>
      <c r="AA120" s="94">
        <f t="shared" si="24"/>
        <v>3503211.0390542746</v>
      </c>
      <c r="AB120" s="153">
        <f t="shared" si="25"/>
        <v>42.11754498303948</v>
      </c>
      <c r="AD120" s="216">
        <v>-3159750.71237313</v>
      </c>
      <c r="AE120" s="224">
        <v>-2088942.3487792031</v>
      </c>
      <c r="AF120" s="224">
        <v>-917729.1614204077</v>
      </c>
      <c r="AG120" s="224">
        <v>106032.04115849904</v>
      </c>
      <c r="AH120" s="225">
        <v>123573.1189069093</v>
      </c>
      <c r="AJ120" s="81">
        <f t="shared" si="26"/>
        <v>182669110.21249998</v>
      </c>
      <c r="AK120" s="81">
        <f t="shared" si="27"/>
        <v>7669409.338115076</v>
      </c>
      <c r="AL120" s="81">
        <f t="shared" si="28"/>
        <v>116306902.92085202</v>
      </c>
      <c r="AM120" s="81">
        <f t="shared" si="29"/>
        <v>343998588.68196666</v>
      </c>
      <c r="AN120" s="81">
        <f t="shared" si="30"/>
        <v>-3159750.71237313</v>
      </c>
      <c r="AO120" s="81">
        <f t="shared" si="31"/>
        <v>-2088942.3487792031</v>
      </c>
      <c r="AP120" s="81">
        <f t="shared" si="32"/>
        <v>-917729.1614204077</v>
      </c>
      <c r="AQ120" s="81">
        <f t="shared" si="33"/>
        <v>106032.04115849904</v>
      </c>
      <c r="AR120" s="81">
        <f t="shared" si="34"/>
        <v>123573.1189069093</v>
      </c>
      <c r="AS120" s="82">
        <v>22575</v>
      </c>
      <c r="AT120" s="82"/>
      <c r="AU120" s="82"/>
      <c r="AV120" s="82">
        <f t="shared" si="35"/>
        <v>0</v>
      </c>
      <c r="AW120" s="82">
        <v>110416.76697424275</v>
      </c>
      <c r="AX120" s="149">
        <v>-3468.880429093396</v>
      </c>
      <c r="AY120" s="81">
        <f t="shared" si="36"/>
        <v>-24942353.818415098</v>
      </c>
      <c r="AZ120" s="409"/>
      <c r="BA120" s="81"/>
      <c r="BB120" s="81"/>
      <c r="BC120" s="81"/>
      <c r="BD120" s="81"/>
      <c r="BE120" s="81"/>
      <c r="BF120" s="81"/>
      <c r="BG120" s="81"/>
    </row>
    <row r="121" spans="1:59" ht="12.75">
      <c r="A121" s="81">
        <v>287</v>
      </c>
      <c r="B121" s="81" t="s">
        <v>589</v>
      </c>
      <c r="C121" s="81">
        <v>15</v>
      </c>
      <c r="D121" s="81">
        <v>6596</v>
      </c>
      <c r="E121" s="100">
        <v>20668167.41232482</v>
      </c>
      <c r="F121" s="81">
        <v>8542624</v>
      </c>
      <c r="G121" s="81">
        <v>2433267.2495463355</v>
      </c>
      <c r="H121" s="81">
        <v>872185.3207119361</v>
      </c>
      <c r="I121" s="156">
        <v>3911618.508200902</v>
      </c>
      <c r="J121" s="156">
        <v>1298433.6946099484</v>
      </c>
      <c r="K121" s="81">
        <v>639609.4154425827</v>
      </c>
      <c r="L121" s="81">
        <v>116233</v>
      </c>
      <c r="M121" s="82">
        <v>-509500</v>
      </c>
      <c r="N121" s="82">
        <v>65618.01229944966</v>
      </c>
      <c r="O121" s="214">
        <f t="shared" si="20"/>
        <v>-3298078.2115136646</v>
      </c>
      <c r="P121" s="215">
        <f t="shared" si="21"/>
        <v>-500.01185741565564</v>
      </c>
      <c r="Q121" s="81"/>
      <c r="R121" s="223">
        <v>48947892</v>
      </c>
      <c r="S121" s="156">
        <v>20664906.055</v>
      </c>
      <c r="T121" s="156">
        <v>1308277.981067904</v>
      </c>
      <c r="U121" s="156">
        <v>18030620.35357578</v>
      </c>
      <c r="V121" s="156">
        <v>4047354.375570991</v>
      </c>
      <c r="W121" s="156">
        <v>2040000.2495463355</v>
      </c>
      <c r="X121" s="214">
        <f t="shared" si="22"/>
        <v>-2856732.9852389917</v>
      </c>
      <c r="Y121" s="215">
        <f t="shared" si="23"/>
        <v>-433.100816440114</v>
      </c>
      <c r="Z121" s="81"/>
      <c r="AA121" s="94">
        <f t="shared" si="24"/>
        <v>-441345.2262746729</v>
      </c>
      <c r="AB121" s="153">
        <f t="shared" si="25"/>
        <v>-66.91104097554168</v>
      </c>
      <c r="AD121" s="216">
        <v>468581.89404086815</v>
      </c>
      <c r="AE121" s="224">
        <v>355617.8199129907</v>
      </c>
      <c r="AF121" s="224">
        <v>250615.9254447917</v>
      </c>
      <c r="AG121" s="224">
        <v>152933.64859672642</v>
      </c>
      <c r="AH121" s="225">
        <v>55384.669537954345</v>
      </c>
      <c r="AJ121" s="81">
        <f t="shared" si="26"/>
        <v>12122282.055</v>
      </c>
      <c r="AK121" s="81">
        <f t="shared" si="27"/>
        <v>436092.66035596794</v>
      </c>
      <c r="AL121" s="81">
        <f t="shared" si="28"/>
        <v>14119001.845374878</v>
      </c>
      <c r="AM121" s="81">
        <f t="shared" si="29"/>
        <v>28279724.58767518</v>
      </c>
      <c r="AN121" s="81">
        <f t="shared" si="30"/>
        <v>468581.89404086815</v>
      </c>
      <c r="AO121" s="81">
        <f t="shared" si="31"/>
        <v>355617.8199129907</v>
      </c>
      <c r="AP121" s="81">
        <f t="shared" si="32"/>
        <v>250615.9254447917</v>
      </c>
      <c r="AQ121" s="81">
        <f t="shared" si="33"/>
        <v>152933.64859672642</v>
      </c>
      <c r="AR121" s="81">
        <f t="shared" si="34"/>
        <v>55384.669537954345</v>
      </c>
      <c r="AS121" s="82">
        <v>3095</v>
      </c>
      <c r="AT121" s="82">
        <v>221</v>
      </c>
      <c r="AU121" s="82"/>
      <c r="AV121" s="82">
        <f t="shared" si="35"/>
        <v>221</v>
      </c>
      <c r="AW121" s="82">
        <v>12279.398731117066</v>
      </c>
      <c r="AX121" s="149">
        <v>-1878.3469747925728</v>
      </c>
      <c r="AY121" s="81">
        <f t="shared" si="36"/>
        <v>-2748920.6809610426</v>
      </c>
      <c r="AZ121" s="409"/>
      <c r="BA121" s="81"/>
      <c r="BB121" s="81"/>
      <c r="BC121" s="81"/>
      <c r="BD121" s="81"/>
      <c r="BE121" s="81"/>
      <c r="BF121" s="81"/>
      <c r="BG121" s="81"/>
    </row>
    <row r="122" spans="1:59" ht="12.75">
      <c r="A122" s="81">
        <v>288</v>
      </c>
      <c r="B122" s="81" t="s">
        <v>245</v>
      </c>
      <c r="C122" s="81">
        <v>15</v>
      </c>
      <c r="D122" s="81">
        <v>6509</v>
      </c>
      <c r="E122" s="100">
        <v>15652844.081049934</v>
      </c>
      <c r="F122" s="81">
        <v>8723011</v>
      </c>
      <c r="G122" s="81">
        <v>1734252.1949992415</v>
      </c>
      <c r="H122" s="81">
        <v>1316904.5307426625</v>
      </c>
      <c r="I122" s="156">
        <v>6165368.0025134515</v>
      </c>
      <c r="J122" s="156">
        <v>1183562.2362274798</v>
      </c>
      <c r="K122" s="81">
        <v>-1239399.1417162328</v>
      </c>
      <c r="L122" s="81">
        <v>18770</v>
      </c>
      <c r="M122" s="82">
        <v>-225800</v>
      </c>
      <c r="N122" s="82">
        <v>63595.90581916085</v>
      </c>
      <c r="O122" s="214">
        <f t="shared" si="20"/>
        <v>2087420.6475358307</v>
      </c>
      <c r="P122" s="215">
        <f t="shared" si="21"/>
        <v>320.6975952582318</v>
      </c>
      <c r="Q122" s="81"/>
      <c r="R122" s="223">
        <v>40883668</v>
      </c>
      <c r="S122" s="156">
        <v>20235930.4</v>
      </c>
      <c r="T122" s="156">
        <v>1975356.7961139937</v>
      </c>
      <c r="U122" s="156">
        <v>14479290.14955108</v>
      </c>
      <c r="V122" s="156">
        <v>3671253.1016365774</v>
      </c>
      <c r="W122" s="156">
        <v>1527222.1949992415</v>
      </c>
      <c r="X122" s="214">
        <f t="shared" si="22"/>
        <v>1005384.6423008889</v>
      </c>
      <c r="Y122" s="215">
        <f t="shared" si="23"/>
        <v>154.4606917039313</v>
      </c>
      <c r="Z122" s="81"/>
      <c r="AA122" s="94">
        <f t="shared" si="24"/>
        <v>1082036.0052349418</v>
      </c>
      <c r="AB122" s="153">
        <f t="shared" si="25"/>
        <v>166.23690355430048</v>
      </c>
      <c r="AD122" s="216">
        <v>-1055158.5839962722</v>
      </c>
      <c r="AE122" s="224">
        <v>-971362.6832228269</v>
      </c>
      <c r="AF122" s="224">
        <v>-879709.6224425825</v>
      </c>
      <c r="AG122" s="224">
        <v>-780833.4884225788</v>
      </c>
      <c r="AH122" s="225">
        <v>-681825.814786064</v>
      </c>
      <c r="AJ122" s="81">
        <f t="shared" si="26"/>
        <v>11512919.399999999</v>
      </c>
      <c r="AK122" s="81">
        <f t="shared" si="27"/>
        <v>658452.2653713312</v>
      </c>
      <c r="AL122" s="81">
        <f t="shared" si="28"/>
        <v>8313922.147037629</v>
      </c>
      <c r="AM122" s="81">
        <f t="shared" si="29"/>
        <v>25230823.918950066</v>
      </c>
      <c r="AN122" s="81">
        <f t="shared" si="30"/>
        <v>-1055158.5839962722</v>
      </c>
      <c r="AO122" s="81">
        <f t="shared" si="31"/>
        <v>-971362.6832228269</v>
      </c>
      <c r="AP122" s="81">
        <f t="shared" si="32"/>
        <v>-879709.6224425825</v>
      </c>
      <c r="AQ122" s="81">
        <f t="shared" si="33"/>
        <v>-780833.4884225788</v>
      </c>
      <c r="AR122" s="81">
        <f t="shared" si="34"/>
        <v>-681825.814786064</v>
      </c>
      <c r="AS122" s="82">
        <v>1192</v>
      </c>
      <c r="AT122" s="82">
        <v>1</v>
      </c>
      <c r="AU122" s="82">
        <v>54</v>
      </c>
      <c r="AV122" s="82">
        <f t="shared" si="35"/>
        <v>55</v>
      </c>
      <c r="AW122" s="82">
        <v>6819.5817453077825</v>
      </c>
      <c r="AX122" s="149">
        <v>-1803.085056165097</v>
      </c>
      <c r="AY122" s="81">
        <f t="shared" si="36"/>
        <v>-2487690.8654090976</v>
      </c>
      <c r="AZ122" s="409"/>
      <c r="BA122" s="81"/>
      <c r="BB122" s="81"/>
      <c r="BC122" s="81"/>
      <c r="BD122" s="81"/>
      <c r="BE122" s="81"/>
      <c r="BF122" s="81"/>
      <c r="BG122" s="81"/>
    </row>
    <row r="123" spans="1:59" ht="12.75">
      <c r="A123" s="81">
        <v>290</v>
      </c>
      <c r="B123" s="81" t="s">
        <v>246</v>
      </c>
      <c r="C123" s="81">
        <v>18</v>
      </c>
      <c r="D123" s="81">
        <v>8329</v>
      </c>
      <c r="E123" s="100">
        <v>22321492.536518566</v>
      </c>
      <c r="F123" s="81">
        <v>10404605</v>
      </c>
      <c r="G123" s="81">
        <v>2007891.054725487</v>
      </c>
      <c r="H123" s="81">
        <v>1977623.0600730914</v>
      </c>
      <c r="I123" s="156">
        <v>6975225.364753683</v>
      </c>
      <c r="J123" s="156">
        <v>1567820.5451205857</v>
      </c>
      <c r="K123" s="81">
        <v>-1829334.429546097</v>
      </c>
      <c r="L123" s="81">
        <v>-524674</v>
      </c>
      <c r="M123" s="82">
        <v>-143000</v>
      </c>
      <c r="N123" s="82">
        <v>78172.4101259701</v>
      </c>
      <c r="O123" s="214">
        <f t="shared" si="20"/>
        <v>-1807163.5312658474</v>
      </c>
      <c r="P123" s="215">
        <f t="shared" si="21"/>
        <v>-216.972449425603</v>
      </c>
      <c r="Q123" s="81"/>
      <c r="R123" s="223">
        <v>65653392</v>
      </c>
      <c r="S123" s="156">
        <v>24376905.28</v>
      </c>
      <c r="T123" s="156">
        <v>2966434.590109637</v>
      </c>
      <c r="U123" s="156">
        <v>29703508.40392836</v>
      </c>
      <c r="V123" s="156">
        <v>4893193.585285951</v>
      </c>
      <c r="W123" s="156">
        <v>1340217.054725487</v>
      </c>
      <c r="X123" s="214">
        <f t="shared" si="22"/>
        <v>-2373133.085950561</v>
      </c>
      <c r="Y123" s="215">
        <f t="shared" si="23"/>
        <v>-284.9241308621156</v>
      </c>
      <c r="Z123" s="81"/>
      <c r="AA123" s="94">
        <f t="shared" si="24"/>
        <v>565969.5546847135</v>
      </c>
      <c r="AB123" s="153">
        <f t="shared" si="25"/>
        <v>67.9516814365126</v>
      </c>
      <c r="AD123" s="216">
        <v>-531576.8612607195</v>
      </c>
      <c r="AE123" s="224">
        <v>-424350.550377016</v>
      </c>
      <c r="AF123" s="224">
        <v>-307070.11663317564</v>
      </c>
      <c r="AG123" s="224">
        <v>-180546.94560035813</v>
      </c>
      <c r="AH123" s="225">
        <v>-53855.454784789996</v>
      </c>
      <c r="AJ123" s="81">
        <f t="shared" si="26"/>
        <v>13972300.280000001</v>
      </c>
      <c r="AK123" s="81">
        <f t="shared" si="27"/>
        <v>988811.5300365456</v>
      </c>
      <c r="AL123" s="81">
        <f t="shared" si="28"/>
        <v>22728283.03917468</v>
      </c>
      <c r="AM123" s="81">
        <f t="shared" si="29"/>
        <v>43331899.46348143</v>
      </c>
      <c r="AN123" s="81">
        <f t="shared" si="30"/>
        <v>-531576.8612607195</v>
      </c>
      <c r="AO123" s="81">
        <f t="shared" si="31"/>
        <v>-424350.550377016</v>
      </c>
      <c r="AP123" s="81">
        <f t="shared" si="32"/>
        <v>-307070.11663317564</v>
      </c>
      <c r="AQ123" s="81">
        <f t="shared" si="33"/>
        <v>-180546.94560035813</v>
      </c>
      <c r="AR123" s="81">
        <f t="shared" si="34"/>
        <v>-53855.454784789996</v>
      </c>
      <c r="AS123" s="82">
        <v>2939</v>
      </c>
      <c r="AT123" s="82"/>
      <c r="AU123" s="82"/>
      <c r="AV123" s="82">
        <f t="shared" si="35"/>
        <v>0</v>
      </c>
      <c r="AW123" s="82">
        <v>18863.12549858411</v>
      </c>
      <c r="AX123" s="149">
        <v>-3279.35797131595</v>
      </c>
      <c r="AY123" s="81">
        <f t="shared" si="36"/>
        <v>-3325373.0401653657</v>
      </c>
      <c r="AZ123" s="409"/>
      <c r="BA123" s="81"/>
      <c r="BB123" s="81"/>
      <c r="BC123" s="81"/>
      <c r="BD123" s="81"/>
      <c r="BE123" s="81"/>
      <c r="BF123" s="81"/>
      <c r="BG123" s="81"/>
    </row>
    <row r="124" spans="1:59" ht="12.75">
      <c r="A124" s="81">
        <v>291</v>
      </c>
      <c r="B124" s="81" t="s">
        <v>247</v>
      </c>
      <c r="C124" s="81">
        <v>6</v>
      </c>
      <c r="D124" s="81">
        <v>2238</v>
      </c>
      <c r="E124" s="100">
        <v>6379708.706799353</v>
      </c>
      <c r="F124" s="81">
        <v>2639650</v>
      </c>
      <c r="G124" s="81">
        <v>1278285.5282302126</v>
      </c>
      <c r="H124" s="81">
        <v>722867.103128016</v>
      </c>
      <c r="I124" s="156">
        <v>378301.48484153126</v>
      </c>
      <c r="J124" s="156">
        <v>419010.0173887437</v>
      </c>
      <c r="K124" s="81">
        <v>549197.7231056986</v>
      </c>
      <c r="L124" s="81">
        <v>-17775</v>
      </c>
      <c r="M124" s="82">
        <v>91870</v>
      </c>
      <c r="N124" s="82">
        <v>21151.511488042273</v>
      </c>
      <c r="O124" s="214">
        <f t="shared" si="20"/>
        <v>-297150.33861710876</v>
      </c>
      <c r="P124" s="215">
        <f t="shared" si="21"/>
        <v>-132.77495023105843</v>
      </c>
      <c r="Q124" s="81"/>
      <c r="R124" s="223">
        <v>17512544</v>
      </c>
      <c r="S124" s="156">
        <v>6326321.5</v>
      </c>
      <c r="T124" s="156">
        <v>1084300.654692024</v>
      </c>
      <c r="U124" s="156">
        <v>7761881.4030363625</v>
      </c>
      <c r="V124" s="156">
        <v>1301020.2356504332</v>
      </c>
      <c r="W124" s="156">
        <v>1352380.5282302126</v>
      </c>
      <c r="X124" s="214">
        <f t="shared" si="22"/>
        <v>313360.3216090314</v>
      </c>
      <c r="Y124" s="215">
        <f t="shared" si="23"/>
        <v>140.0180168047504</v>
      </c>
      <c r="Z124" s="81"/>
      <c r="AA124" s="94">
        <f t="shared" si="24"/>
        <v>-610510.6602261402</v>
      </c>
      <c r="AB124" s="153">
        <f t="shared" si="25"/>
        <v>-272.79296703580883</v>
      </c>
      <c r="AD124" s="216">
        <v>619751.9674518481</v>
      </c>
      <c r="AE124" s="224">
        <v>581423.6475764404</v>
      </c>
      <c r="AF124" s="224">
        <v>545796.8677371697</v>
      </c>
      <c r="AG124" s="224">
        <v>512653.6088551246</v>
      </c>
      <c r="AH124" s="225">
        <v>479555.57745222404</v>
      </c>
      <c r="AJ124" s="81">
        <f t="shared" si="26"/>
        <v>3686671.5</v>
      </c>
      <c r="AK124" s="81">
        <f t="shared" si="27"/>
        <v>361433.551564008</v>
      </c>
      <c r="AL124" s="81">
        <f t="shared" si="28"/>
        <v>7383579.918194831</v>
      </c>
      <c r="AM124" s="81">
        <f t="shared" si="29"/>
        <v>11132835.293200647</v>
      </c>
      <c r="AN124" s="81">
        <f t="shared" si="30"/>
        <v>619751.9674518481</v>
      </c>
      <c r="AO124" s="81">
        <f t="shared" si="31"/>
        <v>581423.6475764404</v>
      </c>
      <c r="AP124" s="81">
        <f t="shared" si="32"/>
        <v>545796.8677371697</v>
      </c>
      <c r="AQ124" s="81">
        <f t="shared" si="33"/>
        <v>512653.6088551246</v>
      </c>
      <c r="AR124" s="81">
        <f t="shared" si="34"/>
        <v>479555.57745222404</v>
      </c>
      <c r="AS124" s="82">
        <v>1203</v>
      </c>
      <c r="AT124" s="82"/>
      <c r="AU124" s="82">
        <v>16</v>
      </c>
      <c r="AV124" s="82">
        <f t="shared" si="35"/>
        <v>16</v>
      </c>
      <c r="AW124" s="82">
        <v>6224.060127207838</v>
      </c>
      <c r="AX124" s="149">
        <v>-933.3553379838124</v>
      </c>
      <c r="AY124" s="81">
        <f t="shared" si="36"/>
        <v>-882010.2182616895</v>
      </c>
      <c r="AZ124" s="409"/>
      <c r="BA124" s="81"/>
      <c r="BB124" s="81"/>
      <c r="BC124" s="81"/>
      <c r="BD124" s="81"/>
      <c r="BE124" s="81"/>
      <c r="BF124" s="81"/>
      <c r="BG124" s="81"/>
    </row>
    <row r="125" spans="1:59" ht="12.75">
      <c r="A125" s="81">
        <v>297</v>
      </c>
      <c r="B125" s="81" t="s">
        <v>248</v>
      </c>
      <c r="C125" s="81">
        <v>11</v>
      </c>
      <c r="D125" s="81">
        <v>118664</v>
      </c>
      <c r="E125" s="100">
        <v>289614108.9258435</v>
      </c>
      <c r="F125" s="81">
        <v>159156968</v>
      </c>
      <c r="G125" s="81">
        <v>37910721.085824855</v>
      </c>
      <c r="H125" s="81">
        <v>16214869.94969762</v>
      </c>
      <c r="I125" s="156">
        <v>45752564.09884038</v>
      </c>
      <c r="J125" s="156">
        <v>17677589.996333033</v>
      </c>
      <c r="K125" s="81">
        <v>-12912765.200610714</v>
      </c>
      <c r="L125" s="81">
        <v>-2842022</v>
      </c>
      <c r="M125" s="82">
        <v>12735961</v>
      </c>
      <c r="N125" s="82">
        <v>1365078.9178987995</v>
      </c>
      <c r="O125" s="214">
        <f t="shared" si="20"/>
        <v>-14555143.07785952</v>
      </c>
      <c r="P125" s="215">
        <f t="shared" si="21"/>
        <v>-122.65845646412998</v>
      </c>
      <c r="Q125" s="81"/>
      <c r="R125" s="223">
        <v>740381544</v>
      </c>
      <c r="S125" s="156">
        <v>412306647.745</v>
      </c>
      <c r="T125" s="156">
        <v>24322304.924546428</v>
      </c>
      <c r="U125" s="156">
        <v>183188291.2526571</v>
      </c>
      <c r="V125" s="156">
        <v>53471926.57020738</v>
      </c>
      <c r="W125" s="156">
        <v>47804660.085824855</v>
      </c>
      <c r="X125" s="214">
        <f t="shared" si="22"/>
        <v>-19287713.421764255</v>
      </c>
      <c r="Y125" s="215">
        <f t="shared" si="23"/>
        <v>-162.5405634544955</v>
      </c>
      <c r="Z125" s="81"/>
      <c r="AA125" s="94">
        <f t="shared" si="24"/>
        <v>4732570.343904734</v>
      </c>
      <c r="AB125" s="153">
        <f t="shared" si="25"/>
        <v>39.882106990365514</v>
      </c>
      <c r="AD125" s="216">
        <v>-4242574.597420832</v>
      </c>
      <c r="AE125" s="224">
        <v>-2714911.858231999</v>
      </c>
      <c r="AF125" s="224">
        <v>-1044007.141005553</v>
      </c>
      <c r="AG125" s="224">
        <v>151270.01613465417</v>
      </c>
      <c r="AH125" s="225">
        <v>176294.89620892177</v>
      </c>
      <c r="AJ125" s="81">
        <f t="shared" si="26"/>
        <v>253149679.745</v>
      </c>
      <c r="AK125" s="81">
        <f t="shared" si="27"/>
        <v>8107434.974848809</v>
      </c>
      <c r="AL125" s="81">
        <f t="shared" si="28"/>
        <v>137435727.1538167</v>
      </c>
      <c r="AM125" s="81">
        <f t="shared" si="29"/>
        <v>450767435.0741565</v>
      </c>
      <c r="AN125" s="81">
        <f t="shared" si="30"/>
        <v>-4242574.597420832</v>
      </c>
      <c r="AO125" s="81">
        <f t="shared" si="31"/>
        <v>-2714911.858231999</v>
      </c>
      <c r="AP125" s="81">
        <f t="shared" si="32"/>
        <v>-1044007.141005553</v>
      </c>
      <c r="AQ125" s="81">
        <f t="shared" si="33"/>
        <v>151270.01613465417</v>
      </c>
      <c r="AR125" s="81">
        <f t="shared" si="34"/>
        <v>176294.89620892177</v>
      </c>
      <c r="AS125" s="82">
        <v>54646</v>
      </c>
      <c r="AT125" s="82">
        <v>752</v>
      </c>
      <c r="AU125" s="82">
        <v>838</v>
      </c>
      <c r="AV125" s="82">
        <f t="shared" si="35"/>
        <v>1590</v>
      </c>
      <c r="AW125" s="82">
        <v>125166.16673908566</v>
      </c>
      <c r="AX125" s="149">
        <v>-9359.390325891209</v>
      </c>
      <c r="AY125" s="81">
        <f t="shared" si="36"/>
        <v>-35794336.57387435</v>
      </c>
      <c r="AZ125" s="409"/>
      <c r="BA125" s="81"/>
      <c r="BB125" s="81"/>
      <c r="BC125" s="81"/>
      <c r="BD125" s="81"/>
      <c r="BE125" s="81"/>
      <c r="BF125" s="81"/>
      <c r="BG125" s="81"/>
    </row>
    <row r="126" spans="1:59" ht="12.75">
      <c r="A126" s="81">
        <v>300</v>
      </c>
      <c r="B126" s="81" t="s">
        <v>249</v>
      </c>
      <c r="C126" s="81">
        <v>14</v>
      </c>
      <c r="D126" s="81">
        <v>3572</v>
      </c>
      <c r="E126" s="100">
        <v>10471444.038017998</v>
      </c>
      <c r="F126" s="81">
        <v>3823385</v>
      </c>
      <c r="G126" s="81">
        <v>729131.0416548967</v>
      </c>
      <c r="H126" s="81">
        <v>488409.3077504256</v>
      </c>
      <c r="I126" s="156">
        <v>2550524.678922616</v>
      </c>
      <c r="J126" s="156">
        <v>681141.2211145908</v>
      </c>
      <c r="K126" s="81">
        <v>738014.3849000192</v>
      </c>
      <c r="L126" s="81">
        <v>855966</v>
      </c>
      <c r="M126" s="82">
        <v>-32500</v>
      </c>
      <c r="N126" s="82">
        <v>30869.84350458318</v>
      </c>
      <c r="O126" s="214">
        <f t="shared" si="20"/>
        <v>-606502.5601708665</v>
      </c>
      <c r="P126" s="215">
        <f t="shared" si="21"/>
        <v>-169.79354987986184</v>
      </c>
      <c r="Q126" s="81"/>
      <c r="R126" s="223">
        <v>25722844</v>
      </c>
      <c r="S126" s="156">
        <v>9487238.95</v>
      </c>
      <c r="T126" s="156">
        <v>732613.9616256384</v>
      </c>
      <c r="U126" s="156">
        <v>11536444.731023848</v>
      </c>
      <c r="V126" s="156">
        <v>2140857.6997050727</v>
      </c>
      <c r="W126" s="156">
        <v>1552597.0416548967</v>
      </c>
      <c r="X126" s="214">
        <f t="shared" si="22"/>
        <v>-273091.6159905456</v>
      </c>
      <c r="Y126" s="215">
        <f t="shared" si="23"/>
        <v>-76.45341993016395</v>
      </c>
      <c r="Z126" s="81"/>
      <c r="AA126" s="94">
        <f t="shared" si="24"/>
        <v>-333410.94418032095</v>
      </c>
      <c r="AB126" s="153">
        <f t="shared" si="25"/>
        <v>-93.34012994969791</v>
      </c>
      <c r="AD126" s="216">
        <v>348160.69816165045</v>
      </c>
      <c r="AE126" s="224">
        <v>286986.0964659594</v>
      </c>
      <c r="AF126" s="224">
        <v>230123.33615055511</v>
      </c>
      <c r="AG126" s="224">
        <v>177224.44395812193</v>
      </c>
      <c r="AH126" s="225">
        <v>124397.7378941538</v>
      </c>
      <c r="AJ126" s="81">
        <f t="shared" si="26"/>
        <v>5663853.949999999</v>
      </c>
      <c r="AK126" s="81">
        <f t="shared" si="27"/>
        <v>244204.65387521283</v>
      </c>
      <c r="AL126" s="81">
        <f t="shared" si="28"/>
        <v>8985920.052101232</v>
      </c>
      <c r="AM126" s="81">
        <f t="shared" si="29"/>
        <v>15251399.961982002</v>
      </c>
      <c r="AN126" s="81">
        <f t="shared" si="30"/>
        <v>348160.69816165045</v>
      </c>
      <c r="AO126" s="81">
        <f t="shared" si="31"/>
        <v>286986.0964659594</v>
      </c>
      <c r="AP126" s="81">
        <f t="shared" si="32"/>
        <v>230123.33615055511</v>
      </c>
      <c r="AQ126" s="81">
        <f t="shared" si="33"/>
        <v>177224.44395812193</v>
      </c>
      <c r="AR126" s="81">
        <f t="shared" si="34"/>
        <v>124397.7378941538</v>
      </c>
      <c r="AS126" s="82">
        <v>1268</v>
      </c>
      <c r="AT126" s="82"/>
      <c r="AU126" s="82"/>
      <c r="AV126" s="82">
        <f t="shared" si="35"/>
        <v>0</v>
      </c>
      <c r="AW126" s="82">
        <v>7541.8353077498205</v>
      </c>
      <c r="AX126" s="149">
        <v>-1631.7547965289416</v>
      </c>
      <c r="AY126" s="81">
        <f t="shared" si="36"/>
        <v>-1459716.478590482</v>
      </c>
      <c r="AZ126" s="409"/>
      <c r="BA126" s="81"/>
      <c r="BB126" s="81"/>
      <c r="BC126" s="81"/>
      <c r="BD126" s="81"/>
      <c r="BE126" s="81"/>
      <c r="BF126" s="81"/>
      <c r="BG126" s="81"/>
    </row>
    <row r="127" spans="1:59" ht="12.75">
      <c r="A127" s="81">
        <v>301</v>
      </c>
      <c r="B127" s="81" t="s">
        <v>250</v>
      </c>
      <c r="C127" s="81">
        <v>14</v>
      </c>
      <c r="D127" s="81">
        <v>20952</v>
      </c>
      <c r="E127" s="100">
        <v>62769028.73330034</v>
      </c>
      <c r="F127" s="81">
        <v>23382720</v>
      </c>
      <c r="G127" s="81">
        <v>4084573.8702032412</v>
      </c>
      <c r="H127" s="81">
        <v>2269889.1341878753</v>
      </c>
      <c r="I127" s="156">
        <v>15420026.284128346</v>
      </c>
      <c r="J127" s="156">
        <v>3848108.313818382</v>
      </c>
      <c r="K127" s="81">
        <v>-2065841.0878845465</v>
      </c>
      <c r="L127" s="81">
        <v>-2626486</v>
      </c>
      <c r="M127" s="82">
        <v>7098000</v>
      </c>
      <c r="N127" s="82">
        <v>185860.77853551868</v>
      </c>
      <c r="O127" s="214">
        <f t="shared" si="20"/>
        <v>-11172177.440311529</v>
      </c>
      <c r="P127" s="215">
        <f t="shared" si="21"/>
        <v>-533.2272546922264</v>
      </c>
      <c r="Q127" s="81"/>
      <c r="R127" s="223">
        <v>153013056</v>
      </c>
      <c r="S127" s="156">
        <v>57818942.86</v>
      </c>
      <c r="T127" s="156">
        <v>3404833.7012818125</v>
      </c>
      <c r="U127" s="156">
        <v>57689533.33925283</v>
      </c>
      <c r="V127" s="156">
        <v>12071344.681901248</v>
      </c>
      <c r="W127" s="156">
        <v>8556087.870203242</v>
      </c>
      <c r="X127" s="214">
        <f t="shared" si="22"/>
        <v>-13472313.547360867</v>
      </c>
      <c r="Y127" s="215">
        <f t="shared" si="23"/>
        <v>-643.0084740053869</v>
      </c>
      <c r="Z127" s="81"/>
      <c r="AA127" s="94">
        <f t="shared" si="24"/>
        <v>2300136.1070493385</v>
      </c>
      <c r="AB127" s="153">
        <f t="shared" si="25"/>
        <v>109.78121931316049</v>
      </c>
      <c r="AD127" s="216">
        <v>-2213619.6329684835</v>
      </c>
      <c r="AE127" s="224">
        <v>-1943886.6919629166</v>
      </c>
      <c r="AF127" s="224">
        <v>-1648862.1214501369</v>
      </c>
      <c r="AG127" s="224">
        <v>-1330587.0008498738</v>
      </c>
      <c r="AH127" s="225">
        <v>-1011888.4637424438</v>
      </c>
      <c r="AJ127" s="81">
        <f t="shared" si="26"/>
        <v>34436222.86</v>
      </c>
      <c r="AK127" s="81">
        <f t="shared" si="27"/>
        <v>1134944.5670939372</v>
      </c>
      <c r="AL127" s="81">
        <f t="shared" si="28"/>
        <v>42269507.055124484</v>
      </c>
      <c r="AM127" s="81">
        <f t="shared" si="29"/>
        <v>90244027.26669966</v>
      </c>
      <c r="AN127" s="81">
        <f t="shared" si="30"/>
        <v>-2213619.6329684835</v>
      </c>
      <c r="AO127" s="81">
        <f t="shared" si="31"/>
        <v>-1943886.6919629166</v>
      </c>
      <c r="AP127" s="81">
        <f t="shared" si="32"/>
        <v>-1648862.1214501369</v>
      </c>
      <c r="AQ127" s="81">
        <f t="shared" si="33"/>
        <v>-1330587.0008498738</v>
      </c>
      <c r="AR127" s="81">
        <f t="shared" si="34"/>
        <v>-1011888.4637424438</v>
      </c>
      <c r="AS127" s="82">
        <v>14932</v>
      </c>
      <c r="AT127" s="82"/>
      <c r="AU127" s="82"/>
      <c r="AV127" s="82">
        <f t="shared" si="35"/>
        <v>0</v>
      </c>
      <c r="AW127" s="82">
        <v>34437.49092366211</v>
      </c>
      <c r="AX127" s="149">
        <v>-8925.446713163772</v>
      </c>
      <c r="AY127" s="81">
        <f t="shared" si="36"/>
        <v>-8223236.368082866</v>
      </c>
      <c r="AZ127" s="409"/>
      <c r="BA127" s="81"/>
      <c r="BB127" s="81"/>
      <c r="BC127" s="81"/>
      <c r="BD127" s="81"/>
      <c r="BE127" s="81"/>
      <c r="BF127" s="81"/>
      <c r="BG127" s="81"/>
    </row>
    <row r="128" spans="1:59" ht="12.75">
      <c r="A128" s="81">
        <v>304</v>
      </c>
      <c r="B128" s="81" t="s">
        <v>251</v>
      </c>
      <c r="C128" s="81">
        <v>2</v>
      </c>
      <c r="D128" s="81">
        <v>926</v>
      </c>
      <c r="E128" s="100">
        <v>2286851.3019778077</v>
      </c>
      <c r="F128" s="81">
        <v>814019</v>
      </c>
      <c r="G128" s="81">
        <v>1380753.1063177686</v>
      </c>
      <c r="H128" s="81">
        <v>152639.8731351648</v>
      </c>
      <c r="I128" s="156">
        <v>293041.00820007455</v>
      </c>
      <c r="J128" s="156">
        <v>168316.52299813041</v>
      </c>
      <c r="K128" s="81">
        <v>-461724.6677499237</v>
      </c>
      <c r="L128" s="81">
        <v>-189863</v>
      </c>
      <c r="M128" s="82">
        <v>-23500</v>
      </c>
      <c r="N128" s="82">
        <v>10636.463438978935</v>
      </c>
      <c r="O128" s="214">
        <f t="shared" si="20"/>
        <v>-142532.99563761428</v>
      </c>
      <c r="P128" s="215">
        <f t="shared" si="21"/>
        <v>-153.9233214229096</v>
      </c>
      <c r="Q128" s="81"/>
      <c r="R128" s="223">
        <v>6927732</v>
      </c>
      <c r="S128" s="156">
        <v>2773370.1975</v>
      </c>
      <c r="T128" s="156">
        <v>228959.80970274718</v>
      </c>
      <c r="U128" s="156">
        <v>1992882.2715178302</v>
      </c>
      <c r="V128" s="156">
        <v>508967.55891226727</v>
      </c>
      <c r="W128" s="156">
        <v>1167390.1063177686</v>
      </c>
      <c r="X128" s="214">
        <f t="shared" si="22"/>
        <v>-256162.0560493879</v>
      </c>
      <c r="Y128" s="215">
        <f t="shared" si="23"/>
        <v>-276.63288990214676</v>
      </c>
      <c r="Z128" s="81"/>
      <c r="AA128" s="94">
        <f t="shared" si="24"/>
        <v>113629.06041177362</v>
      </c>
      <c r="AB128" s="153">
        <f t="shared" si="25"/>
        <v>122.70956847923718</v>
      </c>
      <c r="AD128" s="216">
        <v>-109805.35599220113</v>
      </c>
      <c r="AE128" s="224">
        <v>-97884.16930972911</v>
      </c>
      <c r="AF128" s="224">
        <v>-84845.18724143806</v>
      </c>
      <c r="AG128" s="224">
        <v>-70778.61786019313</v>
      </c>
      <c r="AH128" s="225">
        <v>-56693.33505370783</v>
      </c>
      <c r="AJ128" s="81">
        <f t="shared" si="26"/>
        <v>1959351.1974999998</v>
      </c>
      <c r="AK128" s="81">
        <f t="shared" si="27"/>
        <v>76319.9365675824</v>
      </c>
      <c r="AL128" s="81">
        <f t="shared" si="28"/>
        <v>1699841.2633177557</v>
      </c>
      <c r="AM128" s="81">
        <f t="shared" si="29"/>
        <v>4640880.698022192</v>
      </c>
      <c r="AN128" s="81">
        <f t="shared" si="30"/>
        <v>-109805.35599220113</v>
      </c>
      <c r="AO128" s="81">
        <f t="shared" si="31"/>
        <v>-97884.16930972911</v>
      </c>
      <c r="AP128" s="81">
        <f t="shared" si="32"/>
        <v>-84845.18724143806</v>
      </c>
      <c r="AQ128" s="81">
        <f t="shared" si="33"/>
        <v>-70778.61786019313</v>
      </c>
      <c r="AR128" s="81">
        <f t="shared" si="34"/>
        <v>-56693.33505370783</v>
      </c>
      <c r="AS128" s="82">
        <v>392</v>
      </c>
      <c r="AT128" s="82">
        <v>6</v>
      </c>
      <c r="AU128" s="82"/>
      <c r="AV128" s="82">
        <f t="shared" si="35"/>
        <v>6</v>
      </c>
      <c r="AW128" s="82">
        <v>1464.1733902095143</v>
      </c>
      <c r="AX128" s="149">
        <v>-49.01691678259546</v>
      </c>
      <c r="AY128" s="81">
        <f t="shared" si="36"/>
        <v>-340651.03591413685</v>
      </c>
      <c r="AZ128" s="409"/>
      <c r="BA128" s="81"/>
      <c r="BB128" s="81"/>
      <c r="BC128" s="81"/>
      <c r="BD128" s="81"/>
      <c r="BE128" s="81"/>
      <c r="BF128" s="81"/>
      <c r="BG128" s="81"/>
    </row>
    <row r="129" spans="1:59" ht="12.75">
      <c r="A129" s="81">
        <v>305</v>
      </c>
      <c r="B129" s="81" t="s">
        <v>252</v>
      </c>
      <c r="C129" s="81">
        <v>17</v>
      </c>
      <c r="D129" s="81">
        <v>15207</v>
      </c>
      <c r="E129" s="100">
        <v>39960172.87762669</v>
      </c>
      <c r="F129" s="81">
        <v>15510119</v>
      </c>
      <c r="G129" s="81">
        <v>7181374.080719422</v>
      </c>
      <c r="H129" s="81">
        <v>2598084.6629012353</v>
      </c>
      <c r="I129" s="156">
        <v>11384428.141771793</v>
      </c>
      <c r="J129" s="156">
        <v>2573921.1908858027</v>
      </c>
      <c r="K129" s="81">
        <v>-1616430.0305516622</v>
      </c>
      <c r="L129" s="81">
        <v>-986916</v>
      </c>
      <c r="M129" s="82">
        <v>-600000</v>
      </c>
      <c r="N129" s="82">
        <v>146410.27745114063</v>
      </c>
      <c r="O129" s="214">
        <f t="shared" si="20"/>
        <v>-3769181.5544489548</v>
      </c>
      <c r="P129" s="215">
        <f t="shared" si="21"/>
        <v>-247.85832540599426</v>
      </c>
      <c r="Q129" s="81"/>
      <c r="R129" s="223">
        <v>106035636</v>
      </c>
      <c r="S129" s="156">
        <v>42231967</v>
      </c>
      <c r="T129" s="156">
        <v>3897126.994351853</v>
      </c>
      <c r="U129" s="156">
        <v>42478787.009689644</v>
      </c>
      <c r="V129" s="156">
        <v>7967987.064485306</v>
      </c>
      <c r="W129" s="156">
        <v>5594458.080719422</v>
      </c>
      <c r="X129" s="214">
        <f t="shared" si="22"/>
        <v>-3865309.850753784</v>
      </c>
      <c r="Y129" s="215">
        <f t="shared" si="23"/>
        <v>-254.17964429235116</v>
      </c>
      <c r="Z129" s="81"/>
      <c r="AA129" s="94">
        <f t="shared" si="24"/>
        <v>96128.29630482942</v>
      </c>
      <c r="AB129" s="153">
        <f t="shared" si="25"/>
        <v>6.321318886356902</v>
      </c>
      <c r="AD129" s="216">
        <v>-33334.480852944725</v>
      </c>
      <c r="AE129" s="224">
        <v>30461.478389615007</v>
      </c>
      <c r="AF129" s="224">
        <v>16485.85237719812</v>
      </c>
      <c r="AG129" s="224">
        <v>19385.518230968835</v>
      </c>
      <c r="AH129" s="225">
        <v>22592.500561662113</v>
      </c>
      <c r="AJ129" s="81">
        <f t="shared" si="26"/>
        <v>26721848</v>
      </c>
      <c r="AK129" s="81">
        <f t="shared" si="27"/>
        <v>1299042.3314506179</v>
      </c>
      <c r="AL129" s="81">
        <f t="shared" si="28"/>
        <v>31094358.86791785</v>
      </c>
      <c r="AM129" s="81">
        <f t="shared" si="29"/>
        <v>66075463.12237331</v>
      </c>
      <c r="AN129" s="81">
        <f t="shared" si="30"/>
        <v>-33334.480852944725</v>
      </c>
      <c r="AO129" s="81">
        <f t="shared" si="31"/>
        <v>30461.478389615007</v>
      </c>
      <c r="AP129" s="81">
        <f t="shared" si="32"/>
        <v>16485.85237719812</v>
      </c>
      <c r="AQ129" s="81">
        <f t="shared" si="33"/>
        <v>19385.518230968835</v>
      </c>
      <c r="AR129" s="81">
        <f t="shared" si="34"/>
        <v>22592.500561662113</v>
      </c>
      <c r="AS129" s="82">
        <v>6023</v>
      </c>
      <c r="AT129" s="82">
        <v>206</v>
      </c>
      <c r="AU129" s="82"/>
      <c r="AV129" s="82">
        <f t="shared" si="35"/>
        <v>206</v>
      </c>
      <c r="AW129" s="82">
        <v>24993.197145331684</v>
      </c>
      <c r="AX129" s="149">
        <v>-5243.435081809168</v>
      </c>
      <c r="AY129" s="81">
        <f t="shared" si="36"/>
        <v>-5394065.873599503</v>
      </c>
      <c r="AZ129" s="409"/>
      <c r="BA129" s="81"/>
      <c r="BB129" s="81"/>
      <c r="BC129" s="81"/>
      <c r="BD129" s="81"/>
      <c r="BE129" s="81"/>
      <c r="BF129" s="81"/>
      <c r="BG129" s="81"/>
    </row>
    <row r="130" spans="1:59" ht="12.75">
      <c r="A130" s="81">
        <v>309</v>
      </c>
      <c r="B130" s="81" t="s">
        <v>312</v>
      </c>
      <c r="C130" s="81">
        <v>12</v>
      </c>
      <c r="D130" s="81">
        <v>6803</v>
      </c>
      <c r="E130" s="100">
        <v>15586283.00731776</v>
      </c>
      <c r="F130" s="81">
        <v>8012748</v>
      </c>
      <c r="G130" s="81">
        <v>1663468.8936071645</v>
      </c>
      <c r="H130" s="81">
        <v>834117.4902436993</v>
      </c>
      <c r="I130" s="156">
        <v>4773487.656354264</v>
      </c>
      <c r="J130" s="156">
        <v>1156114.9300395264</v>
      </c>
      <c r="K130" s="81">
        <v>-626421.0672574643</v>
      </c>
      <c r="L130" s="81">
        <v>-609652</v>
      </c>
      <c r="M130" s="82">
        <v>988644</v>
      </c>
      <c r="N130" s="82">
        <v>59911.68733480489</v>
      </c>
      <c r="O130" s="214">
        <f t="shared" si="20"/>
        <v>666136.5830042362</v>
      </c>
      <c r="P130" s="215">
        <f t="shared" si="21"/>
        <v>97.91806306103722</v>
      </c>
      <c r="Q130" s="81"/>
      <c r="R130" s="223">
        <v>45289776</v>
      </c>
      <c r="S130" s="156">
        <v>19061952.755</v>
      </c>
      <c r="T130" s="156">
        <v>1251176.2353655489</v>
      </c>
      <c r="U130" s="156">
        <v>19406304.277116764</v>
      </c>
      <c r="V130" s="156">
        <v>3602428.2110600714</v>
      </c>
      <c r="W130" s="156">
        <v>2042460.8936071645</v>
      </c>
      <c r="X130" s="214">
        <f t="shared" si="22"/>
        <v>74546.37214954197</v>
      </c>
      <c r="Y130" s="215">
        <f t="shared" si="23"/>
        <v>10.957867433417901</v>
      </c>
      <c r="Z130" s="81"/>
      <c r="AA130" s="94">
        <f t="shared" si="24"/>
        <v>591590.2108546942</v>
      </c>
      <c r="AB130" s="153">
        <f t="shared" si="25"/>
        <v>86.96019562761933</v>
      </c>
      <c r="AD130" s="216">
        <v>-563498.7841091796</v>
      </c>
      <c r="AE130" s="224">
        <v>-475917.97093330784</v>
      </c>
      <c r="AF130" s="224">
        <v>-380125.1037512517</v>
      </c>
      <c r="AG130" s="224">
        <v>-276782.90990610135</v>
      </c>
      <c r="AH130" s="225">
        <v>-173303.23503297011</v>
      </c>
      <c r="AJ130" s="81">
        <f t="shared" si="26"/>
        <v>11049204.754999999</v>
      </c>
      <c r="AK130" s="81">
        <f t="shared" si="27"/>
        <v>417058.7451218496</v>
      </c>
      <c r="AL130" s="81">
        <f t="shared" si="28"/>
        <v>14632816.6207625</v>
      </c>
      <c r="AM130" s="81">
        <f t="shared" si="29"/>
        <v>29703492.99268224</v>
      </c>
      <c r="AN130" s="81">
        <f t="shared" si="30"/>
        <v>-563498.7841091796</v>
      </c>
      <c r="AO130" s="81">
        <f t="shared" si="31"/>
        <v>-475917.97093330784</v>
      </c>
      <c r="AP130" s="81">
        <f t="shared" si="32"/>
        <v>-380125.1037512517</v>
      </c>
      <c r="AQ130" s="81">
        <f t="shared" si="33"/>
        <v>-276782.90990610135</v>
      </c>
      <c r="AR130" s="81">
        <f t="shared" si="34"/>
        <v>-173303.23503297011</v>
      </c>
      <c r="AS130" s="82">
        <v>2223</v>
      </c>
      <c r="AT130" s="82">
        <v>32</v>
      </c>
      <c r="AU130" s="82"/>
      <c r="AV130" s="82">
        <f t="shared" si="35"/>
        <v>32</v>
      </c>
      <c r="AW130" s="82">
        <v>11512.695313924432</v>
      </c>
      <c r="AX130" s="149">
        <v>-3349.4649918650603</v>
      </c>
      <c r="AY130" s="81">
        <f t="shared" si="36"/>
        <v>-2446313.281020545</v>
      </c>
      <c r="AZ130" s="409"/>
      <c r="BA130" s="81"/>
      <c r="BB130" s="81"/>
      <c r="BC130" s="81"/>
      <c r="BD130" s="81"/>
      <c r="BE130" s="81"/>
      <c r="BF130" s="81"/>
      <c r="BG130" s="81"/>
    </row>
    <row r="131" spans="1:59" ht="12.75">
      <c r="A131" s="81">
        <v>312</v>
      </c>
      <c r="B131" s="81" t="s">
        <v>253</v>
      </c>
      <c r="C131" s="81">
        <v>13</v>
      </c>
      <c r="D131" s="81">
        <v>1343</v>
      </c>
      <c r="E131" s="100">
        <v>7499839.678300123</v>
      </c>
      <c r="F131" s="81">
        <v>1666607</v>
      </c>
      <c r="G131" s="81">
        <v>351390.1146729493</v>
      </c>
      <c r="H131" s="81">
        <v>551218.5031022208</v>
      </c>
      <c r="I131" s="156">
        <v>1254954.753569077</v>
      </c>
      <c r="J131" s="156">
        <v>262764.96793911606</v>
      </c>
      <c r="K131" s="81">
        <v>-218813.41191510062</v>
      </c>
      <c r="L131" s="81">
        <v>-334327</v>
      </c>
      <c r="M131" s="82">
        <v>192300</v>
      </c>
      <c r="N131" s="82">
        <v>12200.164958148222</v>
      </c>
      <c r="O131" s="214">
        <f t="shared" si="20"/>
        <v>-3761544.5859737117</v>
      </c>
      <c r="P131" s="215">
        <f t="shared" si="21"/>
        <v>-2800.852260590999</v>
      </c>
      <c r="Q131" s="81"/>
      <c r="R131" s="223">
        <v>13889652</v>
      </c>
      <c r="S131" s="156">
        <v>3725939.6</v>
      </c>
      <c r="T131" s="156">
        <v>826827.7546533312</v>
      </c>
      <c r="U131" s="156">
        <v>4291028.66487764</v>
      </c>
      <c r="V131" s="156">
        <v>822973.1162040007</v>
      </c>
      <c r="W131" s="156">
        <v>209363.1146729493</v>
      </c>
      <c r="X131" s="214">
        <f t="shared" si="22"/>
        <v>-4013519.749592079</v>
      </c>
      <c r="Y131" s="215">
        <f t="shared" si="23"/>
        <v>-2988.4733801876982</v>
      </c>
      <c r="Z131" s="81"/>
      <c r="AA131" s="94">
        <f t="shared" si="24"/>
        <v>251975.16361836717</v>
      </c>
      <c r="AB131" s="153">
        <f t="shared" si="25"/>
        <v>187.62111959669932</v>
      </c>
      <c r="AD131" s="216">
        <v>-246429.5534288577</v>
      </c>
      <c r="AE131" s="224">
        <v>-229139.97058376067</v>
      </c>
      <c r="AF131" s="224">
        <v>-210229.22229249193</v>
      </c>
      <c r="AG131" s="224">
        <v>-189828.13948578355</v>
      </c>
      <c r="AH131" s="225">
        <v>-169399.91614981188</v>
      </c>
      <c r="AJ131" s="81">
        <f t="shared" si="26"/>
        <v>2059332.6</v>
      </c>
      <c r="AK131" s="81">
        <f t="shared" si="27"/>
        <v>275609.2515511104</v>
      </c>
      <c r="AL131" s="81">
        <f t="shared" si="28"/>
        <v>3036073.9113085633</v>
      </c>
      <c r="AM131" s="81">
        <f t="shared" si="29"/>
        <v>6389812.321699877</v>
      </c>
      <c r="AN131" s="81">
        <f t="shared" si="30"/>
        <v>-246429.5534288577</v>
      </c>
      <c r="AO131" s="81">
        <f t="shared" si="31"/>
        <v>-229139.97058376067</v>
      </c>
      <c r="AP131" s="81">
        <f t="shared" si="32"/>
        <v>-210229.22229249193</v>
      </c>
      <c r="AQ131" s="81">
        <f t="shared" si="33"/>
        <v>-189828.13948578355</v>
      </c>
      <c r="AR131" s="81">
        <f t="shared" si="34"/>
        <v>-169399.91614981188</v>
      </c>
      <c r="AS131" s="82">
        <v>2662</v>
      </c>
      <c r="AT131" s="82"/>
      <c r="AU131" s="82"/>
      <c r="AV131" s="82">
        <f t="shared" si="35"/>
        <v>0</v>
      </c>
      <c r="AW131" s="82">
        <v>2497.691216069488</v>
      </c>
      <c r="AX131" s="149">
        <v>-655.4125137438597</v>
      </c>
      <c r="AY131" s="81">
        <f t="shared" si="36"/>
        <v>-560208.1482648846</v>
      </c>
      <c r="AZ131" s="409"/>
      <c r="BA131" s="81"/>
      <c r="BB131" s="81"/>
      <c r="BC131" s="81"/>
      <c r="BD131" s="81"/>
      <c r="BE131" s="81"/>
      <c r="BF131" s="81"/>
      <c r="BG131" s="81"/>
    </row>
    <row r="132" spans="1:59" ht="12.75">
      <c r="A132" s="81">
        <v>316</v>
      </c>
      <c r="B132" s="81" t="s">
        <v>254</v>
      </c>
      <c r="C132" s="81">
        <v>7</v>
      </c>
      <c r="D132" s="81">
        <v>4451</v>
      </c>
      <c r="E132" s="100">
        <v>8825995.972244887</v>
      </c>
      <c r="F132" s="81">
        <v>6179203</v>
      </c>
      <c r="G132" s="81">
        <v>1046954.8760856044</v>
      </c>
      <c r="H132" s="81">
        <v>495543.3335810496</v>
      </c>
      <c r="I132" s="156">
        <v>2652201.86835296</v>
      </c>
      <c r="J132" s="156">
        <v>749390.5042967026</v>
      </c>
      <c r="K132" s="81">
        <v>-593272.4626803282</v>
      </c>
      <c r="L132" s="81">
        <v>-1094322</v>
      </c>
      <c r="M132" s="82">
        <v>-95500</v>
      </c>
      <c r="N132" s="82">
        <v>45049.34078591954</v>
      </c>
      <c r="O132" s="214">
        <f t="shared" si="20"/>
        <v>559252.488177022</v>
      </c>
      <c r="P132" s="215">
        <f t="shared" si="21"/>
        <v>125.64648127994202</v>
      </c>
      <c r="Q132" s="81"/>
      <c r="R132" s="223">
        <v>25469024</v>
      </c>
      <c r="S132" s="156">
        <v>14553248.46</v>
      </c>
      <c r="T132" s="156">
        <v>743315.0003715743</v>
      </c>
      <c r="U132" s="156">
        <v>8100984.058740673</v>
      </c>
      <c r="V132" s="156">
        <v>2309859.121217478</v>
      </c>
      <c r="W132" s="156">
        <v>-142867.12391439558</v>
      </c>
      <c r="X132" s="214">
        <f t="shared" si="22"/>
        <v>95515.51641532779</v>
      </c>
      <c r="Y132" s="215">
        <f t="shared" si="23"/>
        <v>21.459338668912107</v>
      </c>
      <c r="Z132" s="81"/>
      <c r="AA132" s="94">
        <f t="shared" si="24"/>
        <v>463736.9717616942</v>
      </c>
      <c r="AB132" s="153">
        <f t="shared" si="25"/>
        <v>104.18714261102993</v>
      </c>
      <c r="AD132" s="216">
        <v>-445357.58907106955</v>
      </c>
      <c r="AE132" s="224">
        <v>-388056.07511460833</v>
      </c>
      <c r="AF132" s="224">
        <v>-325381.6591470452</v>
      </c>
      <c r="AG132" s="224">
        <v>-257767.94390306988</v>
      </c>
      <c r="AH132" s="225">
        <v>-190064.27892286895</v>
      </c>
      <c r="AJ132" s="81">
        <f t="shared" si="26"/>
        <v>8374045.460000001</v>
      </c>
      <c r="AK132" s="81">
        <f t="shared" si="27"/>
        <v>247771.66679052473</v>
      </c>
      <c r="AL132" s="81">
        <f t="shared" si="28"/>
        <v>5448782.190387713</v>
      </c>
      <c r="AM132" s="81">
        <f t="shared" si="29"/>
        <v>16643028.027755113</v>
      </c>
      <c r="AN132" s="81">
        <f t="shared" si="30"/>
        <v>-445357.58907106955</v>
      </c>
      <c r="AO132" s="81">
        <f t="shared" si="31"/>
        <v>-388056.07511460833</v>
      </c>
      <c r="AP132" s="81">
        <f t="shared" si="32"/>
        <v>-325381.6591470452</v>
      </c>
      <c r="AQ132" s="81">
        <f t="shared" si="33"/>
        <v>-257767.94390306988</v>
      </c>
      <c r="AR132" s="81">
        <f t="shared" si="34"/>
        <v>-190064.27892286895</v>
      </c>
      <c r="AS132" s="82">
        <v>956</v>
      </c>
      <c r="AT132" s="82"/>
      <c r="AU132" s="82"/>
      <c r="AV132" s="82">
        <f t="shared" si="35"/>
        <v>0</v>
      </c>
      <c r="AW132" s="82">
        <v>4353.418840698716</v>
      </c>
      <c r="AX132" s="149">
        <v>-1199.8106626785864</v>
      </c>
      <c r="AY132" s="81">
        <f t="shared" si="36"/>
        <v>-1560468.6169207755</v>
      </c>
      <c r="AZ132" s="409"/>
      <c r="BA132" s="81"/>
      <c r="BB132" s="81"/>
      <c r="BC132" s="81"/>
      <c r="BD132" s="81"/>
      <c r="BE132" s="81"/>
      <c r="BF132" s="81"/>
      <c r="BG132" s="81"/>
    </row>
    <row r="133" spans="1:59" ht="12.75">
      <c r="A133" s="81">
        <v>317</v>
      </c>
      <c r="B133" s="81" t="s">
        <v>255</v>
      </c>
      <c r="C133" s="81">
        <v>17</v>
      </c>
      <c r="D133" s="81">
        <v>2613</v>
      </c>
      <c r="E133" s="100">
        <v>7981948.853725223</v>
      </c>
      <c r="F133" s="81">
        <v>2623162</v>
      </c>
      <c r="G133" s="81">
        <v>538007.1499299776</v>
      </c>
      <c r="H133" s="81">
        <v>415519.85182720324</v>
      </c>
      <c r="I133" s="156">
        <v>3431544.639790193</v>
      </c>
      <c r="J133" s="156">
        <v>518772.58511088043</v>
      </c>
      <c r="K133" s="81">
        <v>463086.70777462854</v>
      </c>
      <c r="L133" s="81">
        <v>-47674</v>
      </c>
      <c r="M133" s="82">
        <v>234500</v>
      </c>
      <c r="N133" s="82">
        <v>19638.751220166145</v>
      </c>
      <c r="O133" s="214">
        <f t="shared" si="20"/>
        <v>214608.83192782663</v>
      </c>
      <c r="P133" s="215">
        <f t="shared" si="21"/>
        <v>82.13120242167112</v>
      </c>
      <c r="Q133" s="81"/>
      <c r="R133" s="223">
        <v>18873848</v>
      </c>
      <c r="S133" s="156">
        <v>6173985.8549999995</v>
      </c>
      <c r="T133" s="156">
        <v>623279.7777408048</v>
      </c>
      <c r="U133" s="156">
        <v>10100476.153231854</v>
      </c>
      <c r="V133" s="156">
        <v>1645081.6002493736</v>
      </c>
      <c r="W133" s="156">
        <v>724833.1499299776</v>
      </c>
      <c r="X133" s="214">
        <f t="shared" si="22"/>
        <v>393808.5361520089</v>
      </c>
      <c r="Y133" s="215">
        <f t="shared" si="23"/>
        <v>150.71126527057365</v>
      </c>
      <c r="Z133" s="81"/>
      <c r="AA133" s="94">
        <f t="shared" si="24"/>
        <v>-179199.7042241823</v>
      </c>
      <c r="AB133" s="153">
        <f t="shared" si="25"/>
        <v>-68.58006284890253</v>
      </c>
      <c r="AD133" s="216">
        <v>189989.4878617002</v>
      </c>
      <c r="AE133" s="224">
        <v>145238.8623771424</v>
      </c>
      <c r="AF133" s="224">
        <v>103642.44784630493</v>
      </c>
      <c r="AG133" s="224">
        <v>64945.69384327361</v>
      </c>
      <c r="AH133" s="225">
        <v>26301.745650342833</v>
      </c>
      <c r="AJ133" s="81">
        <f t="shared" si="26"/>
        <v>3550823.8549999995</v>
      </c>
      <c r="AK133" s="81">
        <f t="shared" si="27"/>
        <v>207759.9259136016</v>
      </c>
      <c r="AL133" s="81">
        <f t="shared" si="28"/>
        <v>6668931.51344166</v>
      </c>
      <c r="AM133" s="81">
        <f t="shared" si="29"/>
        <v>10891899.146274777</v>
      </c>
      <c r="AN133" s="81">
        <f t="shared" si="30"/>
        <v>189989.4878617002</v>
      </c>
      <c r="AO133" s="81">
        <f t="shared" si="31"/>
        <v>145238.8623771424</v>
      </c>
      <c r="AP133" s="81">
        <f t="shared" si="32"/>
        <v>103642.44784630493</v>
      </c>
      <c r="AQ133" s="81">
        <f t="shared" si="33"/>
        <v>64945.69384327361</v>
      </c>
      <c r="AR133" s="81">
        <f t="shared" si="34"/>
        <v>26301.745650342833</v>
      </c>
      <c r="AS133" s="82">
        <v>638</v>
      </c>
      <c r="AT133" s="82"/>
      <c r="AU133" s="82"/>
      <c r="AV133" s="82">
        <f t="shared" si="35"/>
        <v>0</v>
      </c>
      <c r="AW133" s="82">
        <v>5227.268234481709</v>
      </c>
      <c r="AX133" s="149">
        <v>-1592.4544477577576</v>
      </c>
      <c r="AY133" s="81">
        <f t="shared" si="36"/>
        <v>-1126309.0151384932</v>
      </c>
      <c r="AZ133" s="409"/>
      <c r="BA133" s="81"/>
      <c r="BB133" s="81"/>
      <c r="BC133" s="81"/>
      <c r="BD133" s="81"/>
      <c r="BE133" s="81"/>
      <c r="BF133" s="81"/>
      <c r="BG133" s="81"/>
    </row>
    <row r="134" spans="1:59" ht="12.75">
      <c r="A134" s="81">
        <v>320</v>
      </c>
      <c r="B134" s="81" t="s">
        <v>223</v>
      </c>
      <c r="C134" s="81">
        <v>19</v>
      </c>
      <c r="D134" s="81">
        <v>7370</v>
      </c>
      <c r="E134" s="100">
        <v>18111382.72117821</v>
      </c>
      <c r="F134" s="81">
        <v>10025106</v>
      </c>
      <c r="G134" s="81">
        <v>4269690.430019473</v>
      </c>
      <c r="H134" s="81">
        <v>812379.4918436735</v>
      </c>
      <c r="I134" s="156">
        <v>4367037.913550873</v>
      </c>
      <c r="J134" s="156">
        <v>1260518.8710013675</v>
      </c>
      <c r="K134" s="81">
        <v>-2925533.6822070037</v>
      </c>
      <c r="L134" s="81">
        <v>-480771</v>
      </c>
      <c r="M134" s="82">
        <v>1400000</v>
      </c>
      <c r="N134" s="82">
        <v>78899.17306316448</v>
      </c>
      <c r="O134" s="214">
        <f t="shared" si="20"/>
        <v>695944.4760933369</v>
      </c>
      <c r="P134" s="215">
        <f t="shared" si="21"/>
        <v>94.42937260425195</v>
      </c>
      <c r="Q134" s="81"/>
      <c r="R134" s="223">
        <v>59889088</v>
      </c>
      <c r="S134" s="156">
        <v>24719120.38</v>
      </c>
      <c r="T134" s="156">
        <v>1218569.2377655103</v>
      </c>
      <c r="U134" s="156">
        <v>24252101.589968517</v>
      </c>
      <c r="V134" s="156">
        <v>3862676.9110815483</v>
      </c>
      <c r="W134" s="156">
        <v>5188919.430019473</v>
      </c>
      <c r="X134" s="214">
        <f t="shared" si="22"/>
        <v>-647700.451164946</v>
      </c>
      <c r="Y134" s="215">
        <f t="shared" si="23"/>
        <v>-87.88337193554219</v>
      </c>
      <c r="Z134" s="81"/>
      <c r="AA134" s="94">
        <f t="shared" si="24"/>
        <v>1343644.927258283</v>
      </c>
      <c r="AB134" s="153">
        <f t="shared" si="25"/>
        <v>182.31274453979415</v>
      </c>
      <c r="AD134" s="216">
        <v>-1313212.2041781077</v>
      </c>
      <c r="AE134" s="224">
        <v>-1218331.917083271</v>
      </c>
      <c r="AF134" s="224">
        <v>-1114555.137554864</v>
      </c>
      <c r="AG134" s="224">
        <v>-1002599.8283326444</v>
      </c>
      <c r="AH134" s="225">
        <v>-890495.579646039</v>
      </c>
      <c r="AJ134" s="81">
        <f t="shared" si="26"/>
        <v>14694014.379999999</v>
      </c>
      <c r="AK134" s="81">
        <f t="shared" si="27"/>
        <v>406189.7459218368</v>
      </c>
      <c r="AL134" s="81">
        <f t="shared" si="28"/>
        <v>19885063.676417645</v>
      </c>
      <c r="AM134" s="81">
        <f t="shared" si="29"/>
        <v>41777705.27882179</v>
      </c>
      <c r="AN134" s="81">
        <f t="shared" si="30"/>
        <v>-1313212.2041781077</v>
      </c>
      <c r="AO134" s="81">
        <f t="shared" si="31"/>
        <v>-1218331.917083271</v>
      </c>
      <c r="AP134" s="81">
        <f t="shared" si="32"/>
        <v>-1114555.137554864</v>
      </c>
      <c r="AQ134" s="81">
        <f t="shared" si="33"/>
        <v>-1002599.8283326444</v>
      </c>
      <c r="AR134" s="81">
        <f t="shared" si="34"/>
        <v>-890495.579646039</v>
      </c>
      <c r="AS134" s="82">
        <v>2449</v>
      </c>
      <c r="AT134" s="82">
        <v>36</v>
      </c>
      <c r="AU134" s="82">
        <v>27</v>
      </c>
      <c r="AV134" s="82">
        <f t="shared" si="35"/>
        <v>63</v>
      </c>
      <c r="AW134" s="82">
        <v>17395.260821344506</v>
      </c>
      <c r="AX134" s="149">
        <v>-1943.0741513458877</v>
      </c>
      <c r="AY134" s="81">
        <f t="shared" si="36"/>
        <v>-2602158.040080181</v>
      </c>
      <c r="AZ134" s="409"/>
      <c r="BA134" s="81"/>
      <c r="BB134" s="81"/>
      <c r="BC134" s="81"/>
      <c r="BD134" s="81"/>
      <c r="BE134" s="81"/>
      <c r="BF134" s="81"/>
      <c r="BG134" s="81"/>
    </row>
    <row r="135" spans="1:59" ht="12.75">
      <c r="A135" s="81">
        <v>322</v>
      </c>
      <c r="B135" s="81" t="s">
        <v>129</v>
      </c>
      <c r="C135" s="81">
        <v>2</v>
      </c>
      <c r="D135" s="81">
        <v>6724</v>
      </c>
      <c r="E135" s="100">
        <v>17989238.007685486</v>
      </c>
      <c r="F135" s="81">
        <v>6816256</v>
      </c>
      <c r="G135" s="81">
        <v>3142341.328478717</v>
      </c>
      <c r="H135" s="81">
        <v>734259.7908876385</v>
      </c>
      <c r="I135" s="156">
        <v>7124776.092308992</v>
      </c>
      <c r="J135" s="156">
        <v>1137793.7602056726</v>
      </c>
      <c r="K135" s="81">
        <v>-1433542.7172407766</v>
      </c>
      <c r="L135" s="81">
        <v>-459737</v>
      </c>
      <c r="M135" s="82">
        <v>-200000</v>
      </c>
      <c r="N135" s="82">
        <v>66531.89485419569</v>
      </c>
      <c r="O135" s="214">
        <f t="shared" si="20"/>
        <v>-1060558.8581910469</v>
      </c>
      <c r="P135" s="215">
        <f t="shared" si="21"/>
        <v>-157.72737331812118</v>
      </c>
      <c r="Q135" s="81"/>
      <c r="R135" s="223">
        <v>48378092</v>
      </c>
      <c r="S135" s="156">
        <v>19182405.2275</v>
      </c>
      <c r="T135" s="156">
        <v>1101389.6863314577</v>
      </c>
      <c r="U135" s="156">
        <v>20482181.22995993</v>
      </c>
      <c r="V135" s="156">
        <v>3528452.639479814</v>
      </c>
      <c r="W135" s="156">
        <v>2482604.328478717</v>
      </c>
      <c r="X135" s="214">
        <f t="shared" si="22"/>
        <v>-1601058.8882500827</v>
      </c>
      <c r="Y135" s="215">
        <f t="shared" si="23"/>
        <v>-238.11107796699625</v>
      </c>
      <c r="Z135" s="81"/>
      <c r="AA135" s="94">
        <f t="shared" si="24"/>
        <v>540500.0300590359</v>
      </c>
      <c r="AB135" s="153">
        <f t="shared" si="25"/>
        <v>80.38370464887505</v>
      </c>
      <c r="AD135" s="216">
        <v>-512734.81567759684</v>
      </c>
      <c r="AE135" s="224">
        <v>-426171.0367867309</v>
      </c>
      <c r="AF135" s="224">
        <v>-331490.56656298466</v>
      </c>
      <c r="AG135" s="224">
        <v>-229348.43641234655</v>
      </c>
      <c r="AH135" s="225">
        <v>-127070.42173544895</v>
      </c>
      <c r="AJ135" s="81">
        <f t="shared" si="26"/>
        <v>12366149.2275</v>
      </c>
      <c r="AK135" s="81">
        <f t="shared" si="27"/>
        <v>367129.89544381923</v>
      </c>
      <c r="AL135" s="81">
        <f t="shared" si="28"/>
        <v>13357405.13765094</v>
      </c>
      <c r="AM135" s="81">
        <f t="shared" si="29"/>
        <v>30388853.992314514</v>
      </c>
      <c r="AN135" s="81">
        <f t="shared" si="30"/>
        <v>-512734.81567759684</v>
      </c>
      <c r="AO135" s="81">
        <f t="shared" si="31"/>
        <v>-426171.0367867309</v>
      </c>
      <c r="AP135" s="81">
        <f t="shared" si="32"/>
        <v>-331490.56656298466</v>
      </c>
      <c r="AQ135" s="81">
        <f t="shared" si="33"/>
        <v>-229348.43641234655</v>
      </c>
      <c r="AR135" s="81">
        <f t="shared" si="34"/>
        <v>-127070.42173544895</v>
      </c>
      <c r="AS135" s="82">
        <v>3673</v>
      </c>
      <c r="AT135" s="82">
        <v>197</v>
      </c>
      <c r="AU135" s="82">
        <v>1</v>
      </c>
      <c r="AV135" s="82">
        <f t="shared" si="35"/>
        <v>198</v>
      </c>
      <c r="AW135" s="82">
        <v>10656.29920025897</v>
      </c>
      <c r="AX135" s="149">
        <v>-2340.635384997382</v>
      </c>
      <c r="AY135" s="81">
        <f t="shared" si="36"/>
        <v>-2390658.8792741415</v>
      </c>
      <c r="AZ135" s="409"/>
      <c r="BA135" s="81"/>
      <c r="BB135" s="81"/>
      <c r="BC135" s="81"/>
      <c r="BD135" s="81"/>
      <c r="BE135" s="81"/>
      <c r="BF135" s="81"/>
      <c r="BG135" s="81"/>
    </row>
    <row r="136" spans="1:59" ht="12.75">
      <c r="A136" s="81">
        <v>398</v>
      </c>
      <c r="B136" s="81" t="s">
        <v>256</v>
      </c>
      <c r="C136" s="81">
        <v>7</v>
      </c>
      <c r="D136" s="81">
        <v>119951</v>
      </c>
      <c r="E136" s="100">
        <v>304046022.3563495</v>
      </c>
      <c r="F136" s="81">
        <v>163260208</v>
      </c>
      <c r="G136" s="81">
        <v>40405318.74837264</v>
      </c>
      <c r="H136" s="81">
        <v>18957146.658805553</v>
      </c>
      <c r="I136" s="156">
        <v>47113117.11761361</v>
      </c>
      <c r="J136" s="156">
        <v>17098423.497965693</v>
      </c>
      <c r="K136" s="81">
        <v>5351677.139295265</v>
      </c>
      <c r="L136" s="81">
        <v>-5087858</v>
      </c>
      <c r="M136" s="82">
        <v>15091500</v>
      </c>
      <c r="N136" s="82">
        <v>1416954.244770518</v>
      </c>
      <c r="O136" s="214">
        <f t="shared" si="20"/>
        <v>-439534.94952625036</v>
      </c>
      <c r="P136" s="215">
        <f t="shared" si="21"/>
        <v>-3.6642874967799384</v>
      </c>
      <c r="Q136" s="81"/>
      <c r="R136" s="223">
        <v>724582544</v>
      </c>
      <c r="S136" s="156">
        <v>424966965.29499996</v>
      </c>
      <c r="T136" s="156">
        <v>28435719.98820833</v>
      </c>
      <c r="U136" s="156">
        <v>182993559.57924482</v>
      </c>
      <c r="V136" s="156">
        <v>51453883.801144995</v>
      </c>
      <c r="W136" s="156">
        <v>50408960.74837264</v>
      </c>
      <c r="X136" s="214">
        <f t="shared" si="22"/>
        <v>13676545.411970854</v>
      </c>
      <c r="Y136" s="215">
        <f t="shared" si="23"/>
        <v>114.01776902210781</v>
      </c>
      <c r="Z136" s="81"/>
      <c r="AA136" s="94">
        <f t="shared" si="24"/>
        <v>-14116080.361497104</v>
      </c>
      <c r="AB136" s="153">
        <f t="shared" si="25"/>
        <v>-117.68205651888775</v>
      </c>
      <c r="AD136" s="216">
        <v>14611390.479026169</v>
      </c>
      <c r="AE136" s="224">
        <v>12557091.865364403</v>
      </c>
      <c r="AF136" s="224">
        <v>10647588.79632939</v>
      </c>
      <c r="AG136" s="224">
        <v>8871196.014309641</v>
      </c>
      <c r="AH136" s="225">
        <v>7097227.307960523</v>
      </c>
      <c r="AJ136" s="81">
        <f t="shared" si="26"/>
        <v>261706757.29499996</v>
      </c>
      <c r="AK136" s="81">
        <f t="shared" si="27"/>
        <v>9478573.329402778</v>
      </c>
      <c r="AL136" s="81">
        <f t="shared" si="28"/>
        <v>135880442.4616312</v>
      </c>
      <c r="AM136" s="81">
        <f t="shared" si="29"/>
        <v>420536521.6436505</v>
      </c>
      <c r="AN136" s="81">
        <f t="shared" si="30"/>
        <v>14611390.479026169</v>
      </c>
      <c r="AO136" s="81">
        <f t="shared" si="31"/>
        <v>12557091.865364403</v>
      </c>
      <c r="AP136" s="81">
        <f t="shared" si="32"/>
        <v>10647588.79632939</v>
      </c>
      <c r="AQ136" s="81">
        <f t="shared" si="33"/>
        <v>8871196.014309641</v>
      </c>
      <c r="AR136" s="81">
        <f t="shared" si="34"/>
        <v>7097227.307960523</v>
      </c>
      <c r="AS136" s="82">
        <v>47927</v>
      </c>
      <c r="AT136" s="82"/>
      <c r="AU136" s="82"/>
      <c r="AV136" s="82">
        <f t="shared" si="35"/>
        <v>0</v>
      </c>
      <c r="AW136" s="82">
        <v>117736.31482416297</v>
      </c>
      <c r="AX136" s="149">
        <v>-8572.07623259709</v>
      </c>
      <c r="AY136" s="81">
        <f t="shared" si="36"/>
        <v>-34355460.3031793</v>
      </c>
      <c r="AZ136" s="409"/>
      <c r="BA136" s="81"/>
      <c r="BB136" s="81"/>
      <c r="BC136" s="81"/>
      <c r="BD136" s="81"/>
      <c r="BE136" s="81"/>
      <c r="BF136" s="81"/>
      <c r="BG136" s="81"/>
    </row>
    <row r="137" spans="1:59" ht="12.75">
      <c r="A137" s="81">
        <v>399</v>
      </c>
      <c r="B137" s="81" t="s">
        <v>257</v>
      </c>
      <c r="C137" s="81">
        <v>15</v>
      </c>
      <c r="D137" s="81">
        <v>8058</v>
      </c>
      <c r="E137" s="100">
        <v>19737497.850818735</v>
      </c>
      <c r="F137" s="81">
        <v>12115519</v>
      </c>
      <c r="G137" s="81">
        <v>1334173.5712806436</v>
      </c>
      <c r="H137" s="81">
        <v>610155.9065824992</v>
      </c>
      <c r="I137" s="156">
        <v>7313874.875919382</v>
      </c>
      <c r="J137" s="156">
        <v>1220463.7978200028</v>
      </c>
      <c r="K137" s="81">
        <v>-1075984.761603989</v>
      </c>
      <c r="L137" s="81">
        <v>-586145</v>
      </c>
      <c r="M137" s="82">
        <v>-140000</v>
      </c>
      <c r="N137" s="82">
        <v>90136.11712822046</v>
      </c>
      <c r="O137" s="214">
        <f t="shared" si="20"/>
        <v>1144695.6563080251</v>
      </c>
      <c r="P137" s="215">
        <f t="shared" si="21"/>
        <v>142.05704347332156</v>
      </c>
      <c r="Q137" s="81"/>
      <c r="R137" s="223">
        <v>48862940</v>
      </c>
      <c r="S137" s="156">
        <v>29061239.945</v>
      </c>
      <c r="T137" s="156">
        <v>915233.8598737489</v>
      </c>
      <c r="U137" s="156">
        <v>14369266.579055272</v>
      </c>
      <c r="V137" s="156">
        <v>3712733.4636660363</v>
      </c>
      <c r="W137" s="156">
        <v>608028.5712806436</v>
      </c>
      <c r="X137" s="214">
        <f t="shared" si="22"/>
        <v>-196437.58112429827</v>
      </c>
      <c r="Y137" s="215">
        <f t="shared" si="23"/>
        <v>-24.377957449031804</v>
      </c>
      <c r="Z137" s="81"/>
      <c r="AA137" s="94">
        <f t="shared" si="24"/>
        <v>1341133.2374323234</v>
      </c>
      <c r="AB137" s="153">
        <f t="shared" si="25"/>
        <v>166.43500092235337</v>
      </c>
      <c r="AD137" s="216">
        <v>-1307859.5762952666</v>
      </c>
      <c r="AE137" s="224">
        <v>-1204122.0792246838</v>
      </c>
      <c r="AF137" s="224">
        <v>-1090657.5894770715</v>
      </c>
      <c r="AG137" s="224">
        <v>-968251.0926368211</v>
      </c>
      <c r="AH137" s="225">
        <v>-845681.7526209912</v>
      </c>
      <c r="AJ137" s="81">
        <f t="shared" si="26"/>
        <v>16945720.945</v>
      </c>
      <c r="AK137" s="81">
        <f t="shared" si="27"/>
        <v>305077.9532912497</v>
      </c>
      <c r="AL137" s="81">
        <f t="shared" si="28"/>
        <v>7055391.70313589</v>
      </c>
      <c r="AM137" s="81">
        <f t="shared" si="29"/>
        <v>29125442.149181265</v>
      </c>
      <c r="AN137" s="81">
        <f t="shared" si="30"/>
        <v>-1307859.5762952666</v>
      </c>
      <c r="AO137" s="81">
        <f t="shared" si="31"/>
        <v>-1204122.0792246838</v>
      </c>
      <c r="AP137" s="81">
        <f t="shared" si="32"/>
        <v>-1090657.5894770715</v>
      </c>
      <c r="AQ137" s="81">
        <f t="shared" si="33"/>
        <v>-968251.0926368211</v>
      </c>
      <c r="AR137" s="81">
        <f t="shared" si="34"/>
        <v>-845681.7526209912</v>
      </c>
      <c r="AS137" s="82">
        <v>2045</v>
      </c>
      <c r="AT137" s="82">
        <v>62</v>
      </c>
      <c r="AU137" s="82"/>
      <c r="AV137" s="82">
        <f t="shared" si="35"/>
        <v>62</v>
      </c>
      <c r="AW137" s="82">
        <v>6723.702862605742</v>
      </c>
      <c r="AX137" s="149">
        <v>-1021.0804805387183</v>
      </c>
      <c r="AY137" s="81">
        <f t="shared" si="36"/>
        <v>-2492269.6658460335</v>
      </c>
      <c r="AZ137" s="409"/>
      <c r="BA137" s="81"/>
      <c r="BB137" s="81"/>
      <c r="BC137" s="81"/>
      <c r="BD137" s="81"/>
      <c r="BE137" s="81"/>
      <c r="BF137" s="81"/>
      <c r="BG137" s="81"/>
    </row>
    <row r="138" spans="1:59" ht="12.75">
      <c r="A138" s="81">
        <v>400</v>
      </c>
      <c r="B138" s="81" t="s">
        <v>258</v>
      </c>
      <c r="C138" s="81">
        <v>2</v>
      </c>
      <c r="D138" s="81">
        <v>8647</v>
      </c>
      <c r="E138" s="100">
        <v>23004268.944498297</v>
      </c>
      <c r="F138" s="81">
        <v>10379863</v>
      </c>
      <c r="G138" s="81">
        <v>1910451.8886071744</v>
      </c>
      <c r="H138" s="81">
        <v>1225516.297391971</v>
      </c>
      <c r="I138" s="156">
        <v>6391495.319375387</v>
      </c>
      <c r="J138" s="156">
        <v>1475752.2279048958</v>
      </c>
      <c r="K138" s="81">
        <v>-672075.041248705</v>
      </c>
      <c r="L138" s="81">
        <v>583850</v>
      </c>
      <c r="M138" s="82">
        <v>-48700</v>
      </c>
      <c r="N138" s="82">
        <v>87243.68627726489</v>
      </c>
      <c r="O138" s="214">
        <f t="shared" si="20"/>
        <v>-1670871.566190306</v>
      </c>
      <c r="P138" s="215">
        <f t="shared" si="21"/>
        <v>-193.23135956867193</v>
      </c>
      <c r="Q138" s="81"/>
      <c r="R138" s="223">
        <v>55146280</v>
      </c>
      <c r="S138" s="156">
        <v>26464332.7225</v>
      </c>
      <c r="T138" s="156">
        <v>1838274.4460879567</v>
      </c>
      <c r="U138" s="156">
        <v>17854854.068649888</v>
      </c>
      <c r="V138" s="156">
        <v>4571154.934917056</v>
      </c>
      <c r="W138" s="156">
        <v>2445601.888607174</v>
      </c>
      <c r="X138" s="214">
        <f t="shared" si="22"/>
        <v>-1972061.9392379224</v>
      </c>
      <c r="Y138" s="215">
        <f t="shared" si="23"/>
        <v>-228.06313625973428</v>
      </c>
      <c r="Z138" s="81"/>
      <c r="AA138" s="94">
        <f t="shared" si="24"/>
        <v>301190.37304761633</v>
      </c>
      <c r="AB138" s="153">
        <f t="shared" si="25"/>
        <v>34.83177669106237</v>
      </c>
      <c r="AD138" s="216">
        <v>-265484.5716264154</v>
      </c>
      <c r="AE138" s="224">
        <v>-154164.37589927093</v>
      </c>
      <c r="AF138" s="224">
        <v>-32406.192373879243</v>
      </c>
      <c r="AG138" s="224">
        <v>11022.987843965775</v>
      </c>
      <c r="AH138" s="225">
        <v>12846.541221588235</v>
      </c>
      <c r="AJ138" s="81">
        <f t="shared" si="26"/>
        <v>16084469.7225</v>
      </c>
      <c r="AK138" s="81">
        <f t="shared" si="27"/>
        <v>612758.1486959856</v>
      </c>
      <c r="AL138" s="81">
        <f t="shared" si="28"/>
        <v>11463358.7492745</v>
      </c>
      <c r="AM138" s="81">
        <f t="shared" si="29"/>
        <v>32142011.055501703</v>
      </c>
      <c r="AN138" s="81">
        <f t="shared" si="30"/>
        <v>-265484.5716264154</v>
      </c>
      <c r="AO138" s="81">
        <f t="shared" si="31"/>
        <v>-154164.37589927093</v>
      </c>
      <c r="AP138" s="81">
        <f t="shared" si="32"/>
        <v>-32406.192373879243</v>
      </c>
      <c r="AQ138" s="81">
        <f t="shared" si="33"/>
        <v>11022.987843965775</v>
      </c>
      <c r="AR138" s="81">
        <f t="shared" si="34"/>
        <v>12846.541221588235</v>
      </c>
      <c r="AS138" s="82">
        <v>2786</v>
      </c>
      <c r="AT138" s="82">
        <v>122</v>
      </c>
      <c r="AU138" s="82">
        <v>2</v>
      </c>
      <c r="AV138" s="82">
        <f t="shared" si="35"/>
        <v>124</v>
      </c>
      <c r="AW138" s="82">
        <v>9285.644085532671</v>
      </c>
      <c r="AX138" s="149">
        <v>-2101.230275626445</v>
      </c>
      <c r="AY138" s="81">
        <f t="shared" si="36"/>
        <v>-3095402.70701216</v>
      </c>
      <c r="AZ138" s="409"/>
      <c r="BA138" s="81"/>
      <c r="BB138" s="81"/>
      <c r="BC138" s="81"/>
      <c r="BD138" s="81"/>
      <c r="BE138" s="81"/>
      <c r="BF138" s="81"/>
      <c r="BG138" s="81"/>
    </row>
    <row r="139" spans="1:59" ht="12.75">
      <c r="A139" s="81">
        <v>402</v>
      </c>
      <c r="B139" s="81" t="s">
        <v>260</v>
      </c>
      <c r="C139" s="81">
        <v>11</v>
      </c>
      <c r="D139" s="81">
        <v>9617</v>
      </c>
      <c r="E139" s="100">
        <v>22471028.76015953</v>
      </c>
      <c r="F139" s="81">
        <v>11052592</v>
      </c>
      <c r="G139" s="81">
        <v>2187090.077763666</v>
      </c>
      <c r="H139" s="81">
        <v>1111251.4380231265</v>
      </c>
      <c r="I139" s="156">
        <v>8053761.5513540935</v>
      </c>
      <c r="J139" s="156">
        <v>1672804.6129664015</v>
      </c>
      <c r="K139" s="81">
        <v>-783854.7141508725</v>
      </c>
      <c r="L139" s="81">
        <v>-380912</v>
      </c>
      <c r="M139" s="82">
        <v>837000</v>
      </c>
      <c r="N139" s="82">
        <v>86583.05752878713</v>
      </c>
      <c r="O139" s="214">
        <f t="shared" si="20"/>
        <v>1365287.2633256689</v>
      </c>
      <c r="P139" s="215">
        <f t="shared" si="21"/>
        <v>141.96602509365383</v>
      </c>
      <c r="Q139" s="81"/>
      <c r="R139" s="223">
        <v>63873544</v>
      </c>
      <c r="S139" s="156">
        <v>27067759</v>
      </c>
      <c r="T139" s="156">
        <v>1666877.1570346896</v>
      </c>
      <c r="U139" s="156">
        <v>27758820.25535474</v>
      </c>
      <c r="V139" s="156">
        <v>5226120.905756958</v>
      </c>
      <c r="W139" s="156">
        <v>2643178.077763666</v>
      </c>
      <c r="X139" s="214">
        <f t="shared" si="22"/>
        <v>489211.395910047</v>
      </c>
      <c r="Y139" s="215">
        <f t="shared" si="23"/>
        <v>50.869439108874595</v>
      </c>
      <c r="Z139" s="81"/>
      <c r="AA139" s="94">
        <f t="shared" si="24"/>
        <v>876075.8674156219</v>
      </c>
      <c r="AB139" s="153">
        <f t="shared" si="25"/>
        <v>91.09658598477924</v>
      </c>
      <c r="AD139" s="216">
        <v>-836364.6736758517</v>
      </c>
      <c r="AE139" s="224">
        <v>-712556.8417910421</v>
      </c>
      <c r="AF139" s="224">
        <v>-577140.1133345034</v>
      </c>
      <c r="AG139" s="224">
        <v>-431051.34687723283</v>
      </c>
      <c r="AH139" s="225">
        <v>-284768.2315964886</v>
      </c>
      <c r="AJ139" s="81">
        <f t="shared" si="26"/>
        <v>16015167</v>
      </c>
      <c r="AK139" s="81">
        <f t="shared" si="27"/>
        <v>555625.7190115631</v>
      </c>
      <c r="AL139" s="81">
        <f t="shared" si="28"/>
        <v>19705058.704000644</v>
      </c>
      <c r="AM139" s="81">
        <f t="shared" si="29"/>
        <v>41402515.23984047</v>
      </c>
      <c r="AN139" s="81">
        <f t="shared" si="30"/>
        <v>-836364.6736758517</v>
      </c>
      <c r="AO139" s="81">
        <f t="shared" si="31"/>
        <v>-712556.8417910421</v>
      </c>
      <c r="AP139" s="81">
        <f t="shared" si="32"/>
        <v>-577140.1133345034</v>
      </c>
      <c r="AQ139" s="81">
        <f t="shared" si="33"/>
        <v>-431051.34687723283</v>
      </c>
      <c r="AR139" s="81">
        <f t="shared" si="34"/>
        <v>-284768.2315964886</v>
      </c>
      <c r="AS139" s="82">
        <v>2686</v>
      </c>
      <c r="AT139" s="82">
        <v>942</v>
      </c>
      <c r="AU139" s="82"/>
      <c r="AV139" s="82">
        <f t="shared" si="35"/>
        <v>942</v>
      </c>
      <c r="AW139" s="82">
        <v>15901.293165307334</v>
      </c>
      <c r="AX139" s="149">
        <v>-4235.541393871117</v>
      </c>
      <c r="AY139" s="81">
        <f t="shared" si="36"/>
        <v>-3553316.2927905563</v>
      </c>
      <c r="AZ139" s="409"/>
      <c r="BA139" s="81"/>
      <c r="BB139" s="81"/>
      <c r="BC139" s="81"/>
      <c r="BD139" s="81"/>
      <c r="BE139" s="81"/>
      <c r="BF139" s="81"/>
      <c r="BG139" s="81"/>
    </row>
    <row r="140" spans="1:59" ht="12.75">
      <c r="A140" s="81">
        <v>403</v>
      </c>
      <c r="B140" s="81" t="s">
        <v>261</v>
      </c>
      <c r="C140" s="81">
        <v>14</v>
      </c>
      <c r="D140" s="81">
        <v>3078</v>
      </c>
      <c r="E140" s="100">
        <v>8767656.084642958</v>
      </c>
      <c r="F140" s="81">
        <v>3406575</v>
      </c>
      <c r="G140" s="81">
        <v>1021627.5971124009</v>
      </c>
      <c r="H140" s="81">
        <v>368439.059596608</v>
      </c>
      <c r="I140" s="156">
        <v>2222814.198618369</v>
      </c>
      <c r="J140" s="156">
        <v>610966.3368469288</v>
      </c>
      <c r="K140" s="81">
        <v>636949.51399725</v>
      </c>
      <c r="L140" s="81">
        <v>-98903</v>
      </c>
      <c r="M140" s="82">
        <v>-29710</v>
      </c>
      <c r="N140" s="82">
        <v>25710.870084276663</v>
      </c>
      <c r="O140" s="214">
        <f t="shared" si="20"/>
        <v>-603186.5083871242</v>
      </c>
      <c r="P140" s="215">
        <f t="shared" si="21"/>
        <v>-195.9670267664471</v>
      </c>
      <c r="Q140" s="81"/>
      <c r="R140" s="223">
        <v>21953876</v>
      </c>
      <c r="S140" s="156">
        <v>8143058.33</v>
      </c>
      <c r="T140" s="156">
        <v>552658.589394912</v>
      </c>
      <c r="U140" s="156">
        <v>10130796.484681929</v>
      </c>
      <c r="V140" s="156">
        <v>1926180.7762983006</v>
      </c>
      <c r="W140" s="156">
        <v>893014.5971124009</v>
      </c>
      <c r="X140" s="214">
        <f t="shared" si="22"/>
        <v>-308167.2225124575</v>
      </c>
      <c r="Y140" s="215">
        <f t="shared" si="23"/>
        <v>-100.11930555960284</v>
      </c>
      <c r="Z140" s="81"/>
      <c r="AA140" s="94">
        <f t="shared" si="24"/>
        <v>-295019.28587466665</v>
      </c>
      <c r="AB140" s="153">
        <f t="shared" si="25"/>
        <v>-95.84772120684427</v>
      </c>
      <c r="AD140" s="216">
        <v>307729.1802628336</v>
      </c>
      <c r="AE140" s="224">
        <v>255014.89582292965</v>
      </c>
      <c r="AF140" s="224">
        <v>206016.13427454935</v>
      </c>
      <c r="AG140" s="224">
        <v>160433.04632149523</v>
      </c>
      <c r="AH140" s="225">
        <v>114912.16130892694</v>
      </c>
      <c r="AJ140" s="81">
        <f t="shared" si="26"/>
        <v>4736483.33</v>
      </c>
      <c r="AK140" s="81">
        <f t="shared" si="27"/>
        <v>184219.52979830402</v>
      </c>
      <c r="AL140" s="81">
        <f t="shared" si="28"/>
        <v>7907982.286063559</v>
      </c>
      <c r="AM140" s="81">
        <f t="shared" si="29"/>
        <v>13186219.915357042</v>
      </c>
      <c r="AN140" s="81">
        <f t="shared" si="30"/>
        <v>307729.1802628336</v>
      </c>
      <c r="AO140" s="81">
        <f t="shared" si="31"/>
        <v>255014.89582292965</v>
      </c>
      <c r="AP140" s="81">
        <f t="shared" si="32"/>
        <v>206016.13427454935</v>
      </c>
      <c r="AQ140" s="81">
        <f t="shared" si="33"/>
        <v>160433.04632149523</v>
      </c>
      <c r="AR140" s="81">
        <f t="shared" si="34"/>
        <v>114912.16130892694</v>
      </c>
      <c r="AS140" s="82">
        <v>906</v>
      </c>
      <c r="AT140" s="82">
        <v>15</v>
      </c>
      <c r="AU140" s="82"/>
      <c r="AV140" s="82">
        <f t="shared" si="35"/>
        <v>15</v>
      </c>
      <c r="AW140" s="82">
        <v>6526.48820025134</v>
      </c>
      <c r="AX140" s="149">
        <v>-1536.1587020391046</v>
      </c>
      <c r="AY140" s="81">
        <f t="shared" si="36"/>
        <v>-1315214.4394513718</v>
      </c>
      <c r="AZ140" s="409"/>
      <c r="BA140" s="81"/>
      <c r="BB140" s="81"/>
      <c r="BC140" s="81"/>
      <c r="BD140" s="81"/>
      <c r="BE140" s="81"/>
      <c r="BF140" s="81"/>
      <c r="BG140" s="81"/>
    </row>
    <row r="141" spans="1:59" ht="12.75">
      <c r="A141" s="81">
        <v>405</v>
      </c>
      <c r="B141" s="81" t="s">
        <v>262</v>
      </c>
      <c r="C141" s="81">
        <v>9</v>
      </c>
      <c r="D141" s="81">
        <v>72699</v>
      </c>
      <c r="E141" s="100">
        <v>166458893.6361492</v>
      </c>
      <c r="F141" s="81">
        <v>101166440</v>
      </c>
      <c r="G141" s="81">
        <v>26545616.5866881</v>
      </c>
      <c r="H141" s="81">
        <v>15039239.05209116</v>
      </c>
      <c r="I141" s="156">
        <v>25106979.563261077</v>
      </c>
      <c r="J141" s="156">
        <v>10840885.608875826</v>
      </c>
      <c r="K141" s="81">
        <v>-2199708.1129459115</v>
      </c>
      <c r="L141" s="81">
        <v>-5211217</v>
      </c>
      <c r="M141" s="82">
        <v>7300000</v>
      </c>
      <c r="N141" s="82">
        <v>859040.4091707219</v>
      </c>
      <c r="O141" s="214">
        <f t="shared" si="20"/>
        <v>12988382.47099176</v>
      </c>
      <c r="P141" s="215">
        <f t="shared" si="21"/>
        <v>178.65971293954195</v>
      </c>
      <c r="Q141" s="81"/>
      <c r="R141" s="223">
        <v>430908660</v>
      </c>
      <c r="S141" s="156">
        <v>258055204.32999998</v>
      </c>
      <c r="T141" s="156">
        <v>22558858.578136742</v>
      </c>
      <c r="U141" s="156">
        <v>105630428.54594347</v>
      </c>
      <c r="V141" s="156">
        <v>32666257.064798072</v>
      </c>
      <c r="W141" s="156">
        <v>28634399.5866881</v>
      </c>
      <c r="X141" s="214">
        <f t="shared" si="22"/>
        <v>16636488.105566382</v>
      </c>
      <c r="Y141" s="215">
        <f t="shared" si="23"/>
        <v>228.84067326326885</v>
      </c>
      <c r="Z141" s="81"/>
      <c r="AA141" s="94">
        <f t="shared" si="24"/>
        <v>-3648105.634574622</v>
      </c>
      <c r="AB141" s="153">
        <f t="shared" si="25"/>
        <v>-50.1809603237269</v>
      </c>
      <c r="AD141" s="216">
        <v>3948299.4656745056</v>
      </c>
      <c r="AE141" s="224">
        <v>2703245.6110622305</v>
      </c>
      <c r="AF141" s="224">
        <v>1545948.3512163246</v>
      </c>
      <c r="AG141" s="224">
        <v>469325.5730814708</v>
      </c>
      <c r="AH141" s="225">
        <v>108006.32592439496</v>
      </c>
      <c r="AJ141" s="81">
        <f t="shared" si="26"/>
        <v>156888764.32999998</v>
      </c>
      <c r="AK141" s="81">
        <f t="shared" si="27"/>
        <v>7519619.526045581</v>
      </c>
      <c r="AL141" s="81">
        <f t="shared" si="28"/>
        <v>80523448.98268239</v>
      </c>
      <c r="AM141" s="81">
        <f t="shared" si="29"/>
        <v>264449766.3638508</v>
      </c>
      <c r="AN141" s="81">
        <f t="shared" si="30"/>
        <v>3948299.4656745056</v>
      </c>
      <c r="AO141" s="81">
        <f t="shared" si="31"/>
        <v>2703245.6110622305</v>
      </c>
      <c r="AP141" s="81">
        <f t="shared" si="32"/>
        <v>1545948.3512163246</v>
      </c>
      <c r="AQ141" s="81">
        <f t="shared" si="33"/>
        <v>469325.5730814708</v>
      </c>
      <c r="AR141" s="81">
        <f t="shared" si="34"/>
        <v>108006.32592439496</v>
      </c>
      <c r="AS141" s="82">
        <v>26247</v>
      </c>
      <c r="AT141" s="82">
        <v>9</v>
      </c>
      <c r="AU141" s="82">
        <v>477</v>
      </c>
      <c r="AV141" s="82">
        <f t="shared" si="35"/>
        <v>486</v>
      </c>
      <c r="AW141" s="82">
        <v>71885.01162169813</v>
      </c>
      <c r="AX141" s="149">
        <v>-4115.534392337198</v>
      </c>
      <c r="AY141" s="81">
        <f t="shared" si="36"/>
        <v>-21825371.455922246</v>
      </c>
      <c r="AZ141" s="409"/>
      <c r="BA141" s="81"/>
      <c r="BB141" s="81"/>
      <c r="BC141" s="81"/>
      <c r="BD141" s="81"/>
      <c r="BE141" s="81"/>
      <c r="BF141" s="81"/>
      <c r="BG141" s="81"/>
    </row>
    <row r="142" spans="1:59" ht="12.75">
      <c r="A142" s="81">
        <v>407</v>
      </c>
      <c r="B142" s="81" t="s">
        <v>259</v>
      </c>
      <c r="C142" s="81">
        <v>1</v>
      </c>
      <c r="D142" s="81">
        <v>2665</v>
      </c>
      <c r="E142" s="100">
        <v>7172322.934354788</v>
      </c>
      <c r="F142" s="81">
        <v>3129236</v>
      </c>
      <c r="G142" s="81">
        <v>487592.61177109997</v>
      </c>
      <c r="H142" s="81">
        <v>363942.5968065888</v>
      </c>
      <c r="I142" s="156">
        <v>2176343.039838316</v>
      </c>
      <c r="J142" s="156">
        <v>510621.840176689</v>
      </c>
      <c r="K142" s="81">
        <v>-25130.794976859048</v>
      </c>
      <c r="L142" s="81">
        <v>-614198</v>
      </c>
      <c r="M142" s="82">
        <v>760300</v>
      </c>
      <c r="N142" s="82">
        <v>25194.84537150816</v>
      </c>
      <c r="O142" s="214">
        <f t="shared" si="20"/>
        <v>-358420.79536744487</v>
      </c>
      <c r="P142" s="215">
        <f t="shared" si="21"/>
        <v>-134.49185567258718</v>
      </c>
      <c r="Q142" s="81"/>
      <c r="R142" s="223">
        <v>17920728</v>
      </c>
      <c r="S142" s="156">
        <v>7769207.609999999</v>
      </c>
      <c r="T142" s="156">
        <v>545913.8952098832</v>
      </c>
      <c r="U142" s="156">
        <v>6953636.497364378</v>
      </c>
      <c r="V142" s="156">
        <v>1599358.206208646</v>
      </c>
      <c r="W142" s="156">
        <v>633694.6117711</v>
      </c>
      <c r="X142" s="214">
        <f t="shared" si="22"/>
        <v>-418917.1794459969</v>
      </c>
      <c r="Y142" s="215">
        <f t="shared" si="23"/>
        <v>-157.1921874093797</v>
      </c>
      <c r="Z142" s="81"/>
      <c r="AA142" s="94">
        <f t="shared" si="24"/>
        <v>60496.384078552015</v>
      </c>
      <c r="AB142" s="153">
        <f t="shared" si="25"/>
        <v>22.7003317367925</v>
      </c>
      <c r="AD142" s="216">
        <v>-49491.878378591304</v>
      </c>
      <c r="AE142" s="224">
        <v>-15183.063574284599</v>
      </c>
      <c r="AF142" s="224">
        <v>2889.1166295280455</v>
      </c>
      <c r="AG142" s="224">
        <v>3397.277969719994</v>
      </c>
      <c r="AH142" s="225">
        <v>3959.295981905013</v>
      </c>
      <c r="AJ142" s="81">
        <f t="shared" si="26"/>
        <v>4639971.609999999</v>
      </c>
      <c r="AK142" s="81">
        <f t="shared" si="27"/>
        <v>181971.2984032944</v>
      </c>
      <c r="AL142" s="81">
        <f t="shared" si="28"/>
        <v>4777293.457526062</v>
      </c>
      <c r="AM142" s="81">
        <f t="shared" si="29"/>
        <v>10748405.065645212</v>
      </c>
      <c r="AN142" s="81">
        <f t="shared" si="30"/>
        <v>-49491.878378591304</v>
      </c>
      <c r="AO142" s="81">
        <f t="shared" si="31"/>
        <v>-15183.063574284599</v>
      </c>
      <c r="AP142" s="81">
        <f t="shared" si="32"/>
        <v>2889.1166295280455</v>
      </c>
      <c r="AQ142" s="81">
        <f t="shared" si="33"/>
        <v>3397.277969719994</v>
      </c>
      <c r="AR142" s="81">
        <f t="shared" si="34"/>
        <v>3959.295981905013</v>
      </c>
      <c r="AS142" s="82">
        <v>584</v>
      </c>
      <c r="AT142" s="82">
        <v>32</v>
      </c>
      <c r="AU142" s="82"/>
      <c r="AV142" s="82">
        <f t="shared" si="35"/>
        <v>32</v>
      </c>
      <c r="AW142" s="82">
        <v>3965.781846202574</v>
      </c>
      <c r="AX142" s="149">
        <v>-876.9437452199942</v>
      </c>
      <c r="AY142" s="81">
        <f t="shared" si="36"/>
        <v>-1088736.366031957</v>
      </c>
      <c r="AZ142" s="409"/>
      <c r="BA142" s="81"/>
      <c r="BB142" s="81"/>
      <c r="BC142" s="81"/>
      <c r="BD142" s="81"/>
      <c r="BE142" s="81"/>
      <c r="BF142" s="81"/>
      <c r="BG142" s="81"/>
    </row>
    <row r="143" spans="1:59" ht="12.75">
      <c r="A143" s="81">
        <v>408</v>
      </c>
      <c r="B143" s="81" t="s">
        <v>263</v>
      </c>
      <c r="C143" s="81">
        <v>14</v>
      </c>
      <c r="D143" s="81">
        <v>14427</v>
      </c>
      <c r="E143" s="100">
        <v>37746724.610684514</v>
      </c>
      <c r="F143" s="81">
        <v>18730813</v>
      </c>
      <c r="G143" s="81">
        <v>2759599.0956443558</v>
      </c>
      <c r="H143" s="81">
        <v>1346676.8092680671</v>
      </c>
      <c r="I143" s="156">
        <v>13036338.529386753</v>
      </c>
      <c r="J143" s="156">
        <v>2327725.4222212266</v>
      </c>
      <c r="K143" s="81">
        <v>-44865.851262200544</v>
      </c>
      <c r="L143" s="81">
        <v>-351005</v>
      </c>
      <c r="M143" s="82">
        <v>530000</v>
      </c>
      <c r="N143" s="82">
        <v>142312.94476319957</v>
      </c>
      <c r="O143" s="214">
        <f t="shared" si="20"/>
        <v>730870.339336887</v>
      </c>
      <c r="P143" s="215">
        <f t="shared" si="21"/>
        <v>50.65989736860657</v>
      </c>
      <c r="Q143" s="81"/>
      <c r="R143" s="223">
        <v>91381416</v>
      </c>
      <c r="S143" s="156">
        <v>45294192.449999996</v>
      </c>
      <c r="T143" s="156">
        <v>2020015.2139021007</v>
      </c>
      <c r="U143" s="156">
        <v>34219761.20186168</v>
      </c>
      <c r="V143" s="156">
        <v>7184311.945897223</v>
      </c>
      <c r="W143" s="156">
        <v>2938594.0956443558</v>
      </c>
      <c r="X143" s="214">
        <f t="shared" si="22"/>
        <v>275458.90730535984</v>
      </c>
      <c r="Y143" s="215">
        <f t="shared" si="23"/>
        <v>19.093290864723077</v>
      </c>
      <c r="Z143" s="81"/>
      <c r="AA143" s="94">
        <f t="shared" si="24"/>
        <v>455411.43203152716</v>
      </c>
      <c r="AB143" s="153">
        <f t="shared" si="25"/>
        <v>31.566606503883495</v>
      </c>
      <c r="AD143" s="216">
        <v>-395838.44751623756</v>
      </c>
      <c r="AE143" s="224">
        <v>-210107.38891145997</v>
      </c>
      <c r="AF143" s="224">
        <v>-6961.174765417927</v>
      </c>
      <c r="AG143" s="224">
        <v>18391.192971538596</v>
      </c>
      <c r="AH143" s="225">
        <v>21433.682225494795</v>
      </c>
      <c r="AJ143" s="81">
        <f t="shared" si="26"/>
        <v>26563379.449999996</v>
      </c>
      <c r="AK143" s="81">
        <f t="shared" si="27"/>
        <v>673338.4046340336</v>
      </c>
      <c r="AL143" s="81">
        <f t="shared" si="28"/>
        <v>21183422.67247493</v>
      </c>
      <c r="AM143" s="81">
        <f t="shared" si="29"/>
        <v>53634691.389315486</v>
      </c>
      <c r="AN143" s="81">
        <f t="shared" si="30"/>
        <v>-395838.44751623756</v>
      </c>
      <c r="AO143" s="81">
        <f t="shared" si="31"/>
        <v>-210107.38891145997</v>
      </c>
      <c r="AP143" s="81">
        <f t="shared" si="32"/>
        <v>-6961.174765417927</v>
      </c>
      <c r="AQ143" s="81">
        <f t="shared" si="33"/>
        <v>18391.192971538596</v>
      </c>
      <c r="AR143" s="81">
        <f t="shared" si="34"/>
        <v>21433.682225494795</v>
      </c>
      <c r="AS143" s="82">
        <v>5386</v>
      </c>
      <c r="AT143" s="82">
        <v>167</v>
      </c>
      <c r="AU143" s="82">
        <v>15</v>
      </c>
      <c r="AV143" s="82">
        <f t="shared" si="35"/>
        <v>182</v>
      </c>
      <c r="AW143" s="82">
        <v>17476.47747597188</v>
      </c>
      <c r="AX143" s="149">
        <v>-4249.862964858004</v>
      </c>
      <c r="AY143" s="81">
        <f t="shared" si="36"/>
        <v>-4856586.523675997</v>
      </c>
      <c r="AZ143" s="409"/>
      <c r="BA143" s="81"/>
      <c r="BB143" s="81"/>
      <c r="BC143" s="81"/>
      <c r="BD143" s="81"/>
      <c r="BE143" s="81"/>
      <c r="BF143" s="81"/>
      <c r="BG143" s="81"/>
    </row>
    <row r="144" spans="1:59" ht="12.75">
      <c r="A144" s="81">
        <v>410</v>
      </c>
      <c r="B144" s="81" t="s">
        <v>264</v>
      </c>
      <c r="C144" s="81">
        <v>13</v>
      </c>
      <c r="D144" s="81">
        <v>18927</v>
      </c>
      <c r="E144" s="100">
        <v>51375074.60076789</v>
      </c>
      <c r="F144" s="81">
        <v>25852114</v>
      </c>
      <c r="G144" s="81">
        <v>4598594.439980816</v>
      </c>
      <c r="H144" s="81">
        <v>1677990.6549052417</v>
      </c>
      <c r="I144" s="156">
        <v>21329203.515253484</v>
      </c>
      <c r="J144" s="156">
        <v>2518682.8055909686</v>
      </c>
      <c r="K144" s="81">
        <v>-1610853.059292511</v>
      </c>
      <c r="L144" s="81">
        <v>-2047258</v>
      </c>
      <c r="M144" s="82">
        <v>576000</v>
      </c>
      <c r="N144" s="82">
        <v>198230.18502028668</v>
      </c>
      <c r="O144" s="214">
        <f t="shared" si="20"/>
        <v>1717629.9406903982</v>
      </c>
      <c r="P144" s="215">
        <f t="shared" si="21"/>
        <v>90.7502478306334</v>
      </c>
      <c r="Q144" s="81"/>
      <c r="R144" s="223">
        <v>114356788</v>
      </c>
      <c r="S144" s="156">
        <v>62951618.425</v>
      </c>
      <c r="T144" s="156">
        <v>2516985.9823578624</v>
      </c>
      <c r="U144" s="156">
        <v>38487698.84847457</v>
      </c>
      <c r="V144" s="156">
        <v>7601238.117941542</v>
      </c>
      <c r="W144" s="156">
        <v>3127336.439980816</v>
      </c>
      <c r="X144" s="214">
        <f t="shared" si="22"/>
        <v>328089.8137547821</v>
      </c>
      <c r="Y144" s="215">
        <f t="shared" si="23"/>
        <v>17.33448585379522</v>
      </c>
      <c r="Z144" s="81"/>
      <c r="AA144" s="94">
        <f t="shared" si="24"/>
        <v>1389540.1269356161</v>
      </c>
      <c r="AB144" s="153">
        <f t="shared" si="25"/>
        <v>73.41576197683817</v>
      </c>
      <c r="AD144" s="216">
        <v>-1311385.42547854</v>
      </c>
      <c r="AE144" s="224">
        <v>-1067722.0341835632</v>
      </c>
      <c r="AF144" s="224">
        <v>-801211.4363363227</v>
      </c>
      <c r="AG144" s="224">
        <v>-513697.4420827343</v>
      </c>
      <c r="AH144" s="225">
        <v>-225800.95430914112</v>
      </c>
      <c r="AJ144" s="81">
        <f t="shared" si="26"/>
        <v>37099504.425</v>
      </c>
      <c r="AK144" s="81">
        <f t="shared" si="27"/>
        <v>838995.3274526207</v>
      </c>
      <c r="AL144" s="81">
        <f t="shared" si="28"/>
        <v>17158495.333221085</v>
      </c>
      <c r="AM144" s="81">
        <f t="shared" si="29"/>
        <v>62981713.39923211</v>
      </c>
      <c r="AN144" s="81">
        <f t="shared" si="30"/>
        <v>-1311385.42547854</v>
      </c>
      <c r="AO144" s="81">
        <f t="shared" si="31"/>
        <v>-1067722.0341835632</v>
      </c>
      <c r="AP144" s="81">
        <f t="shared" si="32"/>
        <v>-801211.4363363227</v>
      </c>
      <c r="AQ144" s="81">
        <f t="shared" si="33"/>
        <v>-513697.4420827343</v>
      </c>
      <c r="AR144" s="81">
        <f t="shared" si="34"/>
        <v>-225800.95430914112</v>
      </c>
      <c r="AS144" s="82">
        <v>7108</v>
      </c>
      <c r="AT144" s="82">
        <v>29</v>
      </c>
      <c r="AU144" s="82">
        <v>3</v>
      </c>
      <c r="AV144" s="82">
        <f t="shared" si="35"/>
        <v>32</v>
      </c>
      <c r="AW144" s="82">
        <v>12969.25115216396</v>
      </c>
      <c r="AX144" s="149">
        <v>-4658.923284532873</v>
      </c>
      <c r="AY144" s="81">
        <f t="shared" si="36"/>
        <v>-5082555.312350573</v>
      </c>
      <c r="AZ144" s="409"/>
      <c r="BA144" s="81"/>
      <c r="BB144" s="81"/>
      <c r="BC144" s="81"/>
      <c r="BD144" s="81"/>
      <c r="BE144" s="81"/>
      <c r="BF144" s="81"/>
      <c r="BG144" s="81"/>
    </row>
    <row r="145" spans="1:59" ht="12.75">
      <c r="A145" s="81">
        <v>416</v>
      </c>
      <c r="B145" s="81" t="s">
        <v>265</v>
      </c>
      <c r="C145" s="81">
        <v>9</v>
      </c>
      <c r="D145" s="81">
        <v>3043</v>
      </c>
      <c r="E145" s="100">
        <v>6824561.553484438</v>
      </c>
      <c r="F145" s="81">
        <v>4242540</v>
      </c>
      <c r="G145" s="81">
        <v>802956.6486717339</v>
      </c>
      <c r="H145" s="81">
        <v>267637.25532962877</v>
      </c>
      <c r="I145" s="156">
        <v>2458453.2933703265</v>
      </c>
      <c r="J145" s="156">
        <v>474364.19964397314</v>
      </c>
      <c r="K145" s="81">
        <v>-414600.62480799924</v>
      </c>
      <c r="L145" s="81">
        <v>-630348</v>
      </c>
      <c r="M145" s="82">
        <v>51300</v>
      </c>
      <c r="N145" s="82">
        <v>30838.933545276144</v>
      </c>
      <c r="O145" s="214">
        <f t="shared" si="20"/>
        <v>458580.152268501</v>
      </c>
      <c r="P145" s="215">
        <f t="shared" si="21"/>
        <v>150.7000171766352</v>
      </c>
      <c r="Q145" s="81"/>
      <c r="R145" s="223">
        <v>18275040</v>
      </c>
      <c r="S145" s="156">
        <v>10010864.24</v>
      </c>
      <c r="T145" s="156">
        <v>401455.8829944432</v>
      </c>
      <c r="U145" s="156">
        <v>6349294.108699553</v>
      </c>
      <c r="V145" s="156">
        <v>1456365.9139902228</v>
      </c>
      <c r="W145" s="156">
        <v>223908.6486717339</v>
      </c>
      <c r="X145" s="214">
        <f t="shared" si="22"/>
        <v>166848.79435595125</v>
      </c>
      <c r="Y145" s="215">
        <f t="shared" si="23"/>
        <v>54.83036291684234</v>
      </c>
      <c r="Z145" s="81"/>
      <c r="AA145" s="94">
        <f t="shared" si="24"/>
        <v>291731.35791254975</v>
      </c>
      <c r="AB145" s="153">
        <f t="shared" si="25"/>
        <v>95.86965425979288</v>
      </c>
      <c r="AD145" s="216">
        <v>-279165.9879894826</v>
      </c>
      <c r="AE145" s="224">
        <v>-239990.85723919922</v>
      </c>
      <c r="AF145" s="224">
        <v>-197142.4528830333</v>
      </c>
      <c r="AG145" s="224">
        <v>-150917.21462479536</v>
      </c>
      <c r="AH145" s="225">
        <v>-104630.48073696083</v>
      </c>
      <c r="AJ145" s="81">
        <f t="shared" si="26"/>
        <v>5768324.24</v>
      </c>
      <c r="AK145" s="81">
        <f t="shared" si="27"/>
        <v>133818.6276648144</v>
      </c>
      <c r="AL145" s="81">
        <f t="shared" si="28"/>
        <v>3890840.815329226</v>
      </c>
      <c r="AM145" s="81">
        <f t="shared" si="29"/>
        <v>11450478.446515562</v>
      </c>
      <c r="AN145" s="81">
        <f t="shared" si="30"/>
        <v>-279165.9879894826</v>
      </c>
      <c r="AO145" s="81">
        <f t="shared" si="31"/>
        <v>-239990.85723919922</v>
      </c>
      <c r="AP145" s="81">
        <f t="shared" si="32"/>
        <v>-197142.4528830333</v>
      </c>
      <c r="AQ145" s="81">
        <f t="shared" si="33"/>
        <v>-150917.21462479536</v>
      </c>
      <c r="AR145" s="81">
        <f t="shared" si="34"/>
        <v>-104630.48073696083</v>
      </c>
      <c r="AS145" s="82">
        <v>579</v>
      </c>
      <c r="AT145" s="82"/>
      <c r="AU145" s="82">
        <v>9</v>
      </c>
      <c r="AV145" s="82">
        <f t="shared" si="35"/>
        <v>9</v>
      </c>
      <c r="AW145" s="82">
        <v>3024.890966033932</v>
      </c>
      <c r="AX145" s="149">
        <v>-906.046829232942</v>
      </c>
      <c r="AY145" s="81">
        <f t="shared" si="36"/>
        <v>-982001.7143462497</v>
      </c>
      <c r="AZ145" s="409"/>
      <c r="BA145" s="81"/>
      <c r="BB145" s="81"/>
      <c r="BC145" s="81"/>
      <c r="BD145" s="81"/>
      <c r="BE145" s="81"/>
      <c r="BF145" s="81"/>
      <c r="BG145" s="81"/>
    </row>
    <row r="146" spans="1:59" ht="12.75">
      <c r="A146" s="81">
        <v>418</v>
      </c>
      <c r="B146" s="81" t="s">
        <v>266</v>
      </c>
      <c r="C146" s="81">
        <v>6</v>
      </c>
      <c r="D146" s="81">
        <v>23206</v>
      </c>
      <c r="E146" s="100">
        <v>60059276.65961622</v>
      </c>
      <c r="F146" s="81">
        <v>33291883</v>
      </c>
      <c r="G146" s="81">
        <v>5557727.062685928</v>
      </c>
      <c r="H146" s="81">
        <v>2810546.3938505184</v>
      </c>
      <c r="I146" s="156">
        <v>19928715.88399808</v>
      </c>
      <c r="J146" s="156">
        <v>2736966.308368169</v>
      </c>
      <c r="K146" s="81">
        <v>-1237268.71140516</v>
      </c>
      <c r="L146" s="81">
        <v>-2293759</v>
      </c>
      <c r="M146" s="82">
        <v>17600</v>
      </c>
      <c r="N146" s="82">
        <v>299616.60556392523</v>
      </c>
      <c r="O146" s="214">
        <f t="shared" si="20"/>
        <v>1052750.883445248</v>
      </c>
      <c r="P146" s="215">
        <f t="shared" si="21"/>
        <v>45.36546080519038</v>
      </c>
      <c r="Q146" s="81"/>
      <c r="R146" s="223">
        <v>128440172</v>
      </c>
      <c r="S146" s="156">
        <v>89229060.02</v>
      </c>
      <c r="T146" s="156">
        <v>4215819.590775778</v>
      </c>
      <c r="U146" s="156">
        <v>24509640.3363721</v>
      </c>
      <c r="V146" s="156">
        <v>7991483.474644731</v>
      </c>
      <c r="W146" s="156">
        <v>3281568.0626859283</v>
      </c>
      <c r="X146" s="214">
        <f t="shared" si="22"/>
        <v>787399.4844785333</v>
      </c>
      <c r="Y146" s="215">
        <f t="shared" si="23"/>
        <v>33.93085772983424</v>
      </c>
      <c r="Z146" s="81"/>
      <c r="AA146" s="94">
        <f t="shared" si="24"/>
        <v>265351.39896671474</v>
      </c>
      <c r="AB146" s="153">
        <f t="shared" si="25"/>
        <v>11.434603075356147</v>
      </c>
      <c r="AD146" s="216">
        <v>-169527.54933325073</v>
      </c>
      <c r="AE146" s="224">
        <v>46484.452390965074</v>
      </c>
      <c r="AF146" s="224">
        <v>25157.538650967286</v>
      </c>
      <c r="AG146" s="224">
        <v>29582.451244023334</v>
      </c>
      <c r="AH146" s="225">
        <v>34476.33116551134</v>
      </c>
      <c r="AJ146" s="81">
        <f t="shared" si="26"/>
        <v>55937177.019999996</v>
      </c>
      <c r="AK146" s="81">
        <f t="shared" si="27"/>
        <v>1405273.1969252592</v>
      </c>
      <c r="AL146" s="81">
        <f t="shared" si="28"/>
        <v>4580924.452374019</v>
      </c>
      <c r="AM146" s="81">
        <f t="shared" si="29"/>
        <v>68380895.34038378</v>
      </c>
      <c r="AN146" s="81">
        <f t="shared" si="30"/>
        <v>-169527.54933325073</v>
      </c>
      <c r="AO146" s="81">
        <f t="shared" si="31"/>
        <v>46484.452390965074</v>
      </c>
      <c r="AP146" s="81">
        <f t="shared" si="32"/>
        <v>25157.538650967286</v>
      </c>
      <c r="AQ146" s="81">
        <f t="shared" si="33"/>
        <v>29582.451244023334</v>
      </c>
      <c r="AR146" s="81">
        <f t="shared" si="34"/>
        <v>34476.33116551134</v>
      </c>
      <c r="AS146" s="82">
        <v>10828</v>
      </c>
      <c r="AT146" s="82">
        <v>63</v>
      </c>
      <c r="AU146" s="82"/>
      <c r="AV146" s="82">
        <f t="shared" si="35"/>
        <v>63</v>
      </c>
      <c r="AW146" s="82">
        <v>6634.188614962334</v>
      </c>
      <c r="AX146" s="149">
        <v>2423.892093765058</v>
      </c>
      <c r="AY146" s="81">
        <f t="shared" si="36"/>
        <v>-5254517.166276562</v>
      </c>
      <c r="AZ146" s="409"/>
      <c r="BA146" s="81"/>
      <c r="BB146" s="81"/>
      <c r="BC146" s="81"/>
      <c r="BD146" s="81"/>
      <c r="BE146" s="81"/>
      <c r="BF146" s="81"/>
      <c r="BG146" s="81"/>
    </row>
    <row r="147" spans="1:59" ht="12.75">
      <c r="A147" s="81">
        <v>420</v>
      </c>
      <c r="B147" s="81" t="s">
        <v>267</v>
      </c>
      <c r="C147" s="81">
        <v>11</v>
      </c>
      <c r="D147" s="81">
        <v>9650</v>
      </c>
      <c r="E147" s="100">
        <v>22131226.02830915</v>
      </c>
      <c r="F147" s="81">
        <v>12065510</v>
      </c>
      <c r="G147" s="81">
        <v>2316081.0603008494</v>
      </c>
      <c r="H147" s="81">
        <v>1863332.6688833472</v>
      </c>
      <c r="I147" s="156">
        <v>4347126.120726833</v>
      </c>
      <c r="J147" s="156">
        <v>1588864.5058444538</v>
      </c>
      <c r="K147" s="81">
        <v>-567043.5629374193</v>
      </c>
      <c r="L147" s="81">
        <v>-1062967</v>
      </c>
      <c r="M147" s="82">
        <v>349000</v>
      </c>
      <c r="N147" s="82">
        <v>101839.17205031938</v>
      </c>
      <c r="O147" s="214">
        <f t="shared" si="20"/>
        <v>-1129483.06344077</v>
      </c>
      <c r="P147" s="215">
        <f t="shared" si="21"/>
        <v>-117.04487704049428</v>
      </c>
      <c r="Q147" s="81"/>
      <c r="R147" s="223">
        <v>64961344</v>
      </c>
      <c r="S147" s="156">
        <v>30624444.47</v>
      </c>
      <c r="T147" s="156">
        <v>2794999.003325021</v>
      </c>
      <c r="U147" s="156">
        <v>23464795.897404388</v>
      </c>
      <c r="V147" s="156">
        <v>4892806.399784542</v>
      </c>
      <c r="W147" s="156">
        <v>1602114.0603008494</v>
      </c>
      <c r="X147" s="214">
        <f t="shared" si="22"/>
        <v>-1582184.1691851988</v>
      </c>
      <c r="Y147" s="215">
        <f t="shared" si="23"/>
        <v>-163.9569087238548</v>
      </c>
      <c r="Z147" s="81"/>
      <c r="AA147" s="94">
        <f t="shared" si="24"/>
        <v>452701.10574442893</v>
      </c>
      <c r="AB147" s="153">
        <f t="shared" si="25"/>
        <v>46.91203168336051</v>
      </c>
      <c r="AD147" s="216">
        <v>-412853.64608042676</v>
      </c>
      <c r="AE147" s="224">
        <v>-288620.97708922235</v>
      </c>
      <c r="AF147" s="224">
        <v>-152739.57648554136</v>
      </c>
      <c r="AG147" s="224">
        <v>-6149.517598917588</v>
      </c>
      <c r="AH147" s="225">
        <v>14336.662748736726</v>
      </c>
      <c r="AJ147" s="81">
        <f t="shared" si="26"/>
        <v>18558934.47</v>
      </c>
      <c r="AK147" s="81">
        <f t="shared" si="27"/>
        <v>931666.3344416737</v>
      </c>
      <c r="AL147" s="81">
        <f t="shared" si="28"/>
        <v>19117669.776677556</v>
      </c>
      <c r="AM147" s="81">
        <f t="shared" si="29"/>
        <v>42830117.97169085</v>
      </c>
      <c r="AN147" s="81">
        <f t="shared" si="30"/>
        <v>-412853.64608042676</v>
      </c>
      <c r="AO147" s="81">
        <f t="shared" si="31"/>
        <v>-288620.97708922235</v>
      </c>
      <c r="AP147" s="81">
        <f t="shared" si="32"/>
        <v>-152739.57648554136</v>
      </c>
      <c r="AQ147" s="81">
        <f t="shared" si="33"/>
        <v>-6149.517598917588</v>
      </c>
      <c r="AR147" s="81">
        <f t="shared" si="34"/>
        <v>14336.662748736726</v>
      </c>
      <c r="AS147" s="82">
        <v>3902</v>
      </c>
      <c r="AT147" s="82">
        <v>48</v>
      </c>
      <c r="AU147" s="82"/>
      <c r="AV147" s="82">
        <f t="shared" si="35"/>
        <v>48</v>
      </c>
      <c r="AW147" s="82">
        <v>17000.25251328665</v>
      </c>
      <c r="AX147" s="149">
        <v>-2270.6277011962243</v>
      </c>
      <c r="AY147" s="81">
        <f t="shared" si="36"/>
        <v>-3303941.893940088</v>
      </c>
      <c r="AZ147" s="409"/>
      <c r="BA147" s="81"/>
      <c r="BB147" s="81"/>
      <c r="BC147" s="81"/>
      <c r="BD147" s="81"/>
      <c r="BE147" s="81"/>
      <c r="BF147" s="81"/>
      <c r="BG147" s="81"/>
    </row>
    <row r="148" spans="1:59" ht="12.75">
      <c r="A148" s="81">
        <v>421</v>
      </c>
      <c r="B148" s="81" t="s">
        <v>268</v>
      </c>
      <c r="C148" s="81">
        <v>16</v>
      </c>
      <c r="D148" s="81">
        <v>737</v>
      </c>
      <c r="E148" s="100">
        <v>2532017.898509273</v>
      </c>
      <c r="F148" s="81">
        <v>703441</v>
      </c>
      <c r="G148" s="81">
        <v>242877.36257512</v>
      </c>
      <c r="H148" s="81">
        <v>262673.5487679072</v>
      </c>
      <c r="I148" s="156">
        <v>880364.8990029385</v>
      </c>
      <c r="J148" s="156">
        <v>157996.71016282082</v>
      </c>
      <c r="K148" s="81">
        <v>-187944.9423847608</v>
      </c>
      <c r="L148" s="81">
        <v>-119042</v>
      </c>
      <c r="M148" s="82">
        <v>-29800</v>
      </c>
      <c r="N148" s="82">
        <v>6104.509596084648</v>
      </c>
      <c r="O148" s="214">
        <f aca="true" t="shared" si="37" ref="O148:O211">N148+M148+L148+K148+J148+I148+H148+G148+F148-E148</f>
        <v>-615346.8107891625</v>
      </c>
      <c r="P148" s="215">
        <f aca="true" t="shared" si="38" ref="P148:P211">O148/D148</f>
        <v>-834.9346143679275</v>
      </c>
      <c r="Q148" s="81"/>
      <c r="R148" s="223">
        <v>6352752</v>
      </c>
      <c r="S148" s="156">
        <v>1740422.44</v>
      </c>
      <c r="T148" s="156">
        <v>394010.3231518608</v>
      </c>
      <c r="U148" s="156">
        <v>2795688.647872376</v>
      </c>
      <c r="V148" s="156">
        <v>498553.45638195996</v>
      </c>
      <c r="W148" s="156">
        <v>94035.36257512</v>
      </c>
      <c r="X148" s="214">
        <f aca="true" t="shared" si="39" ref="X148:X211">W148+V148+U148+T148+S148-R148</f>
        <v>-830041.7700186837</v>
      </c>
      <c r="Y148" s="215">
        <f aca="true" t="shared" si="40" ref="Y148:Y211">X148/D148</f>
        <v>-1126.243921327929</v>
      </c>
      <c r="Z148" s="81"/>
      <c r="AA148" s="94">
        <f aca="true" t="shared" si="41" ref="AA148:AA211">O148-X148</f>
        <v>214694.95922952122</v>
      </c>
      <c r="AB148" s="153">
        <f aca="true" t="shared" si="42" ref="AB148:AB211">AA148/D148</f>
        <v>291.30930696000166</v>
      </c>
      <c r="AD148" s="216">
        <v>-211651.6869215026</v>
      </c>
      <c r="AE148" s="224">
        <v>-202163.658212019</v>
      </c>
      <c r="AF148" s="224">
        <v>-191785.9802591783</v>
      </c>
      <c r="AG148" s="224">
        <v>-180590.44933695634</v>
      </c>
      <c r="AH148" s="225">
        <v>-169380.0244682958</v>
      </c>
      <c r="AJ148" s="81">
        <f aca="true" t="shared" si="43" ref="AJ148:AJ211">S148-F148</f>
        <v>1036981.44</v>
      </c>
      <c r="AK148" s="81">
        <f aca="true" t="shared" si="44" ref="AK148:AK211">T148-H148</f>
        <v>131336.7743839536</v>
      </c>
      <c r="AL148" s="81">
        <f aca="true" t="shared" si="45" ref="AL148:AL211">U148-I148</f>
        <v>1915323.7488694373</v>
      </c>
      <c r="AM148" s="81">
        <f aca="true" t="shared" si="46" ref="AM148:AM211">R148-E148</f>
        <v>3820734.101490727</v>
      </c>
      <c r="AN148" s="81">
        <f aca="true" t="shared" si="47" ref="AN148:AN211">AD148</f>
        <v>-211651.6869215026</v>
      </c>
      <c r="AO148" s="81">
        <f aca="true" t="shared" si="48" ref="AO148:AO211">AE148</f>
        <v>-202163.658212019</v>
      </c>
      <c r="AP148" s="81">
        <f aca="true" t="shared" si="49" ref="AP148:AP211">AF148</f>
        <v>-191785.9802591783</v>
      </c>
      <c r="AQ148" s="81">
        <f aca="true" t="shared" si="50" ref="AQ148:AQ211">AG148</f>
        <v>-180590.44933695634</v>
      </c>
      <c r="AR148" s="81">
        <f aca="true" t="shared" si="51" ref="AR148:AR211">AH148</f>
        <v>-169380.0244682958</v>
      </c>
      <c r="AS148" s="82">
        <v>502</v>
      </c>
      <c r="AT148" s="82">
        <v>64</v>
      </c>
      <c r="AU148" s="82">
        <v>2</v>
      </c>
      <c r="AV148" s="82">
        <f aca="true" t="shared" si="52" ref="AV148:AV211">AT148+AU148</f>
        <v>66</v>
      </c>
      <c r="AW148" s="82">
        <v>1597.8521665876312</v>
      </c>
      <c r="AX148" s="149">
        <v>-412.8681289700661</v>
      </c>
      <c r="AY148" s="81">
        <f aca="true" t="shared" si="53" ref="AY148:AY211">J148-V148</f>
        <v>-340556.74621913914</v>
      </c>
      <c r="AZ148" s="409"/>
      <c r="BA148" s="81"/>
      <c r="BB148" s="81"/>
      <c r="BC148" s="81"/>
      <c r="BD148" s="81"/>
      <c r="BE148" s="81"/>
      <c r="BF148" s="81"/>
      <c r="BG148" s="81"/>
    </row>
    <row r="149" spans="1:59" ht="12.75">
      <c r="A149" s="81">
        <v>422</v>
      </c>
      <c r="B149" s="81" t="s">
        <v>269</v>
      </c>
      <c r="C149" s="81">
        <v>12</v>
      </c>
      <c r="D149" s="81">
        <v>11098</v>
      </c>
      <c r="E149" s="100">
        <v>24848389.92405431</v>
      </c>
      <c r="F149" s="81">
        <v>12719427</v>
      </c>
      <c r="G149" s="81">
        <v>3111486.350205703</v>
      </c>
      <c r="H149" s="81">
        <v>2721501.0199216222</v>
      </c>
      <c r="I149" s="156">
        <v>5776066.879187899</v>
      </c>
      <c r="J149" s="156">
        <v>1954685.7121177213</v>
      </c>
      <c r="K149" s="81">
        <v>177915.92375544785</v>
      </c>
      <c r="L149" s="81">
        <v>-609554</v>
      </c>
      <c r="M149" s="82">
        <v>542600</v>
      </c>
      <c r="N149" s="82">
        <v>109465.80738330632</v>
      </c>
      <c r="O149" s="214">
        <f t="shared" si="37"/>
        <v>1655204.76851739</v>
      </c>
      <c r="P149" s="215">
        <f t="shared" si="38"/>
        <v>149.14441958167146</v>
      </c>
      <c r="Q149" s="81"/>
      <c r="R149" s="223">
        <v>78132012</v>
      </c>
      <c r="S149" s="156">
        <v>32308909.199999996</v>
      </c>
      <c r="T149" s="156">
        <v>4082251.5298824334</v>
      </c>
      <c r="U149" s="156">
        <v>34703482.10085694</v>
      </c>
      <c r="V149" s="156">
        <v>6072949.915214562</v>
      </c>
      <c r="W149" s="156">
        <v>3044532.350205703</v>
      </c>
      <c r="X149" s="214">
        <f t="shared" si="39"/>
        <v>2080113.096159637</v>
      </c>
      <c r="Y149" s="215">
        <f t="shared" si="40"/>
        <v>187.43134764458793</v>
      </c>
      <c r="Z149" s="81"/>
      <c r="AA149" s="94">
        <f t="shared" si="41"/>
        <v>-424908.3276422471</v>
      </c>
      <c r="AB149" s="153">
        <f t="shared" si="42"/>
        <v>-38.28692806291648</v>
      </c>
      <c r="AD149" s="216">
        <v>470734.9708910697</v>
      </c>
      <c r="AE149" s="224">
        <v>280668.9771568092</v>
      </c>
      <c r="AF149" s="224">
        <v>103999.62833812028</v>
      </c>
      <c r="AG149" s="224">
        <v>14147.463755329265</v>
      </c>
      <c r="AH149" s="225">
        <v>16487.90499331401</v>
      </c>
      <c r="AJ149" s="81">
        <f t="shared" si="43"/>
        <v>19589482.199999996</v>
      </c>
      <c r="AK149" s="81">
        <f t="shared" si="44"/>
        <v>1360750.5099608111</v>
      </c>
      <c r="AL149" s="81">
        <f t="shared" si="45"/>
        <v>28927415.22166904</v>
      </c>
      <c r="AM149" s="81">
        <f t="shared" si="46"/>
        <v>53283622.07594569</v>
      </c>
      <c r="AN149" s="81">
        <f t="shared" si="47"/>
        <v>470734.9708910697</v>
      </c>
      <c r="AO149" s="81">
        <f t="shared" si="48"/>
        <v>280668.9771568092</v>
      </c>
      <c r="AP149" s="81">
        <f t="shared" si="49"/>
        <v>103999.62833812028</v>
      </c>
      <c r="AQ149" s="81">
        <f t="shared" si="50"/>
        <v>14147.463755329265</v>
      </c>
      <c r="AR149" s="81">
        <f t="shared" si="51"/>
        <v>16487.90499331401</v>
      </c>
      <c r="AS149" s="82">
        <v>4549</v>
      </c>
      <c r="AT149" s="82">
        <v>4</v>
      </c>
      <c r="AU149" s="82"/>
      <c r="AV149" s="82">
        <f t="shared" si="52"/>
        <v>4</v>
      </c>
      <c r="AW149" s="82">
        <v>25009.08143204265</v>
      </c>
      <c r="AX149" s="149">
        <v>-3702.359277288963</v>
      </c>
      <c r="AY149" s="81">
        <f t="shared" si="53"/>
        <v>-4118264.2030968405</v>
      </c>
      <c r="AZ149" s="409"/>
      <c r="BA149" s="81"/>
      <c r="BB149" s="81"/>
      <c r="BC149" s="81"/>
      <c r="BD149" s="81"/>
      <c r="BE149" s="81"/>
      <c r="BF149" s="81"/>
      <c r="BG149" s="81"/>
    </row>
    <row r="150" spans="1:59" ht="12.75">
      <c r="A150" s="81">
        <v>423</v>
      </c>
      <c r="B150" s="81" t="s">
        <v>270</v>
      </c>
      <c r="C150" s="81">
        <v>2</v>
      </c>
      <c r="D150" s="81">
        <v>19831</v>
      </c>
      <c r="E150" s="100">
        <v>45666711.91911581</v>
      </c>
      <c r="F150" s="81">
        <v>24674956</v>
      </c>
      <c r="G150" s="81">
        <v>3466628.4838708527</v>
      </c>
      <c r="H150" s="81">
        <v>2267596.6514530564</v>
      </c>
      <c r="I150" s="156">
        <v>13946033.293567179</v>
      </c>
      <c r="J150" s="156">
        <v>2389223.9381606737</v>
      </c>
      <c r="K150" s="81">
        <v>-101235.5480187556</v>
      </c>
      <c r="L150" s="81">
        <v>-1447708</v>
      </c>
      <c r="M150" s="82">
        <v>-495000</v>
      </c>
      <c r="N150" s="82">
        <v>256265.10626156197</v>
      </c>
      <c r="O150" s="214">
        <f t="shared" si="37"/>
        <v>-709951.9938212484</v>
      </c>
      <c r="P150" s="215">
        <f t="shared" si="38"/>
        <v>-35.80011062585086</v>
      </c>
      <c r="Q150" s="81"/>
      <c r="R150" s="223">
        <v>105892668</v>
      </c>
      <c r="S150" s="156">
        <v>72586734.005</v>
      </c>
      <c r="T150" s="156">
        <v>3401394.9771795846</v>
      </c>
      <c r="U150" s="156">
        <v>20118197.776649423</v>
      </c>
      <c r="V150" s="156">
        <v>7045880.805435423</v>
      </c>
      <c r="W150" s="156">
        <v>1523920.4838708527</v>
      </c>
      <c r="X150" s="214">
        <f t="shared" si="39"/>
        <v>-1216539.9518647194</v>
      </c>
      <c r="Y150" s="215">
        <f t="shared" si="40"/>
        <v>-61.345365935390014</v>
      </c>
      <c r="Z150" s="81"/>
      <c r="AA150" s="94">
        <f t="shared" si="41"/>
        <v>506587.958043471</v>
      </c>
      <c r="AB150" s="153">
        <f t="shared" si="42"/>
        <v>25.545255309539154</v>
      </c>
      <c r="AD150" s="216">
        <v>-424700.3961163453</v>
      </c>
      <c r="AE150" s="224">
        <v>-169399.04287649333</v>
      </c>
      <c r="AF150" s="224">
        <v>21498.713651095935</v>
      </c>
      <c r="AG150" s="224">
        <v>25280.082333027094</v>
      </c>
      <c r="AH150" s="225">
        <v>29462.21336478736</v>
      </c>
      <c r="AJ150" s="81">
        <f t="shared" si="43"/>
        <v>47911778.004999995</v>
      </c>
      <c r="AK150" s="81">
        <f t="shared" si="44"/>
        <v>1133798.3257265282</v>
      </c>
      <c r="AL150" s="81">
        <f t="shared" si="45"/>
        <v>6172164.483082244</v>
      </c>
      <c r="AM150" s="81">
        <f t="shared" si="46"/>
        <v>60225956.08088419</v>
      </c>
      <c r="AN150" s="81">
        <f t="shared" si="47"/>
        <v>-424700.3961163453</v>
      </c>
      <c r="AO150" s="81">
        <f t="shared" si="48"/>
        <v>-169399.04287649333</v>
      </c>
      <c r="AP150" s="81">
        <f t="shared" si="49"/>
        <v>21498.713651095935</v>
      </c>
      <c r="AQ150" s="81">
        <f t="shared" si="50"/>
        <v>25280.082333027094</v>
      </c>
      <c r="AR150" s="81">
        <f t="shared" si="51"/>
        <v>29462.21336478736</v>
      </c>
      <c r="AS150" s="82">
        <v>7820</v>
      </c>
      <c r="AT150" s="82">
        <v>92</v>
      </c>
      <c r="AU150" s="82">
        <v>1</v>
      </c>
      <c r="AV150" s="82">
        <f t="shared" si="52"/>
        <v>93</v>
      </c>
      <c r="AW150" s="82">
        <v>9070.416618367892</v>
      </c>
      <c r="AX150" s="149">
        <v>2297.75614930571</v>
      </c>
      <c r="AY150" s="81">
        <f t="shared" si="53"/>
        <v>-4656656.867274749</v>
      </c>
      <c r="AZ150" s="409"/>
      <c r="BA150" s="81"/>
      <c r="BB150" s="81"/>
      <c r="BC150" s="81"/>
      <c r="BD150" s="81"/>
      <c r="BE150" s="81"/>
      <c r="BF150" s="81"/>
      <c r="BG150" s="81"/>
    </row>
    <row r="151" spans="1:59" ht="12.75">
      <c r="A151" s="81">
        <v>425</v>
      </c>
      <c r="B151" s="81" t="s">
        <v>271</v>
      </c>
      <c r="C151" s="81">
        <v>17</v>
      </c>
      <c r="D151" s="81">
        <v>10161</v>
      </c>
      <c r="E151" s="100">
        <v>33972225.963296786</v>
      </c>
      <c r="F151" s="81">
        <v>13133445</v>
      </c>
      <c r="G151" s="81">
        <v>1215155.374590151</v>
      </c>
      <c r="H151" s="81">
        <v>508052.6664044832</v>
      </c>
      <c r="I151" s="156">
        <v>20609319.124739163</v>
      </c>
      <c r="J151" s="156">
        <v>1096703.5329978536</v>
      </c>
      <c r="K151" s="81">
        <v>-774986.5174928561</v>
      </c>
      <c r="L151" s="81">
        <v>279873</v>
      </c>
      <c r="M151" s="82">
        <v>-339000</v>
      </c>
      <c r="N151" s="82">
        <v>100507.24522057392</v>
      </c>
      <c r="O151" s="214">
        <f t="shared" si="37"/>
        <v>1856843.463162586</v>
      </c>
      <c r="P151" s="215">
        <f t="shared" si="38"/>
        <v>182.74219694543706</v>
      </c>
      <c r="Q151" s="81"/>
      <c r="R151" s="223">
        <v>61003824</v>
      </c>
      <c r="S151" s="156">
        <v>32115107.205</v>
      </c>
      <c r="T151" s="156">
        <v>762078.9996067248</v>
      </c>
      <c r="U151" s="156">
        <v>24037156.70214815</v>
      </c>
      <c r="V151" s="156">
        <v>3261301.0731579633</v>
      </c>
      <c r="W151" s="156">
        <v>1156028.374590151</v>
      </c>
      <c r="X151" s="214">
        <f t="shared" si="39"/>
        <v>327848.35450299084</v>
      </c>
      <c r="Y151" s="215">
        <f t="shared" si="40"/>
        <v>32.26536310431954</v>
      </c>
      <c r="Z151" s="81"/>
      <c r="AA151" s="94">
        <f t="shared" si="41"/>
        <v>1528995.1086595953</v>
      </c>
      <c r="AB151" s="153">
        <f t="shared" si="42"/>
        <v>150.47683384111753</v>
      </c>
      <c r="AD151" s="216">
        <v>-1487037.5918050907</v>
      </c>
      <c r="AE151" s="224">
        <v>-1356226.3845906218</v>
      </c>
      <c r="AF151" s="224">
        <v>-1213149.6061933157</v>
      </c>
      <c r="AG151" s="224">
        <v>-1058797.1099915558</v>
      </c>
      <c r="AH151" s="225">
        <v>-904239.2713342155</v>
      </c>
      <c r="AJ151" s="81">
        <f t="shared" si="43"/>
        <v>18981662.205</v>
      </c>
      <c r="AK151" s="81">
        <f t="shared" si="44"/>
        <v>254026.33320224163</v>
      </c>
      <c r="AL151" s="81">
        <f t="shared" si="45"/>
        <v>3427837.577408988</v>
      </c>
      <c r="AM151" s="81">
        <f t="shared" si="46"/>
        <v>27031598.036703214</v>
      </c>
      <c r="AN151" s="81">
        <f t="shared" si="47"/>
        <v>-1487037.5918050907</v>
      </c>
      <c r="AO151" s="81">
        <f t="shared" si="48"/>
        <v>-1356226.3845906218</v>
      </c>
      <c r="AP151" s="81">
        <f t="shared" si="49"/>
        <v>-1213149.6061933157</v>
      </c>
      <c r="AQ151" s="81">
        <f t="shared" si="50"/>
        <v>-1058797.1099915558</v>
      </c>
      <c r="AR151" s="81">
        <f t="shared" si="51"/>
        <v>-904239.2713342155</v>
      </c>
      <c r="AS151" s="82">
        <v>4830</v>
      </c>
      <c r="AT151" s="82">
        <v>75</v>
      </c>
      <c r="AU151" s="82"/>
      <c r="AV151" s="82">
        <f t="shared" si="52"/>
        <v>75</v>
      </c>
      <c r="AW151" s="82">
        <v>1404.382254842993</v>
      </c>
      <c r="AX151" s="149">
        <v>-3118.489998327983</v>
      </c>
      <c r="AY151" s="81">
        <f t="shared" si="53"/>
        <v>-2164597.5401601098</v>
      </c>
      <c r="AZ151" s="409"/>
      <c r="BA151" s="81"/>
      <c r="BB151" s="81"/>
      <c r="BC151" s="81"/>
      <c r="BD151" s="81"/>
      <c r="BE151" s="81"/>
      <c r="BF151" s="81"/>
      <c r="BG151" s="81"/>
    </row>
    <row r="152" spans="1:59" ht="12.75">
      <c r="A152" s="81">
        <v>426</v>
      </c>
      <c r="B152" s="81" t="s">
        <v>272</v>
      </c>
      <c r="C152" s="81">
        <v>12</v>
      </c>
      <c r="D152" s="81">
        <v>12145</v>
      </c>
      <c r="E152" s="100">
        <v>28546626.26609212</v>
      </c>
      <c r="F152" s="81">
        <v>15678565</v>
      </c>
      <c r="G152" s="81">
        <v>2228646.2961613005</v>
      </c>
      <c r="H152" s="81">
        <v>835592.1532624513</v>
      </c>
      <c r="I152" s="156">
        <v>11042304.587022249</v>
      </c>
      <c r="J152" s="156">
        <v>1906814.174149931</v>
      </c>
      <c r="K152" s="81">
        <v>-276761.7956463449</v>
      </c>
      <c r="L152" s="81">
        <v>-2608181</v>
      </c>
      <c r="M152" s="82">
        <v>-60000</v>
      </c>
      <c r="N152" s="82">
        <v>117507.79853831226</v>
      </c>
      <c r="O152" s="214">
        <f t="shared" si="37"/>
        <v>317860.9473957792</v>
      </c>
      <c r="P152" s="215">
        <f t="shared" si="38"/>
        <v>26.172165285778444</v>
      </c>
      <c r="Q152" s="81"/>
      <c r="R152" s="223">
        <v>70487368</v>
      </c>
      <c r="S152" s="156">
        <v>37750126.865</v>
      </c>
      <c r="T152" s="156">
        <v>1253388.229893677</v>
      </c>
      <c r="U152" s="156">
        <v>26186633.9310571</v>
      </c>
      <c r="V152" s="156">
        <v>5884030.7063118545</v>
      </c>
      <c r="W152" s="156">
        <v>-439534.7038386995</v>
      </c>
      <c r="X152" s="214">
        <f t="shared" si="39"/>
        <v>147277.02842393517</v>
      </c>
      <c r="Y152" s="215">
        <f t="shared" si="40"/>
        <v>12.1265564778868</v>
      </c>
      <c r="Z152" s="81"/>
      <c r="AA152" s="94">
        <f t="shared" si="41"/>
        <v>170583.91897184402</v>
      </c>
      <c r="AB152" s="153">
        <f t="shared" si="42"/>
        <v>14.045608807891645</v>
      </c>
      <c r="AD152" s="216">
        <v>-120433.9295812522</v>
      </c>
      <c r="AE152" s="224">
        <v>24327.918395599016</v>
      </c>
      <c r="AF152" s="224">
        <v>13166.349518055576</v>
      </c>
      <c r="AG152" s="224">
        <v>15482.154199718321</v>
      </c>
      <c r="AH152" s="225">
        <v>18043.395759938605</v>
      </c>
      <c r="AJ152" s="81">
        <f t="shared" si="43"/>
        <v>22071561.865000002</v>
      </c>
      <c r="AK152" s="81">
        <f t="shared" si="44"/>
        <v>417796.07663122565</v>
      </c>
      <c r="AL152" s="81">
        <f t="shared" si="45"/>
        <v>15144329.34403485</v>
      </c>
      <c r="AM152" s="81">
        <f t="shared" si="46"/>
        <v>41940741.73390788</v>
      </c>
      <c r="AN152" s="81">
        <f t="shared" si="47"/>
        <v>-120433.9295812522</v>
      </c>
      <c r="AO152" s="81">
        <f t="shared" si="48"/>
        <v>24327.918395599016</v>
      </c>
      <c r="AP152" s="81">
        <f t="shared" si="49"/>
        <v>13166.349518055576</v>
      </c>
      <c r="AQ152" s="81">
        <f t="shared" si="50"/>
        <v>15482.154199718321</v>
      </c>
      <c r="AR152" s="81">
        <f t="shared" si="51"/>
        <v>18043.395759938605</v>
      </c>
      <c r="AS152" s="82">
        <v>2951</v>
      </c>
      <c r="AT152" s="82"/>
      <c r="AU152" s="82">
        <v>15</v>
      </c>
      <c r="AV152" s="82">
        <f t="shared" si="52"/>
        <v>15</v>
      </c>
      <c r="AW152" s="82">
        <v>11251.05032829507</v>
      </c>
      <c r="AX152" s="149">
        <v>-3978.19948052903</v>
      </c>
      <c r="AY152" s="81">
        <f t="shared" si="53"/>
        <v>-3977216.5321619236</v>
      </c>
      <c r="AZ152" s="409"/>
      <c r="BA152" s="81"/>
      <c r="BB152" s="81"/>
      <c r="BC152" s="81"/>
      <c r="BD152" s="81"/>
      <c r="BE152" s="81"/>
      <c r="BF152" s="81"/>
      <c r="BG152" s="81"/>
    </row>
    <row r="153" spans="1:59" ht="12.75">
      <c r="A153" s="81">
        <v>430</v>
      </c>
      <c r="B153" s="81" t="s">
        <v>274</v>
      </c>
      <c r="C153" s="81">
        <v>2</v>
      </c>
      <c r="D153" s="81">
        <v>16032</v>
      </c>
      <c r="E153" s="100">
        <v>31285133.773350373</v>
      </c>
      <c r="F153" s="81">
        <v>19276938</v>
      </c>
      <c r="G153" s="81">
        <v>3820241.9302375843</v>
      </c>
      <c r="H153" s="81">
        <v>2191502.2078059264</v>
      </c>
      <c r="I153" s="156">
        <v>8617182.557915997</v>
      </c>
      <c r="J153" s="156">
        <v>2828010.070570331</v>
      </c>
      <c r="K153" s="81">
        <v>-2777300.6869959002</v>
      </c>
      <c r="L153" s="81">
        <v>-2279955</v>
      </c>
      <c r="M153" s="82">
        <v>-79100</v>
      </c>
      <c r="N153" s="82">
        <v>157159.2383999587</v>
      </c>
      <c r="O153" s="214">
        <f t="shared" si="37"/>
        <v>469544.5445835218</v>
      </c>
      <c r="P153" s="215">
        <f t="shared" si="38"/>
        <v>29.287958120229654</v>
      </c>
      <c r="Q153" s="81"/>
      <c r="R153" s="223">
        <v>101300080</v>
      </c>
      <c r="S153" s="156">
        <v>48259278.82</v>
      </c>
      <c r="T153" s="156">
        <v>3287253.31170889</v>
      </c>
      <c r="U153" s="156">
        <v>38028022.30731075</v>
      </c>
      <c r="V153" s="156">
        <v>8791105.539653767</v>
      </c>
      <c r="W153" s="156">
        <v>1461186.9302375843</v>
      </c>
      <c r="X153" s="214">
        <f t="shared" si="39"/>
        <v>-1473233.0910890102</v>
      </c>
      <c r="Y153" s="215">
        <f t="shared" si="40"/>
        <v>-91.89328162980354</v>
      </c>
      <c r="Z153" s="81"/>
      <c r="AA153" s="94">
        <f t="shared" si="41"/>
        <v>1942777.635672532</v>
      </c>
      <c r="AB153" s="153">
        <f t="shared" si="42"/>
        <v>121.18123975003319</v>
      </c>
      <c r="AD153" s="216">
        <v>-1876577.1721146647</v>
      </c>
      <c r="AE153" s="224">
        <v>-1670183.5815170496</v>
      </c>
      <c r="AF153" s="224">
        <v>-1444437.4038509133</v>
      </c>
      <c r="AG153" s="224">
        <v>-1200900.427263312</v>
      </c>
      <c r="AH153" s="225">
        <v>-957039.4618706855</v>
      </c>
      <c r="AJ153" s="81">
        <f t="shared" si="43"/>
        <v>28982340.82</v>
      </c>
      <c r="AK153" s="81">
        <f t="shared" si="44"/>
        <v>1095751.1039029635</v>
      </c>
      <c r="AL153" s="81">
        <f t="shared" si="45"/>
        <v>29410839.749394756</v>
      </c>
      <c r="AM153" s="81">
        <f t="shared" si="46"/>
        <v>70014946.22664963</v>
      </c>
      <c r="AN153" s="81">
        <f t="shared" si="47"/>
        <v>-1876577.1721146647</v>
      </c>
      <c r="AO153" s="81">
        <f t="shared" si="48"/>
        <v>-1670183.5815170496</v>
      </c>
      <c r="AP153" s="81">
        <f t="shared" si="49"/>
        <v>-1444437.4038509133</v>
      </c>
      <c r="AQ153" s="81">
        <f t="shared" si="50"/>
        <v>-1200900.427263312</v>
      </c>
      <c r="AR153" s="81">
        <f t="shared" si="51"/>
        <v>-957039.4618706855</v>
      </c>
      <c r="AS153" s="82">
        <v>3960</v>
      </c>
      <c r="AT153" s="82">
        <v>40</v>
      </c>
      <c r="AU153" s="82"/>
      <c r="AV153" s="82">
        <f t="shared" si="52"/>
        <v>40</v>
      </c>
      <c r="AW153" s="82">
        <v>24627.298711458763</v>
      </c>
      <c r="AX153" s="149">
        <v>-5005.264386140651</v>
      </c>
      <c r="AY153" s="81">
        <f t="shared" si="53"/>
        <v>-5963095.469083436</v>
      </c>
      <c r="AZ153" s="409"/>
      <c r="BA153" s="81"/>
      <c r="BB153" s="81"/>
      <c r="BC153" s="81"/>
      <c r="BD153" s="81"/>
      <c r="BE153" s="81"/>
      <c r="BF153" s="81"/>
      <c r="BG153" s="81"/>
    </row>
    <row r="154" spans="1:59" ht="12.75">
      <c r="A154" s="81">
        <v>433</v>
      </c>
      <c r="B154" s="81" t="s">
        <v>275</v>
      </c>
      <c r="C154" s="81">
        <v>5</v>
      </c>
      <c r="D154" s="81">
        <v>7861</v>
      </c>
      <c r="E154" s="223">
        <v>18347069.732202794</v>
      </c>
      <c r="F154" s="81">
        <v>10396365</v>
      </c>
      <c r="G154" s="81">
        <v>1972801.5972145367</v>
      </c>
      <c r="H154" s="81">
        <v>1028542.4208835777</v>
      </c>
      <c r="I154" s="156">
        <v>6045043.176127061</v>
      </c>
      <c r="J154" s="156">
        <v>1295386.1185387946</v>
      </c>
      <c r="K154" s="81">
        <v>-621476.4987391905</v>
      </c>
      <c r="L154" s="81">
        <v>-853367</v>
      </c>
      <c r="M154" s="82">
        <v>-357700</v>
      </c>
      <c r="N154" s="82">
        <v>79999.31219065221</v>
      </c>
      <c r="O154" s="214">
        <f t="shared" si="37"/>
        <v>638524.3940126374</v>
      </c>
      <c r="P154" s="215">
        <f t="shared" si="38"/>
        <v>81.22686604918425</v>
      </c>
      <c r="Q154" s="81"/>
      <c r="R154" s="223">
        <v>45794308</v>
      </c>
      <c r="S154" s="156">
        <v>25192849.24</v>
      </c>
      <c r="T154" s="156">
        <v>1542813.6313253664</v>
      </c>
      <c r="U154" s="156">
        <v>14738040.493242515</v>
      </c>
      <c r="V154" s="156">
        <v>3976986.1768904333</v>
      </c>
      <c r="W154" s="156">
        <v>761734.5972145367</v>
      </c>
      <c r="X154" s="214">
        <f t="shared" si="39"/>
        <v>418116.138672851</v>
      </c>
      <c r="Y154" s="215">
        <f t="shared" si="40"/>
        <v>53.18867048376174</v>
      </c>
      <c r="Z154" s="81"/>
      <c r="AA154" s="94">
        <f t="shared" si="41"/>
        <v>220408.2553397864</v>
      </c>
      <c r="AB154" s="153">
        <f t="shared" si="42"/>
        <v>28.038195565422516</v>
      </c>
      <c r="AD154" s="216">
        <v>-187948.0604777395</v>
      </c>
      <c r="AE154" s="224">
        <v>-86746.71219381652</v>
      </c>
      <c r="AF154" s="224">
        <v>8522.08098488554</v>
      </c>
      <c r="AG154" s="224">
        <v>10021.013928693761</v>
      </c>
      <c r="AH154" s="225">
        <v>11678.808898219628</v>
      </c>
      <c r="AJ154" s="81">
        <f t="shared" si="43"/>
        <v>14796484.239999998</v>
      </c>
      <c r="AK154" s="81">
        <f t="shared" si="44"/>
        <v>514271.2104417888</v>
      </c>
      <c r="AL154" s="81">
        <f t="shared" si="45"/>
        <v>8692997.317115454</v>
      </c>
      <c r="AM154" s="81">
        <f t="shared" si="46"/>
        <v>27447238.267797206</v>
      </c>
      <c r="AN154" s="81">
        <f t="shared" si="47"/>
        <v>-187948.0604777395</v>
      </c>
      <c r="AO154" s="81">
        <f t="shared" si="48"/>
        <v>-86746.71219381652</v>
      </c>
      <c r="AP154" s="81">
        <f t="shared" si="49"/>
        <v>8522.08098488554</v>
      </c>
      <c r="AQ154" s="81">
        <f t="shared" si="50"/>
        <v>10021.013928693761</v>
      </c>
      <c r="AR154" s="81">
        <f t="shared" si="51"/>
        <v>11678.808898219628</v>
      </c>
      <c r="AS154" s="82">
        <v>2100</v>
      </c>
      <c r="AT154" s="82">
        <v>119</v>
      </c>
      <c r="AU154" s="82"/>
      <c r="AV154" s="82">
        <f t="shared" si="52"/>
        <v>119</v>
      </c>
      <c r="AW154" s="82">
        <v>6746.734385636041</v>
      </c>
      <c r="AX154" s="149">
        <v>-1816.3317757251605</v>
      </c>
      <c r="AY154" s="81">
        <f t="shared" si="53"/>
        <v>-2681600.0583516387</v>
      </c>
      <c r="AZ154" s="409"/>
      <c r="BA154" s="81"/>
      <c r="BB154" s="81"/>
      <c r="BC154" s="81"/>
      <c r="BD154" s="81"/>
      <c r="BE154" s="81"/>
      <c r="BF154" s="81"/>
      <c r="BG154" s="81"/>
    </row>
    <row r="155" spans="1:59" ht="12.75">
      <c r="A155" s="81">
        <v>434</v>
      </c>
      <c r="B155" s="81" t="s">
        <v>276</v>
      </c>
      <c r="C155" s="81">
        <v>1</v>
      </c>
      <c r="D155" s="81">
        <v>14891</v>
      </c>
      <c r="E155" s="100">
        <v>42095978.83301517</v>
      </c>
      <c r="F155" s="81">
        <v>18296588</v>
      </c>
      <c r="G155" s="81">
        <v>7606360.001858417</v>
      </c>
      <c r="H155" s="81">
        <v>2015861.1408448128</v>
      </c>
      <c r="I155" s="156">
        <v>5144523.680611064</v>
      </c>
      <c r="J155" s="156">
        <v>2366203.8557781056</v>
      </c>
      <c r="K155" s="81">
        <v>-659761.1926855997</v>
      </c>
      <c r="L155" s="81">
        <v>-1025749</v>
      </c>
      <c r="M155" s="82">
        <v>1593200</v>
      </c>
      <c r="N155" s="82">
        <v>168297.5442307074</v>
      </c>
      <c r="O155" s="214">
        <f t="shared" si="37"/>
        <v>-6590454.802377671</v>
      </c>
      <c r="P155" s="215">
        <f t="shared" si="38"/>
        <v>-442.57973288413615</v>
      </c>
      <c r="Q155" s="81"/>
      <c r="R155" s="223">
        <v>98170324</v>
      </c>
      <c r="S155" s="156">
        <v>49498466.14</v>
      </c>
      <c r="T155" s="156">
        <v>3023791.7112672194</v>
      </c>
      <c r="U155" s="156">
        <v>23917953.153256748</v>
      </c>
      <c r="V155" s="156">
        <v>7191082.15494219</v>
      </c>
      <c r="W155" s="156">
        <v>8173811.001858417</v>
      </c>
      <c r="X155" s="214">
        <f t="shared" si="39"/>
        <v>-6365219.838675424</v>
      </c>
      <c r="Y155" s="215">
        <f t="shared" si="40"/>
        <v>-427.45415611278116</v>
      </c>
      <c r="Z155" s="81"/>
      <c r="AA155" s="94">
        <f t="shared" si="41"/>
        <v>-225234.96370224655</v>
      </c>
      <c r="AB155" s="153">
        <f t="shared" si="42"/>
        <v>-15.125576771354948</v>
      </c>
      <c r="AD155" s="216">
        <v>286723.929697739</v>
      </c>
      <c r="AE155" s="224">
        <v>31698.45549546137</v>
      </c>
      <c r="AF155" s="224">
        <v>16143.277947580535</v>
      </c>
      <c r="AG155" s="224">
        <v>18982.689023302224</v>
      </c>
      <c r="AH155" s="225">
        <v>22123.030569060993</v>
      </c>
      <c r="AJ155" s="81">
        <f t="shared" si="43"/>
        <v>31201878.14</v>
      </c>
      <c r="AK155" s="81">
        <f t="shared" si="44"/>
        <v>1007930.5704224065</v>
      </c>
      <c r="AL155" s="81">
        <f t="shared" si="45"/>
        <v>18773429.472645685</v>
      </c>
      <c r="AM155" s="81">
        <f t="shared" si="46"/>
        <v>56074345.16698483</v>
      </c>
      <c r="AN155" s="81">
        <f t="shared" si="47"/>
        <v>286723.929697739</v>
      </c>
      <c r="AO155" s="81">
        <f t="shared" si="48"/>
        <v>31698.45549546137</v>
      </c>
      <c r="AP155" s="81">
        <f t="shared" si="49"/>
        <v>16143.277947580535</v>
      </c>
      <c r="AQ155" s="81">
        <f t="shared" si="50"/>
        <v>18982.689023302224</v>
      </c>
      <c r="AR155" s="81">
        <f t="shared" si="51"/>
        <v>22123.030569060993</v>
      </c>
      <c r="AS155" s="82">
        <v>7132</v>
      </c>
      <c r="AT155" s="82">
        <v>22</v>
      </c>
      <c r="AU155" s="82"/>
      <c r="AV155" s="82">
        <f t="shared" si="52"/>
        <v>22</v>
      </c>
      <c r="AW155" s="82">
        <v>17885.031959131495</v>
      </c>
      <c r="AX155" s="149">
        <v>-344.5150114259816</v>
      </c>
      <c r="AY155" s="81">
        <f t="shared" si="53"/>
        <v>-4824878.299164085</v>
      </c>
      <c r="AZ155" s="409"/>
      <c r="BA155" s="81"/>
      <c r="BB155" s="81"/>
      <c r="BC155" s="81"/>
      <c r="BD155" s="81"/>
      <c r="BE155" s="81"/>
      <c r="BF155" s="81"/>
      <c r="BG155" s="81"/>
    </row>
    <row r="156" spans="1:59" ht="12.75">
      <c r="A156" s="81">
        <v>435</v>
      </c>
      <c r="B156" s="81" t="s">
        <v>277</v>
      </c>
      <c r="C156" s="81">
        <v>13</v>
      </c>
      <c r="D156" s="81">
        <v>707</v>
      </c>
      <c r="E156" s="100">
        <v>2360830.736961137</v>
      </c>
      <c r="F156" s="81">
        <v>514615</v>
      </c>
      <c r="G156" s="81">
        <v>557150.972311967</v>
      </c>
      <c r="H156" s="81">
        <v>205125.0534460512</v>
      </c>
      <c r="I156" s="156">
        <v>301275.129275275</v>
      </c>
      <c r="J156" s="156">
        <v>140779.56656534894</v>
      </c>
      <c r="K156" s="81">
        <v>75128.23056325491</v>
      </c>
      <c r="L156" s="81">
        <v>-175171</v>
      </c>
      <c r="M156" s="82">
        <v>11000</v>
      </c>
      <c r="N156" s="82">
        <v>6567.462849320672</v>
      </c>
      <c r="O156" s="214">
        <f t="shared" si="37"/>
        <v>-724360.3219499192</v>
      </c>
      <c r="P156" s="215">
        <f t="shared" si="38"/>
        <v>-1024.5549108202536</v>
      </c>
      <c r="Q156" s="81"/>
      <c r="R156" s="223">
        <v>5851328</v>
      </c>
      <c r="S156" s="156">
        <v>1668973.5</v>
      </c>
      <c r="T156" s="156">
        <v>307687.5801690768</v>
      </c>
      <c r="U156" s="156">
        <v>2608418.7419904573</v>
      </c>
      <c r="V156" s="156">
        <v>439802.91681042546</v>
      </c>
      <c r="W156" s="156">
        <v>392979.97231196705</v>
      </c>
      <c r="X156" s="214">
        <f t="shared" si="39"/>
        <v>-433465.2887180736</v>
      </c>
      <c r="Y156" s="215">
        <f t="shared" si="40"/>
        <v>-613.1050759803022</v>
      </c>
      <c r="Z156" s="81"/>
      <c r="AA156" s="94">
        <f t="shared" si="41"/>
        <v>-290895.0332318456</v>
      </c>
      <c r="AB156" s="153">
        <f t="shared" si="42"/>
        <v>-411.44983483995134</v>
      </c>
      <c r="AD156" s="216">
        <v>293814.4274269185</v>
      </c>
      <c r="AE156" s="224">
        <v>281706.2405851342</v>
      </c>
      <c r="AF156" s="224">
        <v>270451.4893133003</v>
      </c>
      <c r="AG156" s="224">
        <v>259981.2998452011</v>
      </c>
      <c r="AH156" s="225">
        <v>249525.39805706407</v>
      </c>
      <c r="AJ156" s="81">
        <f t="shared" si="43"/>
        <v>1154358.5</v>
      </c>
      <c r="AK156" s="81">
        <f t="shared" si="44"/>
        <v>102562.5267230256</v>
      </c>
      <c r="AL156" s="81">
        <f t="shared" si="45"/>
        <v>2307143.6127151824</v>
      </c>
      <c r="AM156" s="81">
        <f t="shared" si="46"/>
        <v>3490497.263038863</v>
      </c>
      <c r="AN156" s="81">
        <f t="shared" si="47"/>
        <v>293814.4274269185</v>
      </c>
      <c r="AO156" s="81">
        <f t="shared" si="48"/>
        <v>281706.2405851342</v>
      </c>
      <c r="AP156" s="81">
        <f t="shared" si="49"/>
        <v>270451.4893133003</v>
      </c>
      <c r="AQ156" s="81">
        <f t="shared" si="50"/>
        <v>259981.2998452011</v>
      </c>
      <c r="AR156" s="81">
        <f t="shared" si="51"/>
        <v>249525.39805706407</v>
      </c>
      <c r="AS156" s="82">
        <v>248</v>
      </c>
      <c r="AT156" s="82"/>
      <c r="AU156" s="82"/>
      <c r="AV156" s="82">
        <f t="shared" si="52"/>
        <v>0</v>
      </c>
      <c r="AW156" s="82">
        <v>1790.160725125809</v>
      </c>
      <c r="AX156" s="149">
        <v>-281.92739636669745</v>
      </c>
      <c r="AY156" s="81">
        <f t="shared" si="53"/>
        <v>-299023.3502450765</v>
      </c>
      <c r="AZ156" s="409"/>
      <c r="BA156" s="81"/>
      <c r="BB156" s="81"/>
      <c r="BC156" s="81"/>
      <c r="BD156" s="81"/>
      <c r="BE156" s="81"/>
      <c r="BF156" s="81"/>
      <c r="BG156" s="81"/>
    </row>
    <row r="157" spans="1:59" ht="12.75">
      <c r="A157" s="81">
        <v>436</v>
      </c>
      <c r="B157" s="81" t="s">
        <v>278</v>
      </c>
      <c r="C157" s="81">
        <v>17</v>
      </c>
      <c r="D157" s="81">
        <v>2052</v>
      </c>
      <c r="E157" s="100">
        <v>5866074.737528049</v>
      </c>
      <c r="F157" s="81">
        <v>2173211</v>
      </c>
      <c r="G157" s="81">
        <v>269089.038947442</v>
      </c>
      <c r="H157" s="81">
        <v>101391.21150459841</v>
      </c>
      <c r="I157" s="156">
        <v>3907375.806578465</v>
      </c>
      <c r="J157" s="156">
        <v>289194.20743938105</v>
      </c>
      <c r="K157" s="81">
        <v>-71331.99690767829</v>
      </c>
      <c r="L157" s="81">
        <v>-378965</v>
      </c>
      <c r="M157" s="82">
        <v>-28000</v>
      </c>
      <c r="N157" s="82">
        <v>17366.708103793277</v>
      </c>
      <c r="O157" s="214">
        <f t="shared" si="37"/>
        <v>413256.23813795205</v>
      </c>
      <c r="P157" s="215">
        <f t="shared" si="38"/>
        <v>201.39192891713063</v>
      </c>
      <c r="Q157" s="81"/>
      <c r="R157" s="223">
        <v>12143992</v>
      </c>
      <c r="S157" s="156">
        <v>5446261.7299999995</v>
      </c>
      <c r="T157" s="156">
        <v>152086.8172568976</v>
      </c>
      <c r="U157" s="156">
        <v>6015054.401440896</v>
      </c>
      <c r="V157" s="156">
        <v>895695.2152638864</v>
      </c>
      <c r="W157" s="156">
        <v>-137875.96105255798</v>
      </c>
      <c r="X157" s="214">
        <f t="shared" si="39"/>
        <v>227230.20290912315</v>
      </c>
      <c r="Y157" s="215">
        <f t="shared" si="40"/>
        <v>110.73596632998205</v>
      </c>
      <c r="Z157" s="81"/>
      <c r="AA157" s="94">
        <f t="shared" si="41"/>
        <v>186026.0352288289</v>
      </c>
      <c r="AB157" s="153">
        <f t="shared" si="42"/>
        <v>90.6559625871486</v>
      </c>
      <c r="AD157" s="216">
        <v>-177552.77230338426</v>
      </c>
      <c r="AE157" s="224">
        <v>-151135.62859665355</v>
      </c>
      <c r="AF157" s="224">
        <v>-122241.4696289071</v>
      </c>
      <c r="AG157" s="224">
        <v>-91070.19493094317</v>
      </c>
      <c r="AH157" s="225">
        <v>-59857.4516059887</v>
      </c>
      <c r="AJ157" s="81">
        <f t="shared" si="43"/>
        <v>3273050.7299999995</v>
      </c>
      <c r="AK157" s="81">
        <f t="shared" si="44"/>
        <v>50695.60575229919</v>
      </c>
      <c r="AL157" s="81">
        <f t="shared" si="45"/>
        <v>2107678.5948624313</v>
      </c>
      <c r="AM157" s="81">
        <f t="shared" si="46"/>
        <v>6277917.262471951</v>
      </c>
      <c r="AN157" s="81">
        <f t="shared" si="47"/>
        <v>-177552.77230338426</v>
      </c>
      <c r="AO157" s="81">
        <f t="shared" si="48"/>
        <v>-151135.62859665355</v>
      </c>
      <c r="AP157" s="81">
        <f t="shared" si="49"/>
        <v>-122241.4696289071</v>
      </c>
      <c r="AQ157" s="81">
        <f t="shared" si="50"/>
        <v>-91070.19493094317</v>
      </c>
      <c r="AR157" s="81">
        <f t="shared" si="51"/>
        <v>-59857.4516059887</v>
      </c>
      <c r="AS157" s="82">
        <v>577</v>
      </c>
      <c r="AT157" s="82"/>
      <c r="AU157" s="82">
        <v>5</v>
      </c>
      <c r="AV157" s="82">
        <f t="shared" si="52"/>
        <v>5</v>
      </c>
      <c r="AW157" s="82">
        <v>1229.9193660063186</v>
      </c>
      <c r="AX157" s="149">
        <v>-1032.931194659858</v>
      </c>
      <c r="AY157" s="81">
        <f t="shared" si="53"/>
        <v>-606501.0078245053</v>
      </c>
      <c r="AZ157" s="409"/>
      <c r="BA157" s="81"/>
      <c r="BB157" s="81"/>
      <c r="BC157" s="81"/>
      <c r="BD157" s="81"/>
      <c r="BE157" s="81"/>
      <c r="BF157" s="81"/>
      <c r="BG157" s="81"/>
    </row>
    <row r="158" spans="1:59" ht="12.75">
      <c r="A158" s="81">
        <v>440</v>
      </c>
      <c r="B158" s="81" t="s">
        <v>279</v>
      </c>
      <c r="C158" s="81">
        <v>15</v>
      </c>
      <c r="D158" s="81">
        <v>5340</v>
      </c>
      <c r="E158" s="100">
        <v>15560127.992095312</v>
      </c>
      <c r="F158" s="81">
        <v>5078842</v>
      </c>
      <c r="G158" s="81">
        <v>1094065.0043856534</v>
      </c>
      <c r="H158" s="81">
        <v>242961.9526014912</v>
      </c>
      <c r="I158" s="156">
        <v>10866690.928185562</v>
      </c>
      <c r="J158" s="156">
        <v>694441.0451750187</v>
      </c>
      <c r="K158" s="81">
        <v>-687085.5493935206</v>
      </c>
      <c r="L158" s="81">
        <v>-1245789</v>
      </c>
      <c r="M158" s="82">
        <v>275500</v>
      </c>
      <c r="N158" s="82">
        <v>50596.83811085922</v>
      </c>
      <c r="O158" s="214">
        <f t="shared" si="37"/>
        <v>810095.2269697525</v>
      </c>
      <c r="P158" s="215">
        <f t="shared" si="38"/>
        <v>151.7032260242982</v>
      </c>
      <c r="Q158" s="81"/>
      <c r="R158" s="223">
        <v>31365936</v>
      </c>
      <c r="S158" s="156">
        <v>14640891.965</v>
      </c>
      <c r="T158" s="156">
        <v>364442.9289022368</v>
      </c>
      <c r="U158" s="156">
        <v>14113630.56660892</v>
      </c>
      <c r="V158" s="156">
        <v>2129076.0677223075</v>
      </c>
      <c r="W158" s="156">
        <v>123776.00438565342</v>
      </c>
      <c r="X158" s="214">
        <f t="shared" si="39"/>
        <v>5881.5326191186905</v>
      </c>
      <c r="Y158" s="215">
        <f t="shared" si="40"/>
        <v>1.1014106028312154</v>
      </c>
      <c r="Z158" s="81"/>
      <c r="AA158" s="94">
        <f t="shared" si="41"/>
        <v>804213.6943506338</v>
      </c>
      <c r="AB158" s="153">
        <f t="shared" si="42"/>
        <v>150.601815421467</v>
      </c>
      <c r="AD158" s="216">
        <v>-782163.3902464103</v>
      </c>
      <c r="AE158" s="224">
        <v>-713417.0221207074</v>
      </c>
      <c r="AF158" s="224">
        <v>-638224.6201286187</v>
      </c>
      <c r="AG158" s="224">
        <v>-557106.3906514611</v>
      </c>
      <c r="AH158" s="225">
        <v>-475880.2457414919</v>
      </c>
      <c r="AJ158" s="81">
        <f t="shared" si="43"/>
        <v>9562049.965</v>
      </c>
      <c r="AK158" s="81">
        <f t="shared" si="44"/>
        <v>121480.97630074559</v>
      </c>
      <c r="AL158" s="81">
        <f t="shared" si="45"/>
        <v>3246939.638423359</v>
      </c>
      <c r="AM158" s="81">
        <f t="shared" si="46"/>
        <v>15805808.007904688</v>
      </c>
      <c r="AN158" s="81">
        <f t="shared" si="47"/>
        <v>-782163.3902464103</v>
      </c>
      <c r="AO158" s="81">
        <f t="shared" si="48"/>
        <v>-713417.0221207074</v>
      </c>
      <c r="AP158" s="81">
        <f t="shared" si="49"/>
        <v>-638224.6201286187</v>
      </c>
      <c r="AQ158" s="81">
        <f t="shared" si="50"/>
        <v>-557106.3906514611</v>
      </c>
      <c r="AR158" s="81">
        <f t="shared" si="51"/>
        <v>-475880.2457414919</v>
      </c>
      <c r="AS158" s="82">
        <v>1670</v>
      </c>
      <c r="AT158" s="82"/>
      <c r="AU158" s="82">
        <v>17</v>
      </c>
      <c r="AV158" s="82">
        <f t="shared" si="52"/>
        <v>17</v>
      </c>
      <c r="AW158" s="82">
        <v>1662.4005597702544</v>
      </c>
      <c r="AX158" s="149">
        <v>-1974.1563532625316</v>
      </c>
      <c r="AY158" s="81">
        <f t="shared" si="53"/>
        <v>-1434635.0225472888</v>
      </c>
      <c r="AZ158" s="409"/>
      <c r="BA158" s="81"/>
      <c r="BB158" s="81"/>
      <c r="BC158" s="81"/>
      <c r="BD158" s="81"/>
      <c r="BE158" s="81"/>
      <c r="BF158" s="81"/>
      <c r="BG158" s="81"/>
    </row>
    <row r="159" spans="1:59" ht="12.75">
      <c r="A159" s="81">
        <v>441</v>
      </c>
      <c r="B159" s="81" t="s">
        <v>280</v>
      </c>
      <c r="C159" s="81">
        <v>9</v>
      </c>
      <c r="D159" s="81">
        <v>4662</v>
      </c>
      <c r="E159" s="100">
        <v>11656560.682613388</v>
      </c>
      <c r="F159" s="81">
        <v>5198768</v>
      </c>
      <c r="G159" s="81">
        <v>1441282.2282809725</v>
      </c>
      <c r="H159" s="81">
        <v>1334636.8955732738</v>
      </c>
      <c r="I159" s="156">
        <v>1831762.3855580133</v>
      </c>
      <c r="J159" s="156">
        <v>828152.3800068484</v>
      </c>
      <c r="K159" s="81">
        <v>-573296.6117568527</v>
      </c>
      <c r="L159" s="81">
        <v>-569371</v>
      </c>
      <c r="M159" s="82">
        <v>592000</v>
      </c>
      <c r="N159" s="82">
        <v>47771.83843358982</v>
      </c>
      <c r="O159" s="214">
        <f t="shared" si="37"/>
        <v>-1524854.566517543</v>
      </c>
      <c r="P159" s="215">
        <f t="shared" si="38"/>
        <v>-327.0816315996446</v>
      </c>
      <c r="Q159" s="81"/>
      <c r="R159" s="223">
        <v>32768680</v>
      </c>
      <c r="S159" s="156">
        <v>13674314.854999999</v>
      </c>
      <c r="T159" s="156">
        <v>2001955.3433599107</v>
      </c>
      <c r="U159" s="156">
        <v>11394921.81064859</v>
      </c>
      <c r="V159" s="156">
        <v>2566558.20496138</v>
      </c>
      <c r="W159" s="156">
        <v>1463911.2282809725</v>
      </c>
      <c r="X159" s="214">
        <f t="shared" si="39"/>
        <v>-1667018.5577491447</v>
      </c>
      <c r="Y159" s="215">
        <f t="shared" si="40"/>
        <v>-357.5758382130298</v>
      </c>
      <c r="Z159" s="81"/>
      <c r="AA159" s="94">
        <f t="shared" si="41"/>
        <v>142163.99123160169</v>
      </c>
      <c r="AB159" s="153">
        <f t="shared" si="42"/>
        <v>30.494206613385174</v>
      </c>
      <c r="AD159" s="216">
        <v>-122913.33247993734</v>
      </c>
      <c r="AE159" s="224">
        <v>-62895.43581289137</v>
      </c>
      <c r="AF159" s="224">
        <v>2750.0657015501706</v>
      </c>
      <c r="AG159" s="224">
        <v>5943.00558905614</v>
      </c>
      <c r="AH159" s="225">
        <v>6926.168055400064</v>
      </c>
      <c r="AJ159" s="81">
        <f t="shared" si="43"/>
        <v>8475546.854999999</v>
      </c>
      <c r="AK159" s="81">
        <f t="shared" si="44"/>
        <v>667318.4477866369</v>
      </c>
      <c r="AL159" s="81">
        <f t="shared" si="45"/>
        <v>9563159.425090577</v>
      </c>
      <c r="AM159" s="81">
        <f t="shared" si="46"/>
        <v>21112119.317386612</v>
      </c>
      <c r="AN159" s="81">
        <f t="shared" si="47"/>
        <v>-122913.33247993734</v>
      </c>
      <c r="AO159" s="81">
        <f t="shared" si="48"/>
        <v>-62895.43581289137</v>
      </c>
      <c r="AP159" s="81">
        <f t="shared" si="49"/>
        <v>2750.0657015501706</v>
      </c>
      <c r="AQ159" s="81">
        <f t="shared" si="50"/>
        <v>5943.00558905614</v>
      </c>
      <c r="AR159" s="81">
        <f t="shared" si="51"/>
        <v>6926.168055400064</v>
      </c>
      <c r="AS159" s="82">
        <v>2201</v>
      </c>
      <c r="AT159" s="82"/>
      <c r="AU159" s="82">
        <v>17</v>
      </c>
      <c r="AV159" s="82">
        <f t="shared" si="52"/>
        <v>17</v>
      </c>
      <c r="AW159" s="82">
        <v>8046.301993374751</v>
      </c>
      <c r="AX159" s="149">
        <v>-1314.766262053644</v>
      </c>
      <c r="AY159" s="81">
        <f t="shared" si="53"/>
        <v>-1738405.8249545316</v>
      </c>
      <c r="AZ159" s="409"/>
      <c r="BA159" s="81"/>
      <c r="BB159" s="81"/>
      <c r="BC159" s="81"/>
      <c r="BD159" s="81"/>
      <c r="BE159" s="81"/>
      <c r="BF159" s="81"/>
      <c r="BG159" s="81"/>
    </row>
    <row r="160" spans="1:59" ht="12.75">
      <c r="A160" s="81">
        <v>444</v>
      </c>
      <c r="B160" s="81" t="s">
        <v>273</v>
      </c>
      <c r="C160" s="81">
        <v>1</v>
      </c>
      <c r="D160" s="81">
        <v>46296</v>
      </c>
      <c r="E160" s="100">
        <v>110890654.3681508</v>
      </c>
      <c r="F160" s="81">
        <v>65167227</v>
      </c>
      <c r="G160" s="81">
        <v>13085958.284190327</v>
      </c>
      <c r="H160" s="81">
        <v>4520138.573480746</v>
      </c>
      <c r="I160" s="156">
        <v>23311126.518541776</v>
      </c>
      <c r="J160" s="156">
        <v>6557842.048515346</v>
      </c>
      <c r="K160" s="81">
        <v>-2777883.604559237</v>
      </c>
      <c r="L160" s="81">
        <v>-1695338</v>
      </c>
      <c r="M160" s="82">
        <v>-226000</v>
      </c>
      <c r="N160" s="82">
        <v>581546.9505069079</v>
      </c>
      <c r="O160" s="214">
        <f t="shared" si="37"/>
        <v>-2366036.5974749327</v>
      </c>
      <c r="P160" s="215">
        <f t="shared" si="38"/>
        <v>-51.10671758845111</v>
      </c>
      <c r="Q160" s="81"/>
      <c r="R160" s="223">
        <v>276733212</v>
      </c>
      <c r="S160" s="156">
        <v>174207153.905</v>
      </c>
      <c r="T160" s="156">
        <v>6780207.860221119</v>
      </c>
      <c r="U160" s="156">
        <v>63842799.85936123</v>
      </c>
      <c r="V160" s="156">
        <v>19624253.706884094</v>
      </c>
      <c r="W160" s="156">
        <v>11164620.284190327</v>
      </c>
      <c r="X160" s="214">
        <f t="shared" si="39"/>
        <v>-1114176.3843432665</v>
      </c>
      <c r="Y160" s="215">
        <f t="shared" si="40"/>
        <v>-24.066363926543687</v>
      </c>
      <c r="Z160" s="81"/>
      <c r="AA160" s="94">
        <f t="shared" si="41"/>
        <v>-1251860.2131316662</v>
      </c>
      <c r="AB160" s="153">
        <f t="shared" si="42"/>
        <v>-27.040353661907425</v>
      </c>
      <c r="AD160" s="216">
        <v>1443028.9170285545</v>
      </c>
      <c r="AE160" s="224">
        <v>650156.7557453205</v>
      </c>
      <c r="AF160" s="224">
        <v>50189.322131568624</v>
      </c>
      <c r="AG160" s="224">
        <v>59017.028475105755</v>
      </c>
      <c r="AH160" s="225">
        <v>68780.32524513114</v>
      </c>
      <c r="AJ160" s="81">
        <f t="shared" si="43"/>
        <v>109039926.905</v>
      </c>
      <c r="AK160" s="81">
        <f t="shared" si="44"/>
        <v>2260069.286740373</v>
      </c>
      <c r="AL160" s="81">
        <f t="shared" si="45"/>
        <v>40531673.340819456</v>
      </c>
      <c r="AM160" s="81">
        <f t="shared" si="46"/>
        <v>165842557.6318492</v>
      </c>
      <c r="AN160" s="81">
        <f t="shared" si="47"/>
        <v>1443028.9170285545</v>
      </c>
      <c r="AO160" s="81">
        <f t="shared" si="48"/>
        <v>650156.7557453205</v>
      </c>
      <c r="AP160" s="81">
        <f t="shared" si="49"/>
        <v>50189.322131568624</v>
      </c>
      <c r="AQ160" s="81">
        <f t="shared" si="50"/>
        <v>59017.028475105755</v>
      </c>
      <c r="AR160" s="81">
        <f t="shared" si="51"/>
        <v>68780.32524513114</v>
      </c>
      <c r="AS160" s="82">
        <v>15919</v>
      </c>
      <c r="AT160" s="82">
        <v>440</v>
      </c>
      <c r="AU160" s="82"/>
      <c r="AV160" s="82">
        <f t="shared" si="52"/>
        <v>440</v>
      </c>
      <c r="AW160" s="82">
        <v>40620.30458917445</v>
      </c>
      <c r="AX160" s="149">
        <v>2815.6249978327746</v>
      </c>
      <c r="AY160" s="81">
        <f t="shared" si="53"/>
        <v>-13066411.658368748</v>
      </c>
      <c r="AZ160" s="409"/>
      <c r="BA160" s="81"/>
      <c r="BB160" s="81"/>
      <c r="BC160" s="81"/>
      <c r="BD160" s="81"/>
      <c r="BE160" s="81"/>
      <c r="BF160" s="81"/>
      <c r="BG160" s="81"/>
    </row>
    <row r="161" spans="1:59" ht="12.75">
      <c r="A161" s="81">
        <v>445</v>
      </c>
      <c r="B161" s="81" t="s">
        <v>130</v>
      </c>
      <c r="C161" s="81">
        <v>2</v>
      </c>
      <c r="D161" s="81">
        <v>15217</v>
      </c>
      <c r="E161" s="100">
        <v>42998522.86679802</v>
      </c>
      <c r="F161" s="81">
        <v>20475432</v>
      </c>
      <c r="G161" s="81">
        <v>9041692.5951889</v>
      </c>
      <c r="H161" s="81">
        <v>1516387.509739872</v>
      </c>
      <c r="I161" s="156">
        <v>12661472.748459244</v>
      </c>
      <c r="J161" s="156">
        <v>2118009.7001356627</v>
      </c>
      <c r="K161" s="81">
        <v>-3955617.988602864</v>
      </c>
      <c r="L161" s="81">
        <v>-635254</v>
      </c>
      <c r="M161" s="82">
        <v>-920000</v>
      </c>
      <c r="N161" s="82">
        <v>197447.76870841085</v>
      </c>
      <c r="O161" s="214">
        <f t="shared" si="37"/>
        <v>-2498952.5331687927</v>
      </c>
      <c r="P161" s="215">
        <f t="shared" si="38"/>
        <v>-164.22110357946985</v>
      </c>
      <c r="Q161" s="81"/>
      <c r="R161" s="223">
        <v>104056876</v>
      </c>
      <c r="S161" s="156">
        <v>57505994.400000006</v>
      </c>
      <c r="T161" s="156">
        <v>2274581.264609808</v>
      </c>
      <c r="U161" s="156">
        <v>27534889.7156941</v>
      </c>
      <c r="V161" s="156">
        <v>6273287.112593093</v>
      </c>
      <c r="W161" s="156">
        <v>7486438.595188901</v>
      </c>
      <c r="X161" s="214">
        <f t="shared" si="39"/>
        <v>-2981684.9119140953</v>
      </c>
      <c r="Y161" s="215">
        <f t="shared" si="40"/>
        <v>-195.94433278005488</v>
      </c>
      <c r="Z161" s="81"/>
      <c r="AA161" s="94">
        <f t="shared" si="41"/>
        <v>482732.37874530256</v>
      </c>
      <c r="AB161" s="153">
        <f t="shared" si="42"/>
        <v>31.723229200585042</v>
      </c>
      <c r="AD161" s="216">
        <v>-419897.27058910276</v>
      </c>
      <c r="AE161" s="224">
        <v>-223995.86913426823</v>
      </c>
      <c r="AF161" s="224">
        <v>-9725.685405126906</v>
      </c>
      <c r="AG161" s="224">
        <v>19398.26599070512</v>
      </c>
      <c r="AH161" s="225">
        <v>22607.357206997593</v>
      </c>
      <c r="AJ161" s="81">
        <f t="shared" si="43"/>
        <v>37030562.400000006</v>
      </c>
      <c r="AK161" s="81">
        <f t="shared" si="44"/>
        <v>758193.754869936</v>
      </c>
      <c r="AL161" s="81">
        <f t="shared" si="45"/>
        <v>14873416.967234856</v>
      </c>
      <c r="AM161" s="81">
        <f t="shared" si="46"/>
        <v>61058353.13320198</v>
      </c>
      <c r="AN161" s="81">
        <f t="shared" si="47"/>
        <v>-419897.27058910276</v>
      </c>
      <c r="AO161" s="81">
        <f t="shared" si="48"/>
        <v>-223995.86913426823</v>
      </c>
      <c r="AP161" s="81">
        <f t="shared" si="49"/>
        <v>-9725.685405126906</v>
      </c>
      <c r="AQ161" s="81">
        <f t="shared" si="50"/>
        <v>19398.26599070512</v>
      </c>
      <c r="AR161" s="81">
        <f t="shared" si="51"/>
        <v>22607.357206997593</v>
      </c>
      <c r="AS161" s="82">
        <v>4997</v>
      </c>
      <c r="AT161" s="82">
        <v>467</v>
      </c>
      <c r="AU161" s="82">
        <v>79</v>
      </c>
      <c r="AV161" s="82">
        <f t="shared" si="52"/>
        <v>546</v>
      </c>
      <c r="AW161" s="82">
        <v>14432.912599053516</v>
      </c>
      <c r="AX161" s="149">
        <v>1589.9954419399007</v>
      </c>
      <c r="AY161" s="81">
        <f t="shared" si="53"/>
        <v>-4155277.4124574303</v>
      </c>
      <c r="AZ161" s="409"/>
      <c r="BA161" s="81"/>
      <c r="BB161" s="81"/>
      <c r="BC161" s="81"/>
      <c r="BD161" s="81"/>
      <c r="BE161" s="81"/>
      <c r="BF161" s="81"/>
      <c r="BG161" s="81"/>
    </row>
    <row r="162" spans="1:59" ht="12.75">
      <c r="A162" s="81">
        <v>475</v>
      </c>
      <c r="B162" s="81" t="s">
        <v>282</v>
      </c>
      <c r="C162" s="81">
        <v>15</v>
      </c>
      <c r="D162" s="81">
        <v>5477</v>
      </c>
      <c r="E162" s="100">
        <v>15794143.075596303</v>
      </c>
      <c r="F162" s="81">
        <v>7361866</v>
      </c>
      <c r="G162" s="81">
        <v>1339440.5319230524</v>
      </c>
      <c r="H162" s="81">
        <v>670034.6671544064</v>
      </c>
      <c r="I162" s="156">
        <v>6241363.035397794</v>
      </c>
      <c r="J162" s="156">
        <v>1018519.5140566803</v>
      </c>
      <c r="K162" s="81">
        <v>-1303615.2102606993</v>
      </c>
      <c r="L162" s="81">
        <v>-13122</v>
      </c>
      <c r="M162" s="82">
        <v>-70000</v>
      </c>
      <c r="N162" s="82">
        <v>55606.88275055409</v>
      </c>
      <c r="O162" s="214">
        <f t="shared" si="37"/>
        <v>-494049.6545745153</v>
      </c>
      <c r="P162" s="215">
        <f t="shared" si="38"/>
        <v>-90.20442844157665</v>
      </c>
      <c r="Q162" s="81"/>
      <c r="R162" s="223">
        <v>38844820</v>
      </c>
      <c r="S162" s="156">
        <v>17669232.455</v>
      </c>
      <c r="T162" s="156">
        <v>1005052.0007316096</v>
      </c>
      <c r="U162" s="156">
        <v>14345048.729329303</v>
      </c>
      <c r="V162" s="156">
        <v>3163648.469173639</v>
      </c>
      <c r="W162" s="156">
        <v>1256318.5319230524</v>
      </c>
      <c r="X162" s="214">
        <f t="shared" si="39"/>
        <v>-1405519.813842401</v>
      </c>
      <c r="Y162" s="215">
        <f t="shared" si="40"/>
        <v>-256.6222044627352</v>
      </c>
      <c r="Z162" s="81"/>
      <c r="AA162" s="94">
        <f t="shared" si="41"/>
        <v>911470.1592678856</v>
      </c>
      <c r="AB162" s="153">
        <f t="shared" si="42"/>
        <v>166.4177760211586</v>
      </c>
      <c r="AD162" s="216">
        <v>-888854.1451145366</v>
      </c>
      <c r="AE162" s="224">
        <v>-818344.0593047102</v>
      </c>
      <c r="AF162" s="224">
        <v>-741222.5638532739</v>
      </c>
      <c r="AG162" s="224">
        <v>-658023.2112603165</v>
      </c>
      <c r="AH162" s="225">
        <v>-574713.1746176383</v>
      </c>
      <c r="AJ162" s="81">
        <f t="shared" si="43"/>
        <v>10307366.454999998</v>
      </c>
      <c r="AK162" s="81">
        <f t="shared" si="44"/>
        <v>335017.3335772032</v>
      </c>
      <c r="AL162" s="81">
        <f t="shared" si="45"/>
        <v>8103685.693931509</v>
      </c>
      <c r="AM162" s="81">
        <f t="shared" si="46"/>
        <v>23050676.924403697</v>
      </c>
      <c r="AN162" s="81">
        <f t="shared" si="47"/>
        <v>-888854.1451145366</v>
      </c>
      <c r="AO162" s="81">
        <f t="shared" si="48"/>
        <v>-818344.0593047102</v>
      </c>
      <c r="AP162" s="81">
        <f t="shared" si="49"/>
        <v>-741222.5638532739</v>
      </c>
      <c r="AQ162" s="81">
        <f t="shared" si="50"/>
        <v>-658023.2112603165</v>
      </c>
      <c r="AR162" s="81">
        <f t="shared" si="51"/>
        <v>-574713.1746176383</v>
      </c>
      <c r="AS162" s="82">
        <v>1989</v>
      </c>
      <c r="AT162" s="82">
        <v>61</v>
      </c>
      <c r="AU162" s="82"/>
      <c r="AV162" s="82">
        <f t="shared" si="52"/>
        <v>61</v>
      </c>
      <c r="AW162" s="82">
        <v>6893.086166733382</v>
      </c>
      <c r="AX162" s="149">
        <v>-1297.5684935636746</v>
      </c>
      <c r="AY162" s="81">
        <f t="shared" si="53"/>
        <v>-2145128.955116959</v>
      </c>
      <c r="AZ162" s="409"/>
      <c r="BA162" s="81"/>
      <c r="BB162" s="81"/>
      <c r="BC162" s="81"/>
      <c r="BD162" s="81"/>
      <c r="BE162" s="81"/>
      <c r="BF162" s="81"/>
      <c r="BG162" s="81"/>
    </row>
    <row r="163" spans="1:59" ht="12.75">
      <c r="A163" s="81">
        <v>480</v>
      </c>
      <c r="B163" s="81" t="s">
        <v>283</v>
      </c>
      <c r="C163" s="81">
        <v>2</v>
      </c>
      <c r="D163" s="81">
        <v>2018</v>
      </c>
      <c r="E163" s="100">
        <v>4522371.564121486</v>
      </c>
      <c r="F163" s="81">
        <v>2397301</v>
      </c>
      <c r="G163" s="81">
        <v>307516.6686653745</v>
      </c>
      <c r="H163" s="81">
        <v>185933.1386027808</v>
      </c>
      <c r="I163" s="156">
        <v>1427796.424139891</v>
      </c>
      <c r="J163" s="156">
        <v>365321.1388713389</v>
      </c>
      <c r="K163" s="81">
        <v>87635.00447174085</v>
      </c>
      <c r="L163" s="81">
        <v>-395898</v>
      </c>
      <c r="M163" s="82">
        <v>-12200</v>
      </c>
      <c r="N163" s="82">
        <v>19966.987673238746</v>
      </c>
      <c r="O163" s="214">
        <f t="shared" si="37"/>
        <v>-138999.20169712137</v>
      </c>
      <c r="P163" s="215">
        <f t="shared" si="38"/>
        <v>-68.87968369530296</v>
      </c>
      <c r="Q163" s="81"/>
      <c r="R163" s="223">
        <v>11661216</v>
      </c>
      <c r="S163" s="156">
        <v>6125738.1025</v>
      </c>
      <c r="T163" s="156">
        <v>278899.7079041712</v>
      </c>
      <c r="U163" s="156">
        <v>4044192.3900338104</v>
      </c>
      <c r="V163" s="156">
        <v>1141316.0286396192</v>
      </c>
      <c r="W163" s="156">
        <v>-100581.33133462549</v>
      </c>
      <c r="X163" s="214">
        <f t="shared" si="39"/>
        <v>-171651.1022570245</v>
      </c>
      <c r="Y163" s="215">
        <f t="shared" si="40"/>
        <v>-85.06001102924901</v>
      </c>
      <c r="Z163" s="81"/>
      <c r="AA163" s="94">
        <f t="shared" si="41"/>
        <v>32651.900559903122</v>
      </c>
      <c r="AB163" s="153">
        <f t="shared" si="42"/>
        <v>16.180327333946046</v>
      </c>
      <c r="AD163" s="216">
        <v>-24319.0328291324</v>
      </c>
      <c r="AE163" s="224">
        <v>1660.399919494562</v>
      </c>
      <c r="AF163" s="224">
        <v>2187.706325849004</v>
      </c>
      <c r="AG163" s="224">
        <v>2572.4979147823447</v>
      </c>
      <c r="AH163" s="225">
        <v>2998.071028699556</v>
      </c>
      <c r="AJ163" s="81">
        <f t="shared" si="43"/>
        <v>3728437.1025</v>
      </c>
      <c r="AK163" s="81">
        <f t="shared" si="44"/>
        <v>92966.56930139041</v>
      </c>
      <c r="AL163" s="81">
        <f t="shared" si="45"/>
        <v>2616395.9658939196</v>
      </c>
      <c r="AM163" s="81">
        <f t="shared" si="46"/>
        <v>7138844.435878514</v>
      </c>
      <c r="AN163" s="81">
        <f t="shared" si="47"/>
        <v>-24319.0328291324</v>
      </c>
      <c r="AO163" s="81">
        <f t="shared" si="48"/>
        <v>1660.399919494562</v>
      </c>
      <c r="AP163" s="81">
        <f t="shared" si="49"/>
        <v>2187.706325849004</v>
      </c>
      <c r="AQ163" s="81">
        <f t="shared" si="50"/>
        <v>2572.4979147823447</v>
      </c>
      <c r="AR163" s="81">
        <f t="shared" si="51"/>
        <v>2998.071028699556</v>
      </c>
      <c r="AS163" s="82">
        <v>442</v>
      </c>
      <c r="AT163" s="82">
        <v>66</v>
      </c>
      <c r="AU163" s="82"/>
      <c r="AV163" s="82">
        <f t="shared" si="52"/>
        <v>66</v>
      </c>
      <c r="AW163" s="82">
        <v>2130.2885933570255</v>
      </c>
      <c r="AX163" s="149">
        <v>-593.6064890766476</v>
      </c>
      <c r="AY163" s="81">
        <f t="shared" si="53"/>
        <v>-775994.8897682803</v>
      </c>
      <c r="AZ163" s="409"/>
      <c r="BA163" s="81"/>
      <c r="BB163" s="81"/>
      <c r="BC163" s="81"/>
      <c r="BD163" s="81"/>
      <c r="BE163" s="81"/>
      <c r="BF163" s="81"/>
      <c r="BG163" s="81"/>
    </row>
    <row r="164" spans="1:59" ht="12.75">
      <c r="A164" s="81">
        <v>481</v>
      </c>
      <c r="B164" s="81" t="s">
        <v>284</v>
      </c>
      <c r="C164" s="81">
        <v>2</v>
      </c>
      <c r="D164" s="81">
        <v>9554</v>
      </c>
      <c r="E164" s="100">
        <v>22793778.570651148</v>
      </c>
      <c r="F164" s="81">
        <v>14318420</v>
      </c>
      <c r="G164" s="81">
        <v>1859967.9014574403</v>
      </c>
      <c r="H164" s="81">
        <v>1065450.2136417215</v>
      </c>
      <c r="I164" s="156">
        <v>7026713.658861895</v>
      </c>
      <c r="J164" s="156">
        <v>1208795.6720939176</v>
      </c>
      <c r="K164" s="81">
        <v>-484355.94285655057</v>
      </c>
      <c r="L164" s="81">
        <v>-1809811</v>
      </c>
      <c r="M164" s="82">
        <v>61000</v>
      </c>
      <c r="N164" s="82">
        <v>123677.52114646752</v>
      </c>
      <c r="O164" s="214">
        <f t="shared" si="37"/>
        <v>576079.4536937438</v>
      </c>
      <c r="P164" s="215">
        <f t="shared" si="38"/>
        <v>60.29720051221936</v>
      </c>
      <c r="Q164" s="81"/>
      <c r="R164" s="223">
        <v>51095520</v>
      </c>
      <c r="S164" s="156">
        <v>37455851.9125</v>
      </c>
      <c r="T164" s="156">
        <v>1598175.3204625824</v>
      </c>
      <c r="U164" s="156">
        <v>8685592.18314993</v>
      </c>
      <c r="V164" s="156">
        <v>3552187.408896168</v>
      </c>
      <c r="W164" s="156">
        <v>111156.90145744034</v>
      </c>
      <c r="X164" s="214">
        <f t="shared" si="39"/>
        <v>307443.7264661193</v>
      </c>
      <c r="Y164" s="215">
        <f t="shared" si="40"/>
        <v>32.17958200398988</v>
      </c>
      <c r="Z164" s="81"/>
      <c r="AA164" s="94">
        <f t="shared" si="41"/>
        <v>268635.7272276245</v>
      </c>
      <c r="AB164" s="153">
        <f t="shared" si="42"/>
        <v>28.117618508229487</v>
      </c>
      <c r="AD164" s="216">
        <v>-229184.67752503516</v>
      </c>
      <c r="AE164" s="224">
        <v>-106187.89829788849</v>
      </c>
      <c r="AF164" s="224">
        <v>10357.456014450636</v>
      </c>
      <c r="AG164" s="224">
        <v>12179.209652046839</v>
      </c>
      <c r="AH164" s="225">
        <v>14194.038953516134</v>
      </c>
      <c r="AJ164" s="81">
        <f t="shared" si="43"/>
        <v>23137431.9125</v>
      </c>
      <c r="AK164" s="81">
        <f t="shared" si="44"/>
        <v>532725.1068208609</v>
      </c>
      <c r="AL164" s="81">
        <f t="shared" si="45"/>
        <v>1658878.524288035</v>
      </c>
      <c r="AM164" s="81">
        <f t="shared" si="46"/>
        <v>28301741.429348852</v>
      </c>
      <c r="AN164" s="81">
        <f t="shared" si="47"/>
        <v>-229184.67752503516</v>
      </c>
      <c r="AO164" s="81">
        <f t="shared" si="48"/>
        <v>-106187.89829788849</v>
      </c>
      <c r="AP164" s="81">
        <f t="shared" si="49"/>
        <v>10357.456014450636</v>
      </c>
      <c r="AQ164" s="81">
        <f t="shared" si="50"/>
        <v>12179.209652046839</v>
      </c>
      <c r="AR164" s="81">
        <f t="shared" si="51"/>
        <v>14194.038953516134</v>
      </c>
      <c r="AS164" s="82">
        <v>2341</v>
      </c>
      <c r="AT164" s="82">
        <v>19</v>
      </c>
      <c r="AU164" s="82">
        <v>6</v>
      </c>
      <c r="AV164" s="82">
        <f t="shared" si="52"/>
        <v>25</v>
      </c>
      <c r="AW164" s="82">
        <v>2872.586172232679</v>
      </c>
      <c r="AX164" s="149">
        <v>1190.2188229966114</v>
      </c>
      <c r="AY164" s="81">
        <f t="shared" si="53"/>
        <v>-2343391.7368022506</v>
      </c>
      <c r="AZ164" s="409"/>
      <c r="BA164" s="81"/>
      <c r="BB164" s="81"/>
      <c r="BC164" s="81"/>
      <c r="BD164" s="81"/>
      <c r="BE164" s="81"/>
      <c r="BF164" s="81"/>
      <c r="BG164" s="81"/>
    </row>
    <row r="165" spans="1:59" ht="12.75">
      <c r="A165" s="81">
        <v>483</v>
      </c>
      <c r="B165" s="81" t="s">
        <v>285</v>
      </c>
      <c r="C165" s="81">
        <v>17</v>
      </c>
      <c r="D165" s="81">
        <v>1104</v>
      </c>
      <c r="E165" s="100">
        <v>3639797.1834444962</v>
      </c>
      <c r="F165" s="81">
        <v>1009520</v>
      </c>
      <c r="G165" s="81">
        <v>300173.2697108828</v>
      </c>
      <c r="H165" s="81">
        <v>81876.5423872704</v>
      </c>
      <c r="I165" s="156">
        <v>1934137.6724376688</v>
      </c>
      <c r="J165" s="156">
        <v>203738.6250350774</v>
      </c>
      <c r="K165" s="81">
        <v>-319312.1893372065</v>
      </c>
      <c r="L165" s="81">
        <v>-175000</v>
      </c>
      <c r="M165" s="82">
        <v>104240</v>
      </c>
      <c r="N165" s="82">
        <v>6767.991867664673</v>
      </c>
      <c r="O165" s="214">
        <f t="shared" si="37"/>
        <v>-493655.271343139</v>
      </c>
      <c r="P165" s="215">
        <f t="shared" si="38"/>
        <v>-447.1515138977708</v>
      </c>
      <c r="Q165" s="81"/>
      <c r="R165" s="223">
        <v>8039360</v>
      </c>
      <c r="S165" s="156">
        <v>2263881.22</v>
      </c>
      <c r="T165" s="156">
        <v>122814.81358090561</v>
      </c>
      <c r="U165" s="156">
        <v>3928780.842680623</v>
      </c>
      <c r="V165" s="156">
        <v>647860.8067421261</v>
      </c>
      <c r="W165" s="156">
        <v>229413.2697108828</v>
      </c>
      <c r="X165" s="214">
        <f t="shared" si="39"/>
        <v>-846609.0472854618</v>
      </c>
      <c r="Y165" s="215">
        <f t="shared" si="40"/>
        <v>-766.8560210919038</v>
      </c>
      <c r="Z165" s="81"/>
      <c r="AA165" s="94">
        <f t="shared" si="41"/>
        <v>352953.7759423228</v>
      </c>
      <c r="AB165" s="153">
        <f t="shared" si="42"/>
        <v>319.704507194133</v>
      </c>
      <c r="AD165" s="216">
        <v>-348395.0613859442</v>
      </c>
      <c r="AE165" s="224">
        <v>-334182.32909928204</v>
      </c>
      <c r="AF165" s="224">
        <v>-318636.93363125465</v>
      </c>
      <c r="AG165" s="224">
        <v>-301866.42326743784</v>
      </c>
      <c r="AH165" s="225">
        <v>-285073.6022972869</v>
      </c>
      <c r="AJ165" s="81">
        <f t="shared" si="43"/>
        <v>1254361.2200000002</v>
      </c>
      <c r="AK165" s="81">
        <f t="shared" si="44"/>
        <v>40938.27119363521</v>
      </c>
      <c r="AL165" s="81">
        <f t="shared" si="45"/>
        <v>1994643.170242954</v>
      </c>
      <c r="AM165" s="81">
        <f t="shared" si="46"/>
        <v>4399562.816555504</v>
      </c>
      <c r="AN165" s="81">
        <f t="shared" si="47"/>
        <v>-348395.0613859442</v>
      </c>
      <c r="AO165" s="81">
        <f t="shared" si="48"/>
        <v>-334182.32909928204</v>
      </c>
      <c r="AP165" s="81">
        <f t="shared" si="49"/>
        <v>-318636.93363125465</v>
      </c>
      <c r="AQ165" s="81">
        <f t="shared" si="50"/>
        <v>-301866.42326743784</v>
      </c>
      <c r="AR165" s="81">
        <f t="shared" si="51"/>
        <v>-285073.6022972869</v>
      </c>
      <c r="AS165" s="82">
        <v>399</v>
      </c>
      <c r="AT165" s="82"/>
      <c r="AU165" s="82"/>
      <c r="AV165" s="82">
        <f t="shared" si="52"/>
        <v>0</v>
      </c>
      <c r="AW165" s="82">
        <v>1231.6312945063958</v>
      </c>
      <c r="AX165" s="149">
        <v>-912.0759743228679</v>
      </c>
      <c r="AY165" s="81">
        <f t="shared" si="53"/>
        <v>-444122.18170704873</v>
      </c>
      <c r="AZ165" s="409"/>
      <c r="BA165" s="81"/>
      <c r="BB165" s="81"/>
      <c r="BC165" s="81"/>
      <c r="BD165" s="81"/>
      <c r="BE165" s="81"/>
      <c r="BF165" s="81"/>
      <c r="BG165" s="81"/>
    </row>
    <row r="166" spans="1:59" ht="12.75">
      <c r="A166" s="81">
        <v>484</v>
      </c>
      <c r="B166" s="81" t="s">
        <v>286</v>
      </c>
      <c r="C166" s="81">
        <v>4</v>
      </c>
      <c r="D166" s="81">
        <v>3115</v>
      </c>
      <c r="E166" s="100">
        <v>8390754.064160073</v>
      </c>
      <c r="F166" s="81">
        <v>3212471</v>
      </c>
      <c r="G166" s="81">
        <v>953006.2438987638</v>
      </c>
      <c r="H166" s="81">
        <v>1252920.9861219744</v>
      </c>
      <c r="I166" s="156">
        <v>2157654.7620977047</v>
      </c>
      <c r="J166" s="156">
        <v>549026.9667401849</v>
      </c>
      <c r="K166" s="81">
        <v>-372520.041792615</v>
      </c>
      <c r="L166" s="81">
        <v>266482</v>
      </c>
      <c r="M166" s="82">
        <v>86800</v>
      </c>
      <c r="N166" s="82">
        <v>30489.701189389805</v>
      </c>
      <c r="O166" s="214">
        <f t="shared" si="37"/>
        <v>-254422.44590467028</v>
      </c>
      <c r="P166" s="215">
        <f t="shared" si="38"/>
        <v>-81.67654764194873</v>
      </c>
      <c r="Q166" s="81"/>
      <c r="R166" s="223">
        <v>23510984</v>
      </c>
      <c r="S166" s="156">
        <v>8421315.16</v>
      </c>
      <c r="T166" s="156">
        <v>1879381.4791829619</v>
      </c>
      <c r="U166" s="156">
        <v>9976698.950918201</v>
      </c>
      <c r="V166" s="156">
        <v>1706065.7489491524</v>
      </c>
      <c r="W166" s="156">
        <v>1306288.2438987638</v>
      </c>
      <c r="X166" s="214">
        <f t="shared" si="39"/>
        <v>-221234.41705092043</v>
      </c>
      <c r="Y166" s="215">
        <f t="shared" si="40"/>
        <v>-71.0222847675507</v>
      </c>
      <c r="Z166" s="81"/>
      <c r="AA166" s="94">
        <f t="shared" si="41"/>
        <v>-33188.028853749856</v>
      </c>
      <c r="AB166" s="153">
        <f t="shared" si="42"/>
        <v>-10.654262874398027</v>
      </c>
      <c r="AD166" s="216">
        <v>46050.70624788335</v>
      </c>
      <c r="AE166" s="224">
        <v>6239.725467459114</v>
      </c>
      <c r="AF166" s="224">
        <v>3376.9599628442256</v>
      </c>
      <c r="AG166" s="224">
        <v>3970.927157852826</v>
      </c>
      <c r="AH166" s="225">
        <v>4627.845022001545</v>
      </c>
      <c r="AJ166" s="81">
        <f t="shared" si="43"/>
        <v>5208844.16</v>
      </c>
      <c r="AK166" s="81">
        <f t="shared" si="44"/>
        <v>626460.4930609874</v>
      </c>
      <c r="AL166" s="81">
        <f t="shared" si="45"/>
        <v>7819044.188820496</v>
      </c>
      <c r="AM166" s="81">
        <f t="shared" si="46"/>
        <v>15120229.935839927</v>
      </c>
      <c r="AN166" s="81">
        <f t="shared" si="47"/>
        <v>46050.70624788335</v>
      </c>
      <c r="AO166" s="81">
        <f t="shared" si="48"/>
        <v>6239.725467459114</v>
      </c>
      <c r="AP166" s="81">
        <f t="shared" si="49"/>
        <v>3376.9599628442256</v>
      </c>
      <c r="AQ166" s="81">
        <f t="shared" si="50"/>
        <v>3970.927157852826</v>
      </c>
      <c r="AR166" s="81">
        <f t="shared" si="51"/>
        <v>4627.845022001545</v>
      </c>
      <c r="AS166" s="82">
        <v>1322</v>
      </c>
      <c r="AT166" s="82"/>
      <c r="AU166" s="82"/>
      <c r="AV166" s="82">
        <f t="shared" si="52"/>
        <v>0</v>
      </c>
      <c r="AW166" s="82">
        <v>6183.047274476896</v>
      </c>
      <c r="AX166" s="149">
        <v>-1379.8142153209965</v>
      </c>
      <c r="AY166" s="81">
        <f t="shared" si="53"/>
        <v>-1157038.7822089675</v>
      </c>
      <c r="AZ166" s="409"/>
      <c r="BA166" s="81"/>
      <c r="BB166" s="81"/>
      <c r="BC166" s="81"/>
      <c r="BD166" s="81"/>
      <c r="BE166" s="81"/>
      <c r="BF166" s="81"/>
      <c r="BG166" s="81"/>
    </row>
    <row r="167" spans="1:59" ht="12.75">
      <c r="A167" s="81">
        <v>489</v>
      </c>
      <c r="B167" s="81" t="s">
        <v>287</v>
      </c>
      <c r="C167" s="81">
        <v>8</v>
      </c>
      <c r="D167" s="81">
        <v>1940</v>
      </c>
      <c r="E167" s="100">
        <v>5657961.5068286825</v>
      </c>
      <c r="F167" s="81">
        <v>1774350</v>
      </c>
      <c r="G167" s="81">
        <v>460911.73074417043</v>
      </c>
      <c r="H167" s="81">
        <v>498841.403683392</v>
      </c>
      <c r="I167" s="156">
        <v>1177052.399543594</v>
      </c>
      <c r="J167" s="156">
        <v>383444.62420345785</v>
      </c>
      <c r="K167" s="81">
        <v>1007442.4999761414</v>
      </c>
      <c r="L167" s="81">
        <v>-380602</v>
      </c>
      <c r="M167" s="82">
        <v>-15500</v>
      </c>
      <c r="N167" s="82">
        <v>16204.06169336515</v>
      </c>
      <c r="O167" s="214">
        <f t="shared" si="37"/>
        <v>-735816.786984561</v>
      </c>
      <c r="P167" s="215">
        <f t="shared" si="38"/>
        <v>-379.28700360028915</v>
      </c>
      <c r="Q167" s="81"/>
      <c r="R167" s="223">
        <v>13878256</v>
      </c>
      <c r="S167" s="156">
        <v>4626161.285</v>
      </c>
      <c r="T167" s="156">
        <v>748262.105525088</v>
      </c>
      <c r="U167" s="156">
        <v>7112933.408661632</v>
      </c>
      <c r="V167" s="156">
        <v>1212265.5259409542</v>
      </c>
      <c r="W167" s="156">
        <v>64809.73074417043</v>
      </c>
      <c r="X167" s="214">
        <f t="shared" si="39"/>
        <v>-113823.94412815571</v>
      </c>
      <c r="Y167" s="215">
        <f t="shared" si="40"/>
        <v>-58.67213614853387</v>
      </c>
      <c r="Z167" s="81"/>
      <c r="AA167" s="94">
        <f t="shared" si="41"/>
        <v>-621992.8428564053</v>
      </c>
      <c r="AB167" s="153">
        <f t="shared" si="42"/>
        <v>-320.6148674517553</v>
      </c>
      <c r="AD167" s="216">
        <v>630003.6274935226</v>
      </c>
      <c r="AE167" s="224">
        <v>596778.8998088527</v>
      </c>
      <c r="AF167" s="224">
        <v>565895.9896711471</v>
      </c>
      <c r="AG167" s="224">
        <v>537165.9082452456</v>
      </c>
      <c r="AH167" s="225">
        <v>508475.03205148905</v>
      </c>
      <c r="AJ167" s="81">
        <f t="shared" si="43"/>
        <v>2851811.285</v>
      </c>
      <c r="AK167" s="81">
        <f t="shared" si="44"/>
        <v>249420.70184169605</v>
      </c>
      <c r="AL167" s="81">
        <f t="shared" si="45"/>
        <v>5935881.009118037</v>
      </c>
      <c r="AM167" s="81">
        <f t="shared" si="46"/>
        <v>8220294.4931713175</v>
      </c>
      <c r="AN167" s="81">
        <f t="shared" si="47"/>
        <v>630003.6274935226</v>
      </c>
      <c r="AO167" s="81">
        <f t="shared" si="48"/>
        <v>596778.8998088527</v>
      </c>
      <c r="AP167" s="81">
        <f t="shared" si="49"/>
        <v>565895.9896711471</v>
      </c>
      <c r="AQ167" s="81">
        <f t="shared" si="50"/>
        <v>537165.9082452456</v>
      </c>
      <c r="AR167" s="81">
        <f t="shared" si="51"/>
        <v>508475.03205148905</v>
      </c>
      <c r="AS167" s="82">
        <v>913</v>
      </c>
      <c r="AT167" s="82"/>
      <c r="AU167" s="82"/>
      <c r="AV167" s="82">
        <f t="shared" si="52"/>
        <v>0</v>
      </c>
      <c r="AW167" s="82">
        <v>4981.817916587255</v>
      </c>
      <c r="AX167" s="149">
        <v>-1019.4876447117198</v>
      </c>
      <c r="AY167" s="81">
        <f t="shared" si="53"/>
        <v>-828820.9017374964</v>
      </c>
      <c r="AZ167" s="409"/>
      <c r="BA167" s="81"/>
      <c r="BB167" s="81"/>
      <c r="BC167" s="81"/>
      <c r="BD167" s="81"/>
      <c r="BE167" s="81"/>
      <c r="BF167" s="81"/>
      <c r="BG167" s="81"/>
    </row>
    <row r="168" spans="1:111" ht="12.75">
      <c r="A168" s="156">
        <v>491</v>
      </c>
      <c r="B168" s="156" t="s">
        <v>288</v>
      </c>
      <c r="C168" s="81">
        <v>10</v>
      </c>
      <c r="D168" s="156">
        <v>53818</v>
      </c>
      <c r="E168" s="223">
        <v>138070253.9410502</v>
      </c>
      <c r="F168" s="156">
        <v>80601342</v>
      </c>
      <c r="G168" s="156">
        <v>18604372.319650423</v>
      </c>
      <c r="H168" s="156">
        <v>10034292.646008894</v>
      </c>
      <c r="I168" s="156">
        <v>21575312.34711588</v>
      </c>
      <c r="J168" s="156">
        <v>8434144.891374815</v>
      </c>
      <c r="K168" s="156">
        <v>-2233965.1195302024</v>
      </c>
      <c r="L168" s="156">
        <v>531687</v>
      </c>
      <c r="M168" s="84">
        <v>1880000</v>
      </c>
      <c r="N168" s="84">
        <v>598367.4533705201</v>
      </c>
      <c r="O168" s="214">
        <f t="shared" si="37"/>
        <v>1955299.59694013</v>
      </c>
      <c r="P168" s="215">
        <f t="shared" si="38"/>
        <v>36.33170309078989</v>
      </c>
      <c r="Q168" s="156"/>
      <c r="R168" s="223">
        <v>351424668</v>
      </c>
      <c r="S168" s="156">
        <v>190103402.12</v>
      </c>
      <c r="T168" s="156">
        <v>15051438.96901334</v>
      </c>
      <c r="U168" s="156">
        <v>102863214.35502067</v>
      </c>
      <c r="V168" s="156">
        <v>25591122.792761367</v>
      </c>
      <c r="W168" s="156">
        <v>21016059.319650423</v>
      </c>
      <c r="X168" s="214">
        <f t="shared" si="39"/>
        <v>3200569.556445837</v>
      </c>
      <c r="Y168" s="215">
        <f t="shared" si="40"/>
        <v>59.47024334694409</v>
      </c>
      <c r="Z168" s="156"/>
      <c r="AA168" s="94">
        <f t="shared" si="41"/>
        <v>-1245269.959505707</v>
      </c>
      <c r="AB168" s="153">
        <f t="shared" si="42"/>
        <v>-23.138540256154204</v>
      </c>
      <c r="AC168" s="314"/>
      <c r="AD168" s="368">
        <v>1467499.035588288</v>
      </c>
      <c r="AE168" s="369">
        <v>545803.9868596486</v>
      </c>
      <c r="AF168" s="369">
        <v>58343.89447202264</v>
      </c>
      <c r="AG168" s="369">
        <v>68605.89334873945</v>
      </c>
      <c r="AH168" s="370">
        <v>79955.49386647805</v>
      </c>
      <c r="AI168" s="314"/>
      <c r="AJ168" s="156">
        <f t="shared" si="43"/>
        <v>109502060.12</v>
      </c>
      <c r="AK168" s="156">
        <f t="shared" si="44"/>
        <v>5017146.323004447</v>
      </c>
      <c r="AL168" s="81">
        <f t="shared" si="45"/>
        <v>81287902.0079048</v>
      </c>
      <c r="AM168" s="156">
        <f t="shared" si="46"/>
        <v>213354414.0589498</v>
      </c>
      <c r="AN168" s="81">
        <f t="shared" si="47"/>
        <v>1467499.035588288</v>
      </c>
      <c r="AO168" s="81">
        <f t="shared" si="48"/>
        <v>545803.9868596486</v>
      </c>
      <c r="AP168" s="81">
        <f t="shared" si="49"/>
        <v>58343.89447202264</v>
      </c>
      <c r="AQ168" s="81">
        <f t="shared" si="50"/>
        <v>68605.89334873945</v>
      </c>
      <c r="AR168" s="81">
        <f t="shared" si="51"/>
        <v>79955.49386647805</v>
      </c>
      <c r="AS168" s="84">
        <v>21474</v>
      </c>
      <c r="AT168" s="82"/>
      <c r="AU168" s="82">
        <v>699</v>
      </c>
      <c r="AV168" s="82">
        <f t="shared" si="52"/>
        <v>699</v>
      </c>
      <c r="AW168" s="84">
        <v>70685.89093505045</v>
      </c>
      <c r="AX168" s="371">
        <v>-8305.43913863216</v>
      </c>
      <c r="AY168" s="156">
        <f t="shared" si="53"/>
        <v>-17156977.90138655</v>
      </c>
      <c r="AZ168" s="409"/>
      <c r="BA168" s="81"/>
      <c r="BB168" s="81"/>
      <c r="BC168" s="81"/>
      <c r="BD168" s="81"/>
      <c r="BE168" s="81"/>
      <c r="BF168" s="81"/>
      <c r="BG168" s="81"/>
      <c r="BH168" s="314"/>
      <c r="BI168" s="314"/>
      <c r="BJ168" s="314"/>
      <c r="BK168" s="314"/>
      <c r="BL168" s="314"/>
      <c r="BM168" s="314"/>
      <c r="BN168" s="314"/>
      <c r="BO168" s="314"/>
      <c r="BP168" s="314"/>
      <c r="BQ168" s="314"/>
      <c r="BR168" s="314"/>
      <c r="BS168" s="314"/>
      <c r="BT168" s="314"/>
      <c r="BU168" s="314"/>
      <c r="BV168" s="314"/>
      <c r="BW168" s="314"/>
      <c r="BX168" s="314"/>
      <c r="BY168" s="314"/>
      <c r="BZ168" s="314"/>
      <c r="CA168" s="314"/>
      <c r="CB168" s="314"/>
      <c r="CC168" s="314"/>
      <c r="CD168" s="314"/>
      <c r="CE168" s="314"/>
      <c r="CF168" s="314"/>
      <c r="CG168" s="314"/>
      <c r="CH168" s="314"/>
      <c r="CI168" s="314"/>
      <c r="CJ168" s="314"/>
      <c r="CK168" s="314"/>
      <c r="CL168" s="314"/>
      <c r="CM168" s="314"/>
      <c r="CN168" s="314"/>
      <c r="CO168" s="314"/>
      <c r="CP168" s="314"/>
      <c r="CQ168" s="314"/>
      <c r="CR168" s="314"/>
      <c r="CS168" s="314"/>
      <c r="CT168" s="314"/>
      <c r="CU168" s="314"/>
      <c r="CV168" s="314"/>
      <c r="CW168" s="314"/>
      <c r="CX168" s="314"/>
      <c r="CY168" s="314"/>
      <c r="CZ168" s="314"/>
      <c r="DA168" s="314"/>
      <c r="DB168" s="314"/>
      <c r="DC168" s="314"/>
      <c r="DD168" s="314"/>
      <c r="DE168" s="314"/>
      <c r="DF168" s="314"/>
      <c r="DG168" s="314"/>
    </row>
    <row r="169" spans="1:59" ht="12.75">
      <c r="A169" s="81">
        <v>494</v>
      </c>
      <c r="B169" s="81" t="s">
        <v>289</v>
      </c>
      <c r="C169" s="81">
        <v>17</v>
      </c>
      <c r="D169" s="81">
        <v>8980</v>
      </c>
      <c r="E169" s="100">
        <v>24892791.855909474</v>
      </c>
      <c r="F169" s="81">
        <v>10645030</v>
      </c>
      <c r="G169" s="81">
        <v>3453465.830423664</v>
      </c>
      <c r="H169" s="81">
        <v>469653.6092193792</v>
      </c>
      <c r="I169" s="156">
        <v>12780522.003451437</v>
      </c>
      <c r="J169" s="156">
        <v>1219954.7412660727</v>
      </c>
      <c r="K169" s="81">
        <v>-2042540.64590389</v>
      </c>
      <c r="L169" s="81">
        <v>-334954</v>
      </c>
      <c r="M169" s="82">
        <v>-272650</v>
      </c>
      <c r="N169" s="82">
        <v>85740.85637620938</v>
      </c>
      <c r="O169" s="214">
        <f t="shared" si="37"/>
        <v>1111430.5389233977</v>
      </c>
      <c r="P169" s="215">
        <f t="shared" si="38"/>
        <v>123.76732059280597</v>
      </c>
      <c r="Q169" s="81"/>
      <c r="R169" s="223">
        <v>59743012</v>
      </c>
      <c r="S169" s="156">
        <v>26819810.33</v>
      </c>
      <c r="T169" s="156">
        <v>704480.4138290688</v>
      </c>
      <c r="U169" s="156">
        <v>24678179.303969543</v>
      </c>
      <c r="V169" s="156">
        <v>3712568.120117318</v>
      </c>
      <c r="W169" s="156">
        <v>2845861.830423664</v>
      </c>
      <c r="X169" s="214">
        <f t="shared" si="39"/>
        <v>-982112.0016604066</v>
      </c>
      <c r="Y169" s="215">
        <f t="shared" si="40"/>
        <v>-109.36659261251744</v>
      </c>
      <c r="Z169" s="81"/>
      <c r="AA169" s="94">
        <f t="shared" si="41"/>
        <v>2093542.5405838042</v>
      </c>
      <c r="AB169" s="153">
        <f t="shared" si="42"/>
        <v>233.1339132053234</v>
      </c>
      <c r="AD169" s="216">
        <v>-2056461.6921089124</v>
      </c>
      <c r="AE169" s="224">
        <v>-1940854.5037626934</v>
      </c>
      <c r="AF169" s="224">
        <v>-1814407.3558434134</v>
      </c>
      <c r="AG169" s="224">
        <v>-1677995.0523406274</v>
      </c>
      <c r="AH169" s="225">
        <v>-1541401.2730725522</v>
      </c>
      <c r="AJ169" s="81">
        <f t="shared" si="43"/>
        <v>16174780.329999998</v>
      </c>
      <c r="AK169" s="81">
        <f t="shared" si="44"/>
        <v>234826.80460968957</v>
      </c>
      <c r="AL169" s="81">
        <f t="shared" si="45"/>
        <v>11897657.300518107</v>
      </c>
      <c r="AM169" s="81">
        <f t="shared" si="46"/>
        <v>34850220.144090526</v>
      </c>
      <c r="AN169" s="81">
        <f t="shared" si="47"/>
        <v>-2056461.6921089124</v>
      </c>
      <c r="AO169" s="81">
        <f t="shared" si="48"/>
        <v>-1940854.5037626934</v>
      </c>
      <c r="AP169" s="81">
        <f t="shared" si="49"/>
        <v>-1814407.3558434134</v>
      </c>
      <c r="AQ169" s="81">
        <f t="shared" si="50"/>
        <v>-1677995.0523406274</v>
      </c>
      <c r="AR169" s="81">
        <f t="shared" si="51"/>
        <v>-1541401.2730725522</v>
      </c>
      <c r="AS169" s="82">
        <v>3419</v>
      </c>
      <c r="AT169" s="82">
        <v>122</v>
      </c>
      <c r="AU169" s="82"/>
      <c r="AV169" s="82">
        <f t="shared" si="52"/>
        <v>122</v>
      </c>
      <c r="AW169" s="82">
        <v>9378.93179854478</v>
      </c>
      <c r="AX169" s="149">
        <v>-3323.6597292628803</v>
      </c>
      <c r="AY169" s="81">
        <f t="shared" si="53"/>
        <v>-2492613.378851245</v>
      </c>
      <c r="AZ169" s="409"/>
      <c r="BA169" s="81"/>
      <c r="BB169" s="81"/>
      <c r="BC169" s="81"/>
      <c r="BD169" s="81"/>
      <c r="BE169" s="81"/>
      <c r="BF169" s="81"/>
      <c r="BG169" s="81"/>
    </row>
    <row r="170" spans="1:59" ht="12.75">
      <c r="A170" s="81">
        <v>495</v>
      </c>
      <c r="B170" s="81" t="s">
        <v>290</v>
      </c>
      <c r="C170" s="81">
        <v>13</v>
      </c>
      <c r="D170" s="81">
        <v>1584</v>
      </c>
      <c r="E170" s="100">
        <v>6109586.684971383</v>
      </c>
      <c r="F170" s="81">
        <v>1726687</v>
      </c>
      <c r="G170" s="81">
        <v>380699.4134183904</v>
      </c>
      <c r="H170" s="81">
        <v>766239.5987348256</v>
      </c>
      <c r="I170" s="156">
        <v>1134555.632719853</v>
      </c>
      <c r="J170" s="156">
        <v>312779.4551184458</v>
      </c>
      <c r="K170" s="81">
        <v>-227461.5171307376</v>
      </c>
      <c r="L170" s="81">
        <v>-524466</v>
      </c>
      <c r="M170" s="82">
        <v>-22500</v>
      </c>
      <c r="N170" s="82">
        <v>13927.906353795917</v>
      </c>
      <c r="O170" s="214">
        <f t="shared" si="37"/>
        <v>-2549125.19575681</v>
      </c>
      <c r="P170" s="215">
        <f t="shared" si="38"/>
        <v>-1609.2962094424304</v>
      </c>
      <c r="Q170" s="81"/>
      <c r="R170" s="223">
        <v>13944560</v>
      </c>
      <c r="S170" s="156">
        <v>4009174.7199999997</v>
      </c>
      <c r="T170" s="156">
        <v>1149359.3981022383</v>
      </c>
      <c r="U170" s="156">
        <v>5287542.777520185</v>
      </c>
      <c r="V170" s="156">
        <v>978899.1938258432</v>
      </c>
      <c r="W170" s="156">
        <v>-166266.58658160962</v>
      </c>
      <c r="X170" s="214">
        <f t="shared" si="39"/>
        <v>-2685850.4971333444</v>
      </c>
      <c r="Y170" s="215">
        <f t="shared" si="40"/>
        <v>-1695.6126875841821</v>
      </c>
      <c r="Z170" s="81"/>
      <c r="AA170" s="94">
        <f t="shared" si="41"/>
        <v>136725.30137653463</v>
      </c>
      <c r="AB170" s="153">
        <f t="shared" si="42"/>
        <v>86.31647814175166</v>
      </c>
      <c r="AD170" s="216">
        <v>-130184.5370130332</v>
      </c>
      <c r="AE170" s="224">
        <v>-109792.35590608329</v>
      </c>
      <c r="AF170" s="224">
        <v>-87488.09284326146</v>
      </c>
      <c r="AG170" s="224">
        <v>-63426.05623430686</v>
      </c>
      <c r="AH170" s="225">
        <v>-39332.008755394636</v>
      </c>
      <c r="AJ170" s="81">
        <f t="shared" si="43"/>
        <v>2282487.7199999997</v>
      </c>
      <c r="AK170" s="81">
        <f t="shared" si="44"/>
        <v>383119.7993674127</v>
      </c>
      <c r="AL170" s="81">
        <f t="shared" si="45"/>
        <v>4152987.1448003324</v>
      </c>
      <c r="AM170" s="81">
        <f t="shared" si="46"/>
        <v>7834973.315028617</v>
      </c>
      <c r="AN170" s="81">
        <f t="shared" si="47"/>
        <v>-130184.5370130332</v>
      </c>
      <c r="AO170" s="81">
        <f t="shared" si="48"/>
        <v>-109792.35590608329</v>
      </c>
      <c r="AP170" s="81">
        <f t="shared" si="49"/>
        <v>-87488.09284326146</v>
      </c>
      <c r="AQ170" s="81">
        <f t="shared" si="50"/>
        <v>-63426.05623430686</v>
      </c>
      <c r="AR170" s="81">
        <f t="shared" si="51"/>
        <v>-39332.008755394636</v>
      </c>
      <c r="AS170" s="82">
        <v>603</v>
      </c>
      <c r="AT170" s="82">
        <v>1</v>
      </c>
      <c r="AU170" s="82"/>
      <c r="AV170" s="82">
        <f t="shared" si="52"/>
        <v>1</v>
      </c>
      <c r="AW170" s="82">
        <v>3422.6325244339364</v>
      </c>
      <c r="AX170" s="149">
        <v>-728.3305978298321</v>
      </c>
      <c r="AY170" s="81">
        <f t="shared" si="53"/>
        <v>-666119.7387073974</v>
      </c>
      <c r="AZ170" s="409"/>
      <c r="BA170" s="81"/>
      <c r="BB170" s="81"/>
      <c r="BC170" s="81"/>
      <c r="BD170" s="81"/>
      <c r="BE170" s="81"/>
      <c r="BF170" s="81"/>
      <c r="BG170" s="81"/>
    </row>
    <row r="171" spans="1:59" ht="12.75">
      <c r="A171" s="81">
        <v>498</v>
      </c>
      <c r="B171" s="81" t="s">
        <v>291</v>
      </c>
      <c r="C171" s="81">
        <v>19</v>
      </c>
      <c r="D171" s="81">
        <v>2299</v>
      </c>
      <c r="E171" s="100">
        <v>8351749.37137367</v>
      </c>
      <c r="F171" s="81">
        <v>3079481</v>
      </c>
      <c r="G171" s="81">
        <v>911597.3822489587</v>
      </c>
      <c r="H171" s="81">
        <v>630118.3557515616</v>
      </c>
      <c r="I171" s="156">
        <v>3052284.4249435132</v>
      </c>
      <c r="J171" s="156">
        <v>416041.49283805164</v>
      </c>
      <c r="K171" s="81">
        <v>-469139.1407543978</v>
      </c>
      <c r="L171" s="81">
        <v>148873</v>
      </c>
      <c r="M171" s="82">
        <v>-56000</v>
      </c>
      <c r="N171" s="82">
        <v>24174.10226545547</v>
      </c>
      <c r="O171" s="214">
        <f t="shared" si="37"/>
        <v>-614318.7540805275</v>
      </c>
      <c r="P171" s="215">
        <f t="shared" si="38"/>
        <v>-267.2112892912255</v>
      </c>
      <c r="Q171" s="81"/>
      <c r="R171" s="223">
        <v>19462296</v>
      </c>
      <c r="S171" s="156">
        <v>7391008.7</v>
      </c>
      <c r="T171" s="156">
        <v>945177.5336273424</v>
      </c>
      <c r="U171" s="156">
        <v>8488929.455561288</v>
      </c>
      <c r="V171" s="156">
        <v>1281845.1845468672</v>
      </c>
      <c r="W171" s="156">
        <v>1004470.3822489586</v>
      </c>
      <c r="X171" s="214">
        <f t="shared" si="39"/>
        <v>-350864.74401554465</v>
      </c>
      <c r="Y171" s="215">
        <f t="shared" si="40"/>
        <v>-152.61624359092852</v>
      </c>
      <c r="Z171" s="81"/>
      <c r="AA171" s="94">
        <f t="shared" si="41"/>
        <v>-263454.0100649828</v>
      </c>
      <c r="AB171" s="153">
        <f t="shared" si="42"/>
        <v>-114.595045700297</v>
      </c>
      <c r="AD171" s="216">
        <v>272947.20278700866</v>
      </c>
      <c r="AE171" s="224">
        <v>233574.1878658459</v>
      </c>
      <c r="AF171" s="224">
        <v>196976.34745008036</v>
      </c>
      <c r="AG171" s="224">
        <v>162929.72002835476</v>
      </c>
      <c r="AH171" s="225">
        <v>128929.55282760928</v>
      </c>
      <c r="AJ171" s="81">
        <f t="shared" si="43"/>
        <v>4311527.7</v>
      </c>
      <c r="AK171" s="81">
        <f t="shared" si="44"/>
        <v>315059.17787578085</v>
      </c>
      <c r="AL171" s="81">
        <f t="shared" si="45"/>
        <v>5436645.030617774</v>
      </c>
      <c r="AM171" s="81">
        <f t="shared" si="46"/>
        <v>11110546.62862633</v>
      </c>
      <c r="AN171" s="81">
        <f t="shared" si="47"/>
        <v>272947.20278700866</v>
      </c>
      <c r="AO171" s="81">
        <f t="shared" si="48"/>
        <v>233574.1878658459</v>
      </c>
      <c r="AP171" s="81">
        <f t="shared" si="49"/>
        <v>196976.34745008036</v>
      </c>
      <c r="AQ171" s="81">
        <f t="shared" si="50"/>
        <v>162929.72002835476</v>
      </c>
      <c r="AR171" s="81">
        <f t="shared" si="51"/>
        <v>128929.55282760928</v>
      </c>
      <c r="AS171" s="82">
        <v>1074</v>
      </c>
      <c r="AT171" s="82">
        <v>20</v>
      </c>
      <c r="AU171" s="82"/>
      <c r="AV171" s="82">
        <f t="shared" si="52"/>
        <v>20</v>
      </c>
      <c r="AW171" s="82">
        <v>4285.837511361973</v>
      </c>
      <c r="AX171" s="149">
        <v>-593.3049340284797</v>
      </c>
      <c r="AY171" s="81">
        <f t="shared" si="53"/>
        <v>-865803.6917088155</v>
      </c>
      <c r="AZ171" s="409"/>
      <c r="BA171" s="81"/>
      <c r="BB171" s="81"/>
      <c r="BC171" s="81"/>
      <c r="BD171" s="81"/>
      <c r="BE171" s="81"/>
      <c r="BF171" s="81"/>
      <c r="BG171" s="81"/>
    </row>
    <row r="172" spans="1:59" ht="12.75">
      <c r="A172" s="81">
        <v>499</v>
      </c>
      <c r="B172" s="81" t="s">
        <v>292</v>
      </c>
      <c r="C172" s="81">
        <v>15</v>
      </c>
      <c r="D172" s="81">
        <v>19444</v>
      </c>
      <c r="E172" s="100">
        <v>51693165.54007982</v>
      </c>
      <c r="F172" s="81">
        <v>27866474</v>
      </c>
      <c r="G172" s="81">
        <v>4794165.505333639</v>
      </c>
      <c r="H172" s="81">
        <v>1771805.2126886498</v>
      </c>
      <c r="I172" s="156">
        <v>19463131.181400724</v>
      </c>
      <c r="J172" s="156">
        <v>2725863.2839271137</v>
      </c>
      <c r="K172" s="81">
        <v>768088.8153159347</v>
      </c>
      <c r="L172" s="81">
        <v>-1943622</v>
      </c>
      <c r="M172" s="82">
        <v>-375000</v>
      </c>
      <c r="N172" s="82">
        <v>237691.69358312807</v>
      </c>
      <c r="O172" s="214">
        <f t="shared" si="37"/>
        <v>3615432.1521693766</v>
      </c>
      <c r="P172" s="215">
        <f t="shared" si="38"/>
        <v>185.94076075752812</v>
      </c>
      <c r="Q172" s="81"/>
      <c r="R172" s="223">
        <v>115768856</v>
      </c>
      <c r="S172" s="156">
        <v>72471454.92</v>
      </c>
      <c r="T172" s="156">
        <v>2657707.8190329745</v>
      </c>
      <c r="U172" s="156">
        <v>33707863.72112519</v>
      </c>
      <c r="V172" s="156">
        <v>8178811.15044541</v>
      </c>
      <c r="W172" s="156">
        <v>2475543.5053336388</v>
      </c>
      <c r="X172" s="214">
        <f t="shared" si="39"/>
        <v>3722525.115937218</v>
      </c>
      <c r="Y172" s="215">
        <f t="shared" si="40"/>
        <v>191.44852478590917</v>
      </c>
      <c r="Z172" s="81"/>
      <c r="AA172" s="94">
        <f t="shared" si="41"/>
        <v>-107092.96376784146</v>
      </c>
      <c r="AB172" s="153">
        <f t="shared" si="42"/>
        <v>-5.507764028381066</v>
      </c>
      <c r="AD172" s="216">
        <v>187382.4980379979</v>
      </c>
      <c r="AE172" s="224">
        <v>38948.706898643664</v>
      </c>
      <c r="AF172" s="224">
        <v>21079.16838444402</v>
      </c>
      <c r="AG172" s="224">
        <v>24786.744031232858</v>
      </c>
      <c r="AH172" s="225">
        <v>28887.261190304343</v>
      </c>
      <c r="AJ172" s="81">
        <f t="shared" si="43"/>
        <v>44604980.92</v>
      </c>
      <c r="AK172" s="81">
        <f t="shared" si="44"/>
        <v>885902.6063443248</v>
      </c>
      <c r="AL172" s="81">
        <f t="shared" si="45"/>
        <v>14244732.53972447</v>
      </c>
      <c r="AM172" s="81">
        <f t="shared" si="46"/>
        <v>64075690.45992018</v>
      </c>
      <c r="AN172" s="81">
        <f t="shared" si="47"/>
        <v>187382.4980379979</v>
      </c>
      <c r="AO172" s="81">
        <f t="shared" si="48"/>
        <v>38948.706898643664</v>
      </c>
      <c r="AP172" s="81">
        <f t="shared" si="49"/>
        <v>21079.16838444402</v>
      </c>
      <c r="AQ172" s="81">
        <f t="shared" si="50"/>
        <v>24786.744031232858</v>
      </c>
      <c r="AR172" s="81">
        <f t="shared" si="51"/>
        <v>28887.261190304343</v>
      </c>
      <c r="AS172" s="82">
        <v>8238</v>
      </c>
      <c r="AT172" s="82">
        <v>320</v>
      </c>
      <c r="AU172" s="82"/>
      <c r="AV172" s="82">
        <f t="shared" si="52"/>
        <v>320</v>
      </c>
      <c r="AW172" s="82">
        <v>14946.100598307856</v>
      </c>
      <c r="AX172" s="149">
        <v>138.15309251069385</v>
      </c>
      <c r="AY172" s="81">
        <f t="shared" si="53"/>
        <v>-5452947.866518296</v>
      </c>
      <c r="AZ172" s="409"/>
      <c r="BA172" s="81"/>
      <c r="BB172" s="81"/>
      <c r="BC172" s="81"/>
      <c r="BD172" s="81"/>
      <c r="BE172" s="81"/>
      <c r="BF172" s="81"/>
      <c r="BG172" s="81"/>
    </row>
    <row r="173" spans="1:59" ht="12.75">
      <c r="A173" s="81">
        <v>500</v>
      </c>
      <c r="B173" s="81" t="s">
        <v>293</v>
      </c>
      <c r="C173" s="81">
        <v>13</v>
      </c>
      <c r="D173" s="81">
        <v>10170</v>
      </c>
      <c r="E173" s="100">
        <v>27044181.215746906</v>
      </c>
      <c r="F173" s="81">
        <v>12560201</v>
      </c>
      <c r="G173" s="81">
        <v>2193376.281761875</v>
      </c>
      <c r="H173" s="81">
        <v>1174868.4922460641</v>
      </c>
      <c r="I173" s="156">
        <v>8278299.266114409</v>
      </c>
      <c r="J173" s="156">
        <v>1026839.0095797048</v>
      </c>
      <c r="K173" s="81">
        <v>2047398.3383324884</v>
      </c>
      <c r="L173" s="81">
        <v>-669433</v>
      </c>
      <c r="M173" s="82">
        <v>36800</v>
      </c>
      <c r="N173" s="82">
        <v>130571.6660213116</v>
      </c>
      <c r="O173" s="214">
        <f t="shared" si="37"/>
        <v>-265260.161691051</v>
      </c>
      <c r="P173" s="215">
        <f t="shared" si="38"/>
        <v>-26.082611769031562</v>
      </c>
      <c r="Q173" s="81"/>
      <c r="R173" s="223">
        <v>53801552</v>
      </c>
      <c r="S173" s="156">
        <v>36962367.195</v>
      </c>
      <c r="T173" s="156">
        <v>1762302.738369096</v>
      </c>
      <c r="U173" s="156">
        <v>11492208.584344568</v>
      </c>
      <c r="V173" s="156">
        <v>2959375.408181428</v>
      </c>
      <c r="W173" s="156">
        <v>1560743.281761875</v>
      </c>
      <c r="X173" s="214">
        <f t="shared" si="39"/>
        <v>935445.2076569647</v>
      </c>
      <c r="Y173" s="215">
        <f t="shared" si="40"/>
        <v>91.98084637728266</v>
      </c>
      <c r="Z173" s="81"/>
      <c r="AA173" s="94">
        <f t="shared" si="41"/>
        <v>-1200705.3693480156</v>
      </c>
      <c r="AB173" s="153">
        <f t="shared" si="42"/>
        <v>-118.06345814631422</v>
      </c>
      <c r="AD173" s="216">
        <v>1242700.0496364147</v>
      </c>
      <c r="AE173" s="224">
        <v>1068527.1215162643</v>
      </c>
      <c r="AF173" s="224">
        <v>906630.6286809726</v>
      </c>
      <c r="AG173" s="224">
        <v>756019.8409998289</v>
      </c>
      <c r="AH173" s="225">
        <v>605614.5776542085</v>
      </c>
      <c r="AJ173" s="81">
        <f t="shared" si="43"/>
        <v>24402166.195</v>
      </c>
      <c r="AK173" s="81">
        <f t="shared" si="44"/>
        <v>587434.246123032</v>
      </c>
      <c r="AL173" s="81">
        <f t="shared" si="45"/>
        <v>3213909.3182301586</v>
      </c>
      <c r="AM173" s="81">
        <f t="shared" si="46"/>
        <v>26757370.784253094</v>
      </c>
      <c r="AN173" s="81">
        <f t="shared" si="47"/>
        <v>1242700.0496364147</v>
      </c>
      <c r="AO173" s="81">
        <f t="shared" si="48"/>
        <v>1068527.1215162643</v>
      </c>
      <c r="AP173" s="81">
        <f t="shared" si="49"/>
        <v>906630.6286809726</v>
      </c>
      <c r="AQ173" s="81">
        <f t="shared" si="50"/>
        <v>756019.8409998289</v>
      </c>
      <c r="AR173" s="81">
        <f t="shared" si="51"/>
        <v>605614.5776542085</v>
      </c>
      <c r="AS173" s="82">
        <v>3815</v>
      </c>
      <c r="AT173" s="82">
        <v>68</v>
      </c>
      <c r="AU173" s="82"/>
      <c r="AV173" s="82">
        <f t="shared" si="52"/>
        <v>68</v>
      </c>
      <c r="AW173" s="82">
        <v>4418.917732161719</v>
      </c>
      <c r="AX173" s="149">
        <v>958.0110640691507</v>
      </c>
      <c r="AY173" s="81">
        <f t="shared" si="53"/>
        <v>-1932536.3986017231</v>
      </c>
      <c r="AZ173" s="409"/>
      <c r="BA173" s="81"/>
      <c r="BB173" s="81"/>
      <c r="BC173" s="81"/>
      <c r="BD173" s="81"/>
      <c r="BE173" s="81"/>
      <c r="BF173" s="81"/>
      <c r="BG173" s="81"/>
    </row>
    <row r="174" spans="1:111" s="314" customFormat="1" ht="12.75">
      <c r="A174" s="81">
        <v>503</v>
      </c>
      <c r="B174" s="81" t="s">
        <v>294</v>
      </c>
      <c r="C174" s="81">
        <v>2</v>
      </c>
      <c r="D174" s="81">
        <v>7766</v>
      </c>
      <c r="E174" s="100">
        <v>19293195.13032509</v>
      </c>
      <c r="F174" s="81">
        <v>10369381</v>
      </c>
      <c r="G174" s="81">
        <v>1468770.4777706407</v>
      </c>
      <c r="H174" s="81">
        <v>648545.9188624417</v>
      </c>
      <c r="I174" s="156">
        <v>4895013.575224453</v>
      </c>
      <c r="J174" s="156">
        <v>1284100.8428411759</v>
      </c>
      <c r="K174" s="81">
        <v>-2071787.8475438696</v>
      </c>
      <c r="L174" s="81">
        <v>-105319</v>
      </c>
      <c r="M174" s="82">
        <v>-31000</v>
      </c>
      <c r="N174" s="82">
        <v>81202.41940539314</v>
      </c>
      <c r="O174" s="214">
        <f t="shared" si="37"/>
        <v>-2754287.743764855</v>
      </c>
      <c r="P174" s="215">
        <f t="shared" si="38"/>
        <v>-354.65976612990664</v>
      </c>
      <c r="Q174" s="81"/>
      <c r="R174" s="223">
        <v>50431444</v>
      </c>
      <c r="S174" s="156">
        <v>25586121.474999998</v>
      </c>
      <c r="T174" s="156">
        <v>972818.8782936624</v>
      </c>
      <c r="U174" s="156">
        <v>14075951.832746025</v>
      </c>
      <c r="V174" s="156">
        <v>3957880.667891415</v>
      </c>
      <c r="W174" s="156">
        <v>1332451.4777706407</v>
      </c>
      <c r="X174" s="214">
        <f t="shared" si="39"/>
        <v>-4506219.668298259</v>
      </c>
      <c r="Y174" s="215">
        <f t="shared" si="40"/>
        <v>-580.2497641383285</v>
      </c>
      <c r="Z174" s="81"/>
      <c r="AA174" s="94">
        <f t="shared" si="41"/>
        <v>1751931.9245334044</v>
      </c>
      <c r="AB174" s="153">
        <f t="shared" si="42"/>
        <v>225.5899980084219</v>
      </c>
      <c r="AC174"/>
      <c r="AD174" s="216">
        <v>-1719864.0103623504</v>
      </c>
      <c r="AE174" s="224">
        <v>-1619885.6779907756</v>
      </c>
      <c r="AF174" s="224">
        <v>-1510532.8326966632</v>
      </c>
      <c r="AG174" s="224">
        <v>-1392562.014322205</v>
      </c>
      <c r="AH174" s="225">
        <v>-1274434.2537658715</v>
      </c>
      <c r="AI174" s="287"/>
      <c r="AJ174" s="81">
        <f t="shared" si="43"/>
        <v>15216740.474999998</v>
      </c>
      <c r="AK174" s="81">
        <f t="shared" si="44"/>
        <v>324272.9594312208</v>
      </c>
      <c r="AL174" s="81">
        <f t="shared" si="45"/>
        <v>9180938.257521573</v>
      </c>
      <c r="AM174" s="81">
        <f t="shared" si="46"/>
        <v>31138248.86967491</v>
      </c>
      <c r="AN174" s="81">
        <f t="shared" si="47"/>
        <v>-1719864.0103623504</v>
      </c>
      <c r="AO174" s="81">
        <f t="shared" si="48"/>
        <v>-1619885.6779907756</v>
      </c>
      <c r="AP174" s="81">
        <f t="shared" si="49"/>
        <v>-1510532.8326966632</v>
      </c>
      <c r="AQ174" s="81">
        <f t="shared" si="50"/>
        <v>-1392562.014322205</v>
      </c>
      <c r="AR174" s="81">
        <f t="shared" si="51"/>
        <v>-1274434.2537658715</v>
      </c>
      <c r="AS174" s="82">
        <v>2480</v>
      </c>
      <c r="AT174" s="82"/>
      <c r="AU174" s="82"/>
      <c r="AV174" s="82">
        <f t="shared" si="52"/>
        <v>0</v>
      </c>
      <c r="AW174" s="82">
        <v>7947.660896710875</v>
      </c>
      <c r="AX174" s="149">
        <v>-1667.2224660108373</v>
      </c>
      <c r="AY174" s="81">
        <f t="shared" si="53"/>
        <v>-2673779.825050239</v>
      </c>
      <c r="AZ174" s="409"/>
      <c r="BA174" s="81"/>
      <c r="BB174" s="81"/>
      <c r="BC174" s="81"/>
      <c r="BD174" s="81"/>
      <c r="BE174" s="81"/>
      <c r="BF174" s="81"/>
      <c r="BG174" s="81"/>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row>
    <row r="175" spans="1:59" ht="12.75">
      <c r="A175" s="81">
        <v>504</v>
      </c>
      <c r="B175" s="81" t="s">
        <v>295</v>
      </c>
      <c r="C175" s="81">
        <v>1</v>
      </c>
      <c r="D175" s="81">
        <v>1922</v>
      </c>
      <c r="E175" s="100">
        <v>4069868.734132764</v>
      </c>
      <c r="F175" s="81">
        <v>2357954</v>
      </c>
      <c r="G175" s="81">
        <v>366947.54141447414</v>
      </c>
      <c r="H175" s="81">
        <v>290667.6447355296</v>
      </c>
      <c r="I175" s="156">
        <v>1594618.2913201428</v>
      </c>
      <c r="J175" s="156">
        <v>348161.2485813928</v>
      </c>
      <c r="K175" s="81">
        <v>-374350.4468293666</v>
      </c>
      <c r="L175" s="81">
        <v>-411778</v>
      </c>
      <c r="M175" s="82">
        <v>283300</v>
      </c>
      <c r="N175" s="82">
        <v>18007.966737148367</v>
      </c>
      <c r="O175" s="214">
        <f t="shared" si="37"/>
        <v>403659.5118265571</v>
      </c>
      <c r="P175" s="215">
        <f t="shared" si="38"/>
        <v>210.02055766210046</v>
      </c>
      <c r="Q175" s="81"/>
      <c r="R175" s="223">
        <v>11588696</v>
      </c>
      <c r="S175" s="156">
        <v>5659094.495</v>
      </c>
      <c r="T175" s="156">
        <v>436001.4671032944</v>
      </c>
      <c r="U175" s="156">
        <v>4453412.155478444</v>
      </c>
      <c r="V175" s="156">
        <v>1085120.6959373201</v>
      </c>
      <c r="W175" s="156">
        <v>238469.54141447414</v>
      </c>
      <c r="X175" s="214">
        <f t="shared" si="39"/>
        <v>283402.35493353195</v>
      </c>
      <c r="Y175" s="215">
        <f t="shared" si="40"/>
        <v>147.45179757207697</v>
      </c>
      <c r="Z175" s="81"/>
      <c r="AA175" s="94">
        <f t="shared" si="41"/>
        <v>120257.15689302515</v>
      </c>
      <c r="AB175" s="153">
        <f t="shared" si="42"/>
        <v>62.568760090023495</v>
      </c>
      <c r="AD175" s="216">
        <v>-112320.6991236741</v>
      </c>
      <c r="AE175" s="224">
        <v>-87577.1561391047</v>
      </c>
      <c r="AF175" s="224">
        <v>-60513.52381161507</v>
      </c>
      <c r="AG175" s="224">
        <v>-31317.03747170928</v>
      </c>
      <c r="AH175" s="225">
        <v>-2081.709659544325</v>
      </c>
      <c r="AJ175" s="81">
        <f t="shared" si="43"/>
        <v>3301140.495</v>
      </c>
      <c r="AK175" s="81">
        <f t="shared" si="44"/>
        <v>145333.82236776478</v>
      </c>
      <c r="AL175" s="81">
        <f t="shared" si="45"/>
        <v>2858793.864158301</v>
      </c>
      <c r="AM175" s="81">
        <f t="shared" si="46"/>
        <v>7518827.265867236</v>
      </c>
      <c r="AN175" s="81">
        <f t="shared" si="47"/>
        <v>-112320.6991236741</v>
      </c>
      <c r="AO175" s="81">
        <f t="shared" si="48"/>
        <v>-87577.1561391047</v>
      </c>
      <c r="AP175" s="81">
        <f t="shared" si="49"/>
        <v>-60513.52381161507</v>
      </c>
      <c r="AQ175" s="81">
        <f t="shared" si="50"/>
        <v>-31317.03747170928</v>
      </c>
      <c r="AR175" s="81">
        <f t="shared" si="51"/>
        <v>-2081.709659544325</v>
      </c>
      <c r="AS175" s="82">
        <v>483</v>
      </c>
      <c r="AT175" s="82"/>
      <c r="AU175" s="82"/>
      <c r="AV175" s="82">
        <f t="shared" si="52"/>
        <v>0</v>
      </c>
      <c r="AW175" s="82">
        <v>2076.071002216911</v>
      </c>
      <c r="AX175" s="149">
        <v>-669.0556195524719</v>
      </c>
      <c r="AY175" s="81">
        <f t="shared" si="53"/>
        <v>-736959.4473559273</v>
      </c>
      <c r="AZ175" s="409"/>
      <c r="BA175" s="81"/>
      <c r="BB175" s="81"/>
      <c r="BC175" s="81"/>
      <c r="BD175" s="81"/>
      <c r="BE175" s="81"/>
      <c r="BF175" s="81"/>
      <c r="BG175" s="81"/>
    </row>
    <row r="176" spans="1:59" ht="12.75">
      <c r="A176" s="81">
        <v>505</v>
      </c>
      <c r="B176" s="81" t="s">
        <v>296</v>
      </c>
      <c r="C176" s="81">
        <v>1</v>
      </c>
      <c r="D176" s="81">
        <v>20686</v>
      </c>
      <c r="E176" s="100">
        <v>57963867.89375046</v>
      </c>
      <c r="F176" s="81">
        <v>27586458</v>
      </c>
      <c r="G176" s="81">
        <v>7002576.098188626</v>
      </c>
      <c r="H176" s="81">
        <v>2592471.669539875</v>
      </c>
      <c r="I176" s="156">
        <v>16274426.728197008</v>
      </c>
      <c r="J176" s="156">
        <v>2828752.408861708</v>
      </c>
      <c r="K176" s="81">
        <v>-2580597.4529435155</v>
      </c>
      <c r="L176" s="81">
        <v>-2059394</v>
      </c>
      <c r="M176" s="82">
        <v>1008677</v>
      </c>
      <c r="N176" s="82">
        <v>244631.97152170865</v>
      </c>
      <c r="O176" s="214">
        <f t="shared" si="37"/>
        <v>-5065865.470385045</v>
      </c>
      <c r="P176" s="215">
        <f t="shared" si="38"/>
        <v>-244.89342890771752</v>
      </c>
      <c r="Q176" s="81"/>
      <c r="R176" s="223">
        <v>127318184</v>
      </c>
      <c r="S176" s="156">
        <v>73109378.33999999</v>
      </c>
      <c r="T176" s="156">
        <v>3888707.5043098126</v>
      </c>
      <c r="U176" s="156">
        <v>29487946.068182286</v>
      </c>
      <c r="V176" s="156">
        <v>8448522.753180038</v>
      </c>
      <c r="W176" s="156">
        <v>5951859.098188626</v>
      </c>
      <c r="X176" s="214">
        <f t="shared" si="39"/>
        <v>-6431770.236139253</v>
      </c>
      <c r="Y176" s="215">
        <f t="shared" si="40"/>
        <v>-310.92382462241386</v>
      </c>
      <c r="Z176" s="81"/>
      <c r="AA176" s="94">
        <f t="shared" si="41"/>
        <v>1365904.765754208</v>
      </c>
      <c r="AB176" s="153">
        <f t="shared" si="42"/>
        <v>66.03039571469631</v>
      </c>
      <c r="AD176" s="216">
        <v>-1280486.6776081019</v>
      </c>
      <c r="AE176" s="224">
        <v>-1014178.1811571124</v>
      </c>
      <c r="AF176" s="224">
        <v>-722899.1497697812</v>
      </c>
      <c r="AG176" s="224">
        <v>-408664.74996369844</v>
      </c>
      <c r="AH176" s="225">
        <v>-94012.30921320713</v>
      </c>
      <c r="AJ176" s="81">
        <f t="shared" si="43"/>
        <v>45522920.33999999</v>
      </c>
      <c r="AK176" s="81">
        <f t="shared" si="44"/>
        <v>1296235.8347699377</v>
      </c>
      <c r="AL176" s="81">
        <f t="shared" si="45"/>
        <v>13213519.339985278</v>
      </c>
      <c r="AM176" s="81">
        <f t="shared" si="46"/>
        <v>69354316.10624954</v>
      </c>
      <c r="AN176" s="81">
        <f t="shared" si="47"/>
        <v>-1280486.6776081019</v>
      </c>
      <c r="AO176" s="81">
        <f t="shared" si="48"/>
        <v>-1014178.1811571124</v>
      </c>
      <c r="AP176" s="81">
        <f t="shared" si="49"/>
        <v>-722899.1497697812</v>
      </c>
      <c r="AQ176" s="81">
        <f t="shared" si="50"/>
        <v>-408664.74996369844</v>
      </c>
      <c r="AR176" s="81">
        <f t="shared" si="51"/>
        <v>-94012.30921320713</v>
      </c>
      <c r="AS176" s="82">
        <v>7038</v>
      </c>
      <c r="AT176" s="82"/>
      <c r="AU176" s="82">
        <v>1</v>
      </c>
      <c r="AV176" s="82">
        <f t="shared" si="52"/>
        <v>1</v>
      </c>
      <c r="AW176" s="82">
        <v>12448.624251425523</v>
      </c>
      <c r="AX176" s="149">
        <v>-578.7585269589248</v>
      </c>
      <c r="AY176" s="81">
        <f t="shared" si="53"/>
        <v>-5619770.34431833</v>
      </c>
      <c r="AZ176" s="409"/>
      <c r="BA176" s="81"/>
      <c r="BB176" s="81"/>
      <c r="BC176" s="81"/>
      <c r="BD176" s="81"/>
      <c r="BE176" s="81"/>
      <c r="BF176" s="81"/>
      <c r="BG176" s="81"/>
    </row>
    <row r="177" spans="1:59" ht="12.75">
      <c r="A177" s="81">
        <v>507</v>
      </c>
      <c r="B177" s="81" t="s">
        <v>298</v>
      </c>
      <c r="C177" s="81">
        <v>10</v>
      </c>
      <c r="D177" s="81">
        <v>5924</v>
      </c>
      <c r="E177" s="100">
        <v>14637851.96606921</v>
      </c>
      <c r="F177" s="81">
        <v>6159628</v>
      </c>
      <c r="G177" s="81">
        <v>2707826.17530037</v>
      </c>
      <c r="H177" s="81">
        <v>1651362.7975869025</v>
      </c>
      <c r="I177" s="156">
        <v>2235867.03244467</v>
      </c>
      <c r="J177" s="156">
        <v>1061175.6588188987</v>
      </c>
      <c r="K177" s="81">
        <v>-220598.656616314</v>
      </c>
      <c r="L177" s="81">
        <v>-246054</v>
      </c>
      <c r="M177" s="82">
        <v>107340</v>
      </c>
      <c r="N177" s="82">
        <v>58984.1850663185</v>
      </c>
      <c r="O177" s="214">
        <f t="shared" si="37"/>
        <v>-1122320.773468364</v>
      </c>
      <c r="P177" s="215">
        <f t="shared" si="38"/>
        <v>-189.45320281370087</v>
      </c>
      <c r="Q177" s="81"/>
      <c r="R177" s="223">
        <v>42918372</v>
      </c>
      <c r="S177" s="156">
        <v>16622699.07</v>
      </c>
      <c r="T177" s="156">
        <v>2477044.196380354</v>
      </c>
      <c r="U177" s="156">
        <v>17034451.536831535</v>
      </c>
      <c r="V177" s="156">
        <v>3291275.3423678814</v>
      </c>
      <c r="W177" s="156">
        <v>2569112.17530037</v>
      </c>
      <c r="X177" s="214">
        <f t="shared" si="39"/>
        <v>-923789.6791198552</v>
      </c>
      <c r="Y177" s="215">
        <f t="shared" si="40"/>
        <v>-155.94018891287223</v>
      </c>
      <c r="Z177" s="81"/>
      <c r="AA177" s="94">
        <f t="shared" si="41"/>
        <v>-198531.09434850886</v>
      </c>
      <c r="AB177" s="153">
        <f t="shared" si="42"/>
        <v>-33.51301390082864</v>
      </c>
      <c r="AD177" s="216">
        <v>222992.89238472463</v>
      </c>
      <c r="AE177" s="224">
        <v>121537.58990844413</v>
      </c>
      <c r="AF177" s="224">
        <v>27233.28080753288</v>
      </c>
      <c r="AG177" s="224">
        <v>7551.772867775327</v>
      </c>
      <c r="AH177" s="225">
        <v>8801.076696737447</v>
      </c>
      <c r="AJ177" s="81">
        <f t="shared" si="43"/>
        <v>10463071.07</v>
      </c>
      <c r="AK177" s="81">
        <f t="shared" si="44"/>
        <v>825681.3987934515</v>
      </c>
      <c r="AL177" s="81">
        <f t="shared" si="45"/>
        <v>14798584.504386865</v>
      </c>
      <c r="AM177" s="81">
        <f t="shared" si="46"/>
        <v>28280520.03393079</v>
      </c>
      <c r="AN177" s="81">
        <f t="shared" si="47"/>
        <v>222992.89238472463</v>
      </c>
      <c r="AO177" s="81">
        <f t="shared" si="48"/>
        <v>121537.58990844413</v>
      </c>
      <c r="AP177" s="81">
        <f t="shared" si="49"/>
        <v>27233.28080753288</v>
      </c>
      <c r="AQ177" s="81">
        <f t="shared" si="50"/>
        <v>7551.772867775327</v>
      </c>
      <c r="AR177" s="81">
        <f t="shared" si="51"/>
        <v>8801.076696737447</v>
      </c>
      <c r="AS177" s="82">
        <v>1887</v>
      </c>
      <c r="AT177" s="82"/>
      <c r="AU177" s="82"/>
      <c r="AV177" s="82">
        <f t="shared" si="52"/>
        <v>0</v>
      </c>
      <c r="AW177" s="82">
        <v>12543.792036579256</v>
      </c>
      <c r="AX177" s="149">
        <v>-1957.409211468562</v>
      </c>
      <c r="AY177" s="81">
        <f t="shared" si="53"/>
        <v>-2230099.6835489827</v>
      </c>
      <c r="AZ177" s="409"/>
      <c r="BA177" s="81"/>
      <c r="BB177" s="81"/>
      <c r="BC177" s="81"/>
      <c r="BD177" s="81"/>
      <c r="BE177" s="81"/>
      <c r="BF177" s="81"/>
      <c r="BG177" s="81"/>
    </row>
    <row r="178" spans="1:59" ht="12.75">
      <c r="A178" s="81">
        <v>508</v>
      </c>
      <c r="B178" s="81" t="s">
        <v>297</v>
      </c>
      <c r="C178" s="81">
        <v>6</v>
      </c>
      <c r="D178" s="81">
        <v>9983</v>
      </c>
      <c r="E178" s="100">
        <v>25977463.477701083</v>
      </c>
      <c r="F178" s="81">
        <v>14797594</v>
      </c>
      <c r="G178" s="81">
        <v>3007049.599905218</v>
      </c>
      <c r="H178" s="81">
        <v>2374822.284756768</v>
      </c>
      <c r="I178" s="156">
        <v>3082029.3350758976</v>
      </c>
      <c r="J178" s="156">
        <v>1602410.625019567</v>
      </c>
      <c r="K178" s="81">
        <v>616432.0660640581</v>
      </c>
      <c r="L178" s="81">
        <v>-729530</v>
      </c>
      <c r="M178" s="82">
        <v>135000</v>
      </c>
      <c r="N178" s="82">
        <v>113400.45737770571</v>
      </c>
      <c r="O178" s="214">
        <f t="shared" si="37"/>
        <v>-978255.1095018685</v>
      </c>
      <c r="P178" s="215">
        <f t="shared" si="38"/>
        <v>-97.99209751596399</v>
      </c>
      <c r="Q178" s="81"/>
      <c r="R178" s="223">
        <v>69994232</v>
      </c>
      <c r="S178" s="156">
        <v>35313452.84</v>
      </c>
      <c r="T178" s="156">
        <v>3562233.4271351523</v>
      </c>
      <c r="U178" s="156">
        <v>23282886.129880488</v>
      </c>
      <c r="V178" s="156">
        <v>4863067.184141147</v>
      </c>
      <c r="W178" s="156">
        <v>2412519.599905218</v>
      </c>
      <c r="X178" s="214">
        <f t="shared" si="39"/>
        <v>-560072.8189379871</v>
      </c>
      <c r="Y178" s="215">
        <f t="shared" si="40"/>
        <v>-56.10265640969519</v>
      </c>
      <c r="Z178" s="81"/>
      <c r="AA178" s="94">
        <f t="shared" si="41"/>
        <v>-418182.2905638814</v>
      </c>
      <c r="AB178" s="153">
        <f t="shared" si="42"/>
        <v>-41.8894411062688</v>
      </c>
      <c r="AD178" s="216">
        <v>459404.79728157434</v>
      </c>
      <c r="AE178" s="224">
        <v>288434.4588918533</v>
      </c>
      <c r="AF178" s="224">
        <v>129514.82388942297</v>
      </c>
      <c r="AG178" s="224">
        <v>12726.088544733471</v>
      </c>
      <c r="AH178" s="225">
        <v>14831.38903840816</v>
      </c>
      <c r="AJ178" s="81">
        <f t="shared" si="43"/>
        <v>20515858.840000004</v>
      </c>
      <c r="AK178" s="81">
        <f t="shared" si="44"/>
        <v>1187411.1423783842</v>
      </c>
      <c r="AL178" s="81">
        <f t="shared" si="45"/>
        <v>20200856.79480459</v>
      </c>
      <c r="AM178" s="81">
        <f t="shared" si="46"/>
        <v>44016768.52229892</v>
      </c>
      <c r="AN178" s="81">
        <f t="shared" si="47"/>
        <v>459404.79728157434</v>
      </c>
      <c r="AO178" s="81">
        <f t="shared" si="48"/>
        <v>288434.4588918533</v>
      </c>
      <c r="AP178" s="81">
        <f t="shared" si="49"/>
        <v>129514.82388942297</v>
      </c>
      <c r="AQ178" s="81">
        <f t="shared" si="50"/>
        <v>12726.088544733471</v>
      </c>
      <c r="AR178" s="81">
        <f t="shared" si="51"/>
        <v>14831.38903840816</v>
      </c>
      <c r="AS178" s="82">
        <v>2676</v>
      </c>
      <c r="AT178" s="82"/>
      <c r="AU178" s="82"/>
      <c r="AV178" s="82">
        <f t="shared" si="52"/>
        <v>0</v>
      </c>
      <c r="AW178" s="82">
        <v>18610.811370996344</v>
      </c>
      <c r="AX178" s="149">
        <v>-1664.0664022784438</v>
      </c>
      <c r="AY178" s="81">
        <f t="shared" si="53"/>
        <v>-3260656.55912158</v>
      </c>
      <c r="AZ178" s="409"/>
      <c r="BA178" s="81"/>
      <c r="BB178" s="81"/>
      <c r="BC178" s="81"/>
      <c r="BD178" s="81"/>
      <c r="BE178" s="81"/>
      <c r="BF178" s="81"/>
      <c r="BG178" s="81"/>
    </row>
    <row r="179" spans="1:59" ht="12.75">
      <c r="A179" s="81">
        <v>529</v>
      </c>
      <c r="B179" s="81" t="s">
        <v>299</v>
      </c>
      <c r="C179" s="81">
        <v>2</v>
      </c>
      <c r="D179" s="81">
        <v>19245</v>
      </c>
      <c r="E179" s="100">
        <v>44731038.02756743</v>
      </c>
      <c r="F179" s="81">
        <v>24580615</v>
      </c>
      <c r="G179" s="81">
        <v>6440223.693485575</v>
      </c>
      <c r="H179" s="81">
        <v>6047700.548331657</v>
      </c>
      <c r="I179" s="156">
        <v>6137272.797739224</v>
      </c>
      <c r="J179" s="156">
        <v>2274505.75891673</v>
      </c>
      <c r="K179" s="81">
        <v>2235095.340351351</v>
      </c>
      <c r="L179" s="81">
        <v>-1084563</v>
      </c>
      <c r="M179" s="82">
        <v>1513100</v>
      </c>
      <c r="N179" s="82">
        <v>291507.68472148455</v>
      </c>
      <c r="O179" s="214">
        <f t="shared" si="37"/>
        <v>3704419.795978591</v>
      </c>
      <c r="P179" s="215">
        <f t="shared" si="38"/>
        <v>192.48738872323153</v>
      </c>
      <c r="Q179" s="81"/>
      <c r="R179" s="223">
        <v>110571244</v>
      </c>
      <c r="S179" s="156">
        <v>77347280.3</v>
      </c>
      <c r="T179" s="156">
        <v>9071550.822497487</v>
      </c>
      <c r="U179" s="156">
        <v>14857465.299293919</v>
      </c>
      <c r="V179" s="156">
        <v>6539417.317823936</v>
      </c>
      <c r="W179" s="156">
        <v>6868760.693485575</v>
      </c>
      <c r="X179" s="214">
        <f t="shared" si="39"/>
        <v>4113230.433100909</v>
      </c>
      <c r="Y179" s="215">
        <f t="shared" si="40"/>
        <v>213.72982245263233</v>
      </c>
      <c r="Z179" s="81"/>
      <c r="AA179" s="94">
        <f t="shared" si="41"/>
        <v>-408810.63712231815</v>
      </c>
      <c r="AB179" s="153">
        <f t="shared" si="42"/>
        <v>-21.242433729400787</v>
      </c>
      <c r="AD179" s="216">
        <v>488278.446576606</v>
      </c>
      <c r="AE179" s="224">
        <v>158685.72271502292</v>
      </c>
      <c r="AF179" s="224">
        <v>20863.43322148864</v>
      </c>
      <c r="AG179" s="224">
        <v>24533.063612480782</v>
      </c>
      <c r="AH179" s="225">
        <v>28591.61394812832</v>
      </c>
      <c r="AJ179" s="81">
        <f t="shared" si="43"/>
        <v>52766665.3</v>
      </c>
      <c r="AK179" s="81">
        <f t="shared" si="44"/>
        <v>3023850.2741658296</v>
      </c>
      <c r="AL179" s="81">
        <f t="shared" si="45"/>
        <v>8720192.501554694</v>
      </c>
      <c r="AM179" s="81">
        <f t="shared" si="46"/>
        <v>65840205.97243257</v>
      </c>
      <c r="AN179" s="81">
        <f t="shared" si="47"/>
        <v>488278.446576606</v>
      </c>
      <c r="AO179" s="81">
        <f t="shared" si="48"/>
        <v>158685.72271502292</v>
      </c>
      <c r="AP179" s="81">
        <f t="shared" si="49"/>
        <v>20863.43322148864</v>
      </c>
      <c r="AQ179" s="81">
        <f t="shared" si="50"/>
        <v>24533.063612480782</v>
      </c>
      <c r="AR179" s="81">
        <f t="shared" si="51"/>
        <v>28591.61394812832</v>
      </c>
      <c r="AS179" s="82">
        <v>8909</v>
      </c>
      <c r="AT179" s="82">
        <v>220</v>
      </c>
      <c r="AU179" s="82"/>
      <c r="AV179" s="82">
        <f t="shared" si="52"/>
        <v>220</v>
      </c>
      <c r="AW179" s="82">
        <v>14349.805174444082</v>
      </c>
      <c r="AX179" s="149">
        <v>4391.730629777587</v>
      </c>
      <c r="AY179" s="81">
        <f t="shared" si="53"/>
        <v>-4264911.558907206</v>
      </c>
      <c r="AZ179" s="409"/>
      <c r="BA179" s="81"/>
      <c r="BB179" s="81"/>
      <c r="BC179" s="81"/>
      <c r="BD179" s="81"/>
      <c r="BE179" s="81"/>
      <c r="BF179" s="81"/>
      <c r="BG179" s="81"/>
    </row>
    <row r="180" spans="1:59" ht="12.75">
      <c r="A180" s="81">
        <v>531</v>
      </c>
      <c r="B180" s="81" t="s">
        <v>300</v>
      </c>
      <c r="C180" s="81">
        <v>4</v>
      </c>
      <c r="D180" s="81">
        <v>5437</v>
      </c>
      <c r="E180" s="100">
        <v>12168953.792190693</v>
      </c>
      <c r="F180" s="81">
        <v>7126652</v>
      </c>
      <c r="G180" s="81">
        <v>1302137.2708199061</v>
      </c>
      <c r="H180" s="81">
        <v>303516.44773369917</v>
      </c>
      <c r="I180" s="156">
        <v>3600905.4910224034</v>
      </c>
      <c r="J180" s="156">
        <v>828573.8971610635</v>
      </c>
      <c r="K180" s="81">
        <v>-470463.7060349618</v>
      </c>
      <c r="L180" s="81">
        <v>-428633</v>
      </c>
      <c r="M180" s="82">
        <v>-69000</v>
      </c>
      <c r="N180" s="82">
        <v>56249.69879164123</v>
      </c>
      <c r="O180" s="214">
        <f t="shared" si="37"/>
        <v>80984.30730305798</v>
      </c>
      <c r="P180" s="215">
        <f t="shared" si="38"/>
        <v>14.895035369331982</v>
      </c>
      <c r="Q180" s="81"/>
      <c r="R180" s="223">
        <v>32560444</v>
      </c>
      <c r="S180" s="156">
        <v>17740303.6125</v>
      </c>
      <c r="T180" s="156">
        <v>455274.6716005488</v>
      </c>
      <c r="U180" s="156">
        <v>10571000.644036086</v>
      </c>
      <c r="V180" s="156">
        <v>2536431.1784490854</v>
      </c>
      <c r="W180" s="156">
        <v>804504.2708199061</v>
      </c>
      <c r="X180" s="214">
        <f t="shared" si="39"/>
        <v>-452929.62259437144</v>
      </c>
      <c r="Y180" s="215">
        <f t="shared" si="40"/>
        <v>-83.3050620920308</v>
      </c>
      <c r="Z180" s="81"/>
      <c r="AA180" s="94">
        <f t="shared" si="41"/>
        <v>533913.9298974294</v>
      </c>
      <c r="AB180" s="153">
        <f t="shared" si="42"/>
        <v>98.20009746136277</v>
      </c>
      <c r="AD180" s="216">
        <v>-511463.0865613408</v>
      </c>
      <c r="AE180" s="224">
        <v>-441467.9548198716</v>
      </c>
      <c r="AF180" s="224">
        <v>-364909.6983346681</v>
      </c>
      <c r="AG180" s="224">
        <v>-282317.9729288056</v>
      </c>
      <c r="AH180" s="225">
        <v>-199616.3718285242</v>
      </c>
      <c r="AJ180" s="81">
        <f t="shared" si="43"/>
        <v>10613651.6125</v>
      </c>
      <c r="AK180" s="81">
        <f t="shared" si="44"/>
        <v>151758.2238668496</v>
      </c>
      <c r="AL180" s="81">
        <f t="shared" si="45"/>
        <v>6970095.153013683</v>
      </c>
      <c r="AM180" s="81">
        <f t="shared" si="46"/>
        <v>20391490.207809307</v>
      </c>
      <c r="AN180" s="81">
        <f t="shared" si="47"/>
        <v>-511463.0865613408</v>
      </c>
      <c r="AO180" s="81">
        <f t="shared" si="48"/>
        <v>-441467.9548198716</v>
      </c>
      <c r="AP180" s="81">
        <f t="shared" si="49"/>
        <v>-364909.6983346681</v>
      </c>
      <c r="AQ180" s="81">
        <f t="shared" si="50"/>
        <v>-282317.9729288056</v>
      </c>
      <c r="AR180" s="81">
        <f t="shared" si="51"/>
        <v>-199616.3718285242</v>
      </c>
      <c r="AS180" s="82">
        <v>1467</v>
      </c>
      <c r="AT180" s="82">
        <v>69</v>
      </c>
      <c r="AU180" s="82">
        <v>28</v>
      </c>
      <c r="AV180" s="82">
        <f t="shared" si="52"/>
        <v>97</v>
      </c>
      <c r="AW180" s="82">
        <v>5979.216249565402</v>
      </c>
      <c r="AX180" s="149">
        <v>-1255.4004289295415</v>
      </c>
      <c r="AY180" s="81">
        <f t="shared" si="53"/>
        <v>-1707857.281288022</v>
      </c>
      <c r="AZ180" s="409"/>
      <c r="BA180" s="81"/>
      <c r="BB180" s="81"/>
      <c r="BC180" s="81"/>
      <c r="BD180" s="81"/>
      <c r="BE180" s="81"/>
      <c r="BF180" s="81"/>
      <c r="BG180" s="81"/>
    </row>
    <row r="181" spans="1:59" ht="12.75">
      <c r="A181" s="81">
        <v>535</v>
      </c>
      <c r="B181" s="81" t="s">
        <v>301</v>
      </c>
      <c r="C181" s="81">
        <v>17</v>
      </c>
      <c r="D181" s="81">
        <v>10737</v>
      </c>
      <c r="E181" s="100">
        <v>29468294.695856668</v>
      </c>
      <c r="F181" s="81">
        <v>12617375</v>
      </c>
      <c r="G181" s="81">
        <v>2285983.064870782</v>
      </c>
      <c r="H181" s="81">
        <v>889304.0059012033</v>
      </c>
      <c r="I181" s="156">
        <v>14963275.822778184</v>
      </c>
      <c r="J181" s="156">
        <v>1777534.7000969928</v>
      </c>
      <c r="K181" s="81">
        <v>-1153680.988533544</v>
      </c>
      <c r="L181" s="81">
        <v>-1022375</v>
      </c>
      <c r="M181" s="82">
        <v>729500</v>
      </c>
      <c r="N181" s="82">
        <v>88298.14761892438</v>
      </c>
      <c r="O181" s="214">
        <f t="shared" si="37"/>
        <v>1706920.0568758734</v>
      </c>
      <c r="P181" s="215">
        <f t="shared" si="38"/>
        <v>158.97551055936233</v>
      </c>
      <c r="Q181" s="81"/>
      <c r="R181" s="223">
        <v>74143412</v>
      </c>
      <c r="S181" s="156">
        <v>29071760.1</v>
      </c>
      <c r="T181" s="156">
        <v>1333956.0088518048</v>
      </c>
      <c r="U181" s="156">
        <v>36496528.82438244</v>
      </c>
      <c r="V181" s="156">
        <v>5544404.706337324</v>
      </c>
      <c r="W181" s="156">
        <v>1993108.0648707822</v>
      </c>
      <c r="X181" s="214">
        <f t="shared" si="39"/>
        <v>296345.70444235206</v>
      </c>
      <c r="Y181" s="215">
        <f t="shared" si="40"/>
        <v>27.600419525226044</v>
      </c>
      <c r="Z181" s="81"/>
      <c r="AA181" s="94">
        <f t="shared" si="41"/>
        <v>1410574.3524335213</v>
      </c>
      <c r="AB181" s="153">
        <f t="shared" si="42"/>
        <v>131.3750910341363</v>
      </c>
      <c r="AD181" s="216">
        <v>-1366238.3758104674</v>
      </c>
      <c r="AE181" s="224">
        <v>-1228011.830011653</v>
      </c>
      <c r="AF181" s="224">
        <v>-1076824.4105005935</v>
      </c>
      <c r="AG181" s="224">
        <v>-913722.0828046682</v>
      </c>
      <c r="AH181" s="225">
        <v>-750402.7723368144</v>
      </c>
      <c r="AJ181" s="81">
        <f t="shared" si="43"/>
        <v>16454385.100000001</v>
      </c>
      <c r="AK181" s="81">
        <f t="shared" si="44"/>
        <v>444652.0029506015</v>
      </c>
      <c r="AL181" s="81">
        <f t="shared" si="45"/>
        <v>21533253.001604255</v>
      </c>
      <c r="AM181" s="81">
        <f t="shared" si="46"/>
        <v>44675117.30414333</v>
      </c>
      <c r="AN181" s="81">
        <f t="shared" si="47"/>
        <v>-1366238.3758104674</v>
      </c>
      <c r="AO181" s="81">
        <f t="shared" si="48"/>
        <v>-1228011.830011653</v>
      </c>
      <c r="AP181" s="81">
        <f t="shared" si="49"/>
        <v>-1076824.4105005935</v>
      </c>
      <c r="AQ181" s="81">
        <f t="shared" si="50"/>
        <v>-913722.0828046682</v>
      </c>
      <c r="AR181" s="81">
        <f t="shared" si="51"/>
        <v>-750402.7723368144</v>
      </c>
      <c r="AS181" s="82">
        <v>2294</v>
      </c>
      <c r="AT181" s="82">
        <v>7</v>
      </c>
      <c r="AU181" s="82"/>
      <c r="AV181" s="82">
        <f t="shared" si="52"/>
        <v>7</v>
      </c>
      <c r="AW181" s="82">
        <v>16660.948090672817</v>
      </c>
      <c r="AX181" s="149">
        <v>-5601.143736139885</v>
      </c>
      <c r="AY181" s="81">
        <f t="shared" si="53"/>
        <v>-3766870.0062403316</v>
      </c>
      <c r="AZ181" s="409"/>
      <c r="BA181" s="81"/>
      <c r="BB181" s="81"/>
      <c r="BC181" s="81"/>
      <c r="BD181" s="81"/>
      <c r="BE181" s="81"/>
      <c r="BF181" s="81"/>
      <c r="BG181" s="81"/>
    </row>
    <row r="182" spans="1:59" ht="12.75">
      <c r="A182" s="81">
        <v>536</v>
      </c>
      <c r="B182" s="81" t="s">
        <v>302</v>
      </c>
      <c r="C182" s="81">
        <v>6</v>
      </c>
      <c r="D182" s="81">
        <v>33527</v>
      </c>
      <c r="E182" s="100">
        <v>85785929.71585204</v>
      </c>
      <c r="F182" s="81">
        <v>50266109</v>
      </c>
      <c r="G182" s="81">
        <v>8729830.418706296</v>
      </c>
      <c r="H182" s="81">
        <v>5286781.987158672</v>
      </c>
      <c r="I182" s="156">
        <v>19806067.7738946</v>
      </c>
      <c r="J182" s="156">
        <v>4143561.292360766</v>
      </c>
      <c r="K182" s="81">
        <v>891467.6527141734</v>
      </c>
      <c r="L182" s="81">
        <v>-2591292</v>
      </c>
      <c r="M182" s="82">
        <v>-435000</v>
      </c>
      <c r="N182" s="82">
        <v>425292.6746724814</v>
      </c>
      <c r="O182" s="214">
        <f t="shared" si="37"/>
        <v>736889.083654955</v>
      </c>
      <c r="P182" s="215">
        <f t="shared" si="38"/>
        <v>21.978974666834343</v>
      </c>
      <c r="Q182" s="81"/>
      <c r="R182" s="223">
        <v>190334956</v>
      </c>
      <c r="S182" s="156">
        <v>129017819.51999998</v>
      </c>
      <c r="T182" s="156">
        <v>7930172.980738008</v>
      </c>
      <c r="U182" s="156">
        <v>37229006.12914392</v>
      </c>
      <c r="V182" s="156">
        <v>12156658.903293408</v>
      </c>
      <c r="W182" s="156">
        <v>5703538.418706296</v>
      </c>
      <c r="X182" s="214">
        <f t="shared" si="39"/>
        <v>1702239.9518816173</v>
      </c>
      <c r="Y182" s="215">
        <f t="shared" si="40"/>
        <v>50.7722120047012</v>
      </c>
      <c r="Z182" s="81"/>
      <c r="AA182" s="94">
        <f t="shared" si="41"/>
        <v>-965350.8682266623</v>
      </c>
      <c r="AB182" s="153">
        <f t="shared" si="42"/>
        <v>-28.793237337866863</v>
      </c>
      <c r="AD182" s="216">
        <v>1103792.917983671</v>
      </c>
      <c r="AE182" s="224">
        <v>529604.5442290704</v>
      </c>
      <c r="AF182" s="224">
        <v>36346.49652464795</v>
      </c>
      <c r="AG182" s="224">
        <v>42739.414067843245</v>
      </c>
      <c r="AH182" s="225">
        <v>49809.87481625868</v>
      </c>
      <c r="AJ182" s="81">
        <f t="shared" si="43"/>
        <v>78751710.51999998</v>
      </c>
      <c r="AK182" s="81">
        <f t="shared" si="44"/>
        <v>2643390.9935793364</v>
      </c>
      <c r="AL182" s="81">
        <f t="shared" si="45"/>
        <v>17422938.355249323</v>
      </c>
      <c r="AM182" s="81">
        <f t="shared" si="46"/>
        <v>104549026.28414796</v>
      </c>
      <c r="AN182" s="81">
        <f t="shared" si="47"/>
        <v>1103792.917983671</v>
      </c>
      <c r="AO182" s="81">
        <f t="shared" si="48"/>
        <v>529604.5442290704</v>
      </c>
      <c r="AP182" s="81">
        <f t="shared" si="49"/>
        <v>36346.49652464795</v>
      </c>
      <c r="AQ182" s="81">
        <f t="shared" si="50"/>
        <v>42739.414067843245</v>
      </c>
      <c r="AR182" s="81">
        <f t="shared" si="51"/>
        <v>49809.87481625868</v>
      </c>
      <c r="AS182" s="82">
        <v>13425</v>
      </c>
      <c r="AT182" s="82">
        <v>46</v>
      </c>
      <c r="AU182" s="82"/>
      <c r="AV182" s="82">
        <f t="shared" si="52"/>
        <v>46</v>
      </c>
      <c r="AW182" s="82">
        <v>19523.81821095794</v>
      </c>
      <c r="AX182" s="149">
        <v>2199.053041910928</v>
      </c>
      <c r="AY182" s="81">
        <f t="shared" si="53"/>
        <v>-8013097.610932643</v>
      </c>
      <c r="AZ182" s="409"/>
      <c r="BA182" s="81"/>
      <c r="BB182" s="81"/>
      <c r="BC182" s="81"/>
      <c r="BD182" s="81"/>
      <c r="BE182" s="81"/>
      <c r="BF182" s="81"/>
      <c r="BG182" s="81"/>
    </row>
    <row r="183" spans="1:59" ht="12.75">
      <c r="A183" s="81">
        <v>538</v>
      </c>
      <c r="B183" s="81" t="s">
        <v>303</v>
      </c>
      <c r="C183" s="81">
        <v>2</v>
      </c>
      <c r="D183" s="81">
        <v>4733</v>
      </c>
      <c r="E183" s="100">
        <v>13447332.275377618</v>
      </c>
      <c r="F183" s="81">
        <v>6884628</v>
      </c>
      <c r="G183" s="81">
        <v>784956.5371629621</v>
      </c>
      <c r="H183" s="81">
        <v>213719.31624415683</v>
      </c>
      <c r="I183" s="156">
        <v>4348566.400457585</v>
      </c>
      <c r="J183" s="156">
        <v>714773.6672757091</v>
      </c>
      <c r="K183" s="81">
        <v>-320039.38619317714</v>
      </c>
      <c r="L183" s="81">
        <v>681319</v>
      </c>
      <c r="M183" s="82">
        <v>-125960</v>
      </c>
      <c r="N183" s="82">
        <v>51924.46648597748</v>
      </c>
      <c r="O183" s="214">
        <f t="shared" si="37"/>
        <v>-213444.27394440398</v>
      </c>
      <c r="P183" s="215">
        <f t="shared" si="38"/>
        <v>-45.09703654012338</v>
      </c>
      <c r="Q183" s="81"/>
      <c r="R183" s="223">
        <v>28826700</v>
      </c>
      <c r="S183" s="156">
        <v>16715388.884999998</v>
      </c>
      <c r="T183" s="156">
        <v>320578.9743662352</v>
      </c>
      <c r="U183" s="156">
        <v>7681353.000069717</v>
      </c>
      <c r="V183" s="156">
        <v>2173301.6482448806</v>
      </c>
      <c r="W183" s="156">
        <v>1340315.5371629621</v>
      </c>
      <c r="X183" s="214">
        <f t="shared" si="39"/>
        <v>-595761.9551562071</v>
      </c>
      <c r="Y183" s="215">
        <f t="shared" si="40"/>
        <v>-125.87406616442152</v>
      </c>
      <c r="Z183" s="81"/>
      <c r="AA183" s="94">
        <f t="shared" si="41"/>
        <v>382317.6812118031</v>
      </c>
      <c r="AB183" s="153">
        <f t="shared" si="42"/>
        <v>80.77702962429814</v>
      </c>
      <c r="AD183" s="216">
        <v>-362773.8442594946</v>
      </c>
      <c r="AE183" s="224">
        <v>-301841.90412111435</v>
      </c>
      <c r="AF183" s="224">
        <v>-235196.6534416094</v>
      </c>
      <c r="AG183" s="224">
        <v>-163299.16652861563</v>
      </c>
      <c r="AH183" s="225">
        <v>-91306.03097451742</v>
      </c>
      <c r="AJ183" s="81">
        <f t="shared" si="43"/>
        <v>9830760.884999998</v>
      </c>
      <c r="AK183" s="81">
        <f t="shared" si="44"/>
        <v>106859.65812207837</v>
      </c>
      <c r="AL183" s="81">
        <f t="shared" si="45"/>
        <v>3332786.5996121317</v>
      </c>
      <c r="AM183" s="81">
        <f t="shared" si="46"/>
        <v>15379367.724622382</v>
      </c>
      <c r="AN183" s="81">
        <f t="shared" si="47"/>
        <v>-362773.8442594946</v>
      </c>
      <c r="AO183" s="81">
        <f t="shared" si="48"/>
        <v>-301841.90412111435</v>
      </c>
      <c r="AP183" s="81">
        <f t="shared" si="49"/>
        <v>-235196.6534416094</v>
      </c>
      <c r="AQ183" s="81">
        <f t="shared" si="50"/>
        <v>-163299.16652861563</v>
      </c>
      <c r="AR183" s="81">
        <f t="shared" si="51"/>
        <v>-91306.03097451742</v>
      </c>
      <c r="AS183" s="82">
        <v>1054</v>
      </c>
      <c r="AT183" s="82"/>
      <c r="AU183" s="82"/>
      <c r="AV183" s="82">
        <f t="shared" si="52"/>
        <v>0</v>
      </c>
      <c r="AW183" s="82">
        <v>2907.549640330296</v>
      </c>
      <c r="AX183" s="149">
        <v>-632.7154770798167</v>
      </c>
      <c r="AY183" s="81">
        <f t="shared" si="53"/>
        <v>-1458527.9809691715</v>
      </c>
      <c r="AZ183" s="409"/>
      <c r="BA183" s="81"/>
      <c r="BB183" s="81"/>
      <c r="BC183" s="81"/>
      <c r="BD183" s="81"/>
      <c r="BE183" s="81"/>
      <c r="BF183" s="81"/>
      <c r="BG183" s="81"/>
    </row>
    <row r="184" spans="1:59" ht="12.75">
      <c r="A184" s="81">
        <v>541</v>
      </c>
      <c r="B184" s="81" t="s">
        <v>304</v>
      </c>
      <c r="C184" s="81">
        <v>12</v>
      </c>
      <c r="D184" s="81">
        <v>9784</v>
      </c>
      <c r="E184" s="100">
        <v>28121159.0724151</v>
      </c>
      <c r="F184" s="81">
        <v>9833647</v>
      </c>
      <c r="G184" s="81">
        <v>1926835.7196427265</v>
      </c>
      <c r="H184" s="81">
        <v>2020571.9335394208</v>
      </c>
      <c r="I184" s="156">
        <v>6840218.683932246</v>
      </c>
      <c r="J184" s="156">
        <v>1835987.1957860528</v>
      </c>
      <c r="K184" s="81">
        <v>3382073.9996278426</v>
      </c>
      <c r="L184" s="81">
        <v>-1089799</v>
      </c>
      <c r="M184" s="82">
        <v>325000</v>
      </c>
      <c r="N184" s="82">
        <v>86875.76975342933</v>
      </c>
      <c r="O184" s="214">
        <f t="shared" si="37"/>
        <v>-2959747.7701333836</v>
      </c>
      <c r="P184" s="215">
        <f t="shared" si="38"/>
        <v>-302.5089707822346</v>
      </c>
      <c r="Q184" s="81"/>
      <c r="R184" s="223">
        <v>73552892</v>
      </c>
      <c r="S184" s="156">
        <v>25450174.799999997</v>
      </c>
      <c r="T184" s="156">
        <v>3030857.900309131</v>
      </c>
      <c r="U184" s="156">
        <v>37629242.47155327</v>
      </c>
      <c r="V184" s="156">
        <v>5775476.638970707</v>
      </c>
      <c r="W184" s="156">
        <v>1162036.7196427265</v>
      </c>
      <c r="X184" s="214">
        <f t="shared" si="39"/>
        <v>-505103.4695241749</v>
      </c>
      <c r="Y184" s="215">
        <f t="shared" si="40"/>
        <v>-51.625456819723524</v>
      </c>
      <c r="Z184" s="81"/>
      <c r="AA184" s="94">
        <f t="shared" si="41"/>
        <v>-2454644.3006092086</v>
      </c>
      <c r="AB184" s="153">
        <f t="shared" si="42"/>
        <v>-250.8835139625111</v>
      </c>
      <c r="AD184" s="216">
        <v>2495045.0825110474</v>
      </c>
      <c r="AE184" s="224">
        <v>2327482.847631249</v>
      </c>
      <c r="AF184" s="224">
        <v>2171731.09877181</v>
      </c>
      <c r="AG184" s="224">
        <v>2026836.7087352015</v>
      </c>
      <c r="AH184" s="225">
        <v>1882140.042405452</v>
      </c>
      <c r="AJ184" s="81">
        <f t="shared" si="43"/>
        <v>15616527.799999997</v>
      </c>
      <c r="AK184" s="81">
        <f t="shared" si="44"/>
        <v>1010285.9667697102</v>
      </c>
      <c r="AL184" s="81">
        <f t="shared" si="45"/>
        <v>30789023.78762103</v>
      </c>
      <c r="AM184" s="81">
        <f t="shared" si="46"/>
        <v>45431732.9275849</v>
      </c>
      <c r="AN184" s="81">
        <f t="shared" si="47"/>
        <v>2495045.0825110474</v>
      </c>
      <c r="AO184" s="81">
        <f t="shared" si="48"/>
        <v>2327482.847631249</v>
      </c>
      <c r="AP184" s="81">
        <f t="shared" si="49"/>
        <v>2171731.09877181</v>
      </c>
      <c r="AQ184" s="81">
        <f t="shared" si="50"/>
        <v>2026836.7087352015</v>
      </c>
      <c r="AR184" s="81">
        <f t="shared" si="51"/>
        <v>1882140.042405452</v>
      </c>
      <c r="AS184" s="82">
        <v>5178</v>
      </c>
      <c r="AT184" s="82"/>
      <c r="AU184" s="82"/>
      <c r="AV184" s="82">
        <f t="shared" si="52"/>
        <v>0</v>
      </c>
      <c r="AW184" s="82">
        <v>26243.50827172591</v>
      </c>
      <c r="AX184" s="149">
        <v>-4425.216173732468</v>
      </c>
      <c r="AY184" s="81">
        <f t="shared" si="53"/>
        <v>-3939489.4431846538</v>
      </c>
      <c r="AZ184" s="409"/>
      <c r="BA184" s="81"/>
      <c r="BB184" s="81"/>
      <c r="BC184" s="81"/>
      <c r="BD184" s="81"/>
      <c r="BE184" s="81"/>
      <c r="BF184" s="81"/>
      <c r="BG184" s="81"/>
    </row>
    <row r="185" spans="1:59" ht="12.75">
      <c r="A185" s="81">
        <v>543</v>
      </c>
      <c r="B185" s="81" t="s">
        <v>305</v>
      </c>
      <c r="C185" s="81">
        <v>1</v>
      </c>
      <c r="D185" s="81">
        <v>42665</v>
      </c>
      <c r="E185" s="100">
        <v>114405038.071693</v>
      </c>
      <c r="F185" s="81">
        <v>61704685</v>
      </c>
      <c r="G185" s="81">
        <v>9078481.505176704</v>
      </c>
      <c r="H185" s="81">
        <v>5438126.721468671</v>
      </c>
      <c r="I185" s="156">
        <v>29803324.801768042</v>
      </c>
      <c r="J185" s="156">
        <v>4898361.705678631</v>
      </c>
      <c r="K185" s="81">
        <v>1142535.1241142189</v>
      </c>
      <c r="L185" s="81">
        <v>-6524910</v>
      </c>
      <c r="M185" s="82">
        <v>910000</v>
      </c>
      <c r="N185" s="82">
        <v>626629.0554412014</v>
      </c>
      <c r="O185" s="214">
        <f t="shared" si="37"/>
        <v>-7327804.15804553</v>
      </c>
      <c r="P185" s="215">
        <f t="shared" si="38"/>
        <v>-171.7521190213414</v>
      </c>
      <c r="Q185" s="81"/>
      <c r="R185" s="223">
        <v>247699312</v>
      </c>
      <c r="S185" s="156">
        <v>178913705.56</v>
      </c>
      <c r="T185" s="156">
        <v>8157190.082203007</v>
      </c>
      <c r="U185" s="156">
        <v>37137719.692535505</v>
      </c>
      <c r="V185" s="156">
        <v>14089369.295276418</v>
      </c>
      <c r="W185" s="156">
        <v>3463571.5051767044</v>
      </c>
      <c r="X185" s="214">
        <f t="shared" si="39"/>
        <v>-5937755.864808351</v>
      </c>
      <c r="Y185" s="215">
        <f t="shared" si="40"/>
        <v>-139.17158947165944</v>
      </c>
      <c r="Z185" s="81"/>
      <c r="AA185" s="94">
        <f t="shared" si="41"/>
        <v>-1390048.2932371795</v>
      </c>
      <c r="AB185" s="153">
        <f t="shared" si="42"/>
        <v>-32.58052954968193</v>
      </c>
      <c r="AD185" s="216">
        <v>1566223.6161972205</v>
      </c>
      <c r="AE185" s="224">
        <v>835536.4993588497</v>
      </c>
      <c r="AF185" s="224">
        <v>156351.26171698974</v>
      </c>
      <c r="AG185" s="224">
        <v>54388.31691486062</v>
      </c>
      <c r="AH185" s="225">
        <v>63385.87732381891</v>
      </c>
      <c r="AJ185" s="81">
        <f t="shared" si="43"/>
        <v>117209020.56</v>
      </c>
      <c r="AK185" s="81">
        <f t="shared" si="44"/>
        <v>2719063.360734336</v>
      </c>
      <c r="AL185" s="81">
        <f t="shared" si="45"/>
        <v>7334394.890767463</v>
      </c>
      <c r="AM185" s="81">
        <f t="shared" si="46"/>
        <v>133294273.928307</v>
      </c>
      <c r="AN185" s="81">
        <f t="shared" si="47"/>
        <v>1566223.6161972205</v>
      </c>
      <c r="AO185" s="81">
        <f t="shared" si="48"/>
        <v>835536.4993588497</v>
      </c>
      <c r="AP185" s="81">
        <f t="shared" si="49"/>
        <v>156351.26171698974</v>
      </c>
      <c r="AQ185" s="81">
        <f t="shared" si="50"/>
        <v>54388.31691486062</v>
      </c>
      <c r="AR185" s="81">
        <f t="shared" si="51"/>
        <v>63385.87732381891</v>
      </c>
      <c r="AS185" s="82">
        <v>18033</v>
      </c>
      <c r="AT185" s="82"/>
      <c r="AU185" s="82"/>
      <c r="AV185" s="82">
        <f t="shared" si="52"/>
        <v>0</v>
      </c>
      <c r="AW185" s="82">
        <v>15514.053413708243</v>
      </c>
      <c r="AX185" s="149">
        <v>8460.779455971126</v>
      </c>
      <c r="AY185" s="81">
        <f t="shared" si="53"/>
        <v>-9191007.589597788</v>
      </c>
      <c r="AZ185" s="409"/>
      <c r="BA185" s="81"/>
      <c r="BB185" s="81"/>
      <c r="BC185" s="81"/>
      <c r="BD185" s="81"/>
      <c r="BE185" s="81"/>
      <c r="BF185" s="81"/>
      <c r="BG185" s="81"/>
    </row>
    <row r="186" spans="1:59" ht="12.75">
      <c r="A186" s="81">
        <v>545</v>
      </c>
      <c r="B186" s="81" t="s">
        <v>306</v>
      </c>
      <c r="C186" s="81">
        <v>15</v>
      </c>
      <c r="D186" s="81">
        <v>9471</v>
      </c>
      <c r="E186" s="100">
        <v>26630977.561248578</v>
      </c>
      <c r="F186" s="81">
        <v>11027506</v>
      </c>
      <c r="G186" s="81">
        <v>2880421.4674429577</v>
      </c>
      <c r="H186" s="81">
        <v>1751171.6086581023</v>
      </c>
      <c r="I186" s="156">
        <v>9614346.867263662</v>
      </c>
      <c r="J186" s="156">
        <v>1929000.6648598197</v>
      </c>
      <c r="K186" s="81">
        <v>1062489.8684213497</v>
      </c>
      <c r="L186" s="81">
        <v>327662</v>
      </c>
      <c r="M186" s="82">
        <v>191000</v>
      </c>
      <c r="N186" s="82">
        <v>87281.93102737608</v>
      </c>
      <c r="O186" s="214">
        <f t="shared" si="37"/>
        <v>2239902.8464246914</v>
      </c>
      <c r="P186" s="215">
        <f t="shared" si="38"/>
        <v>236.5011980176002</v>
      </c>
      <c r="Q186" s="81"/>
      <c r="R186" s="223">
        <v>63366940</v>
      </c>
      <c r="S186" s="156">
        <v>26856467.58</v>
      </c>
      <c r="T186" s="156">
        <v>2626757.4129871535</v>
      </c>
      <c r="U186" s="156">
        <v>27652851.154837683</v>
      </c>
      <c r="V186" s="156">
        <v>6058883.023601809</v>
      </c>
      <c r="W186" s="156">
        <v>3399083.4674429577</v>
      </c>
      <c r="X186" s="214">
        <f t="shared" si="39"/>
        <v>3227102.6388695985</v>
      </c>
      <c r="Y186" s="215">
        <f t="shared" si="40"/>
        <v>340.735153507507</v>
      </c>
      <c r="Z186" s="81"/>
      <c r="AA186" s="94">
        <f t="shared" si="41"/>
        <v>-987199.7924449071</v>
      </c>
      <c r="AB186" s="153">
        <f t="shared" si="42"/>
        <v>-104.23395548990678</v>
      </c>
      <c r="AD186" s="216">
        <v>1026308.1127016816</v>
      </c>
      <c r="AE186" s="224">
        <v>864106.3622369868</v>
      </c>
      <c r="AF186" s="224">
        <v>713337.2684667755</v>
      </c>
      <c r="AG186" s="224">
        <v>573078.19569115</v>
      </c>
      <c r="AH186" s="225">
        <v>433010.52124214603</v>
      </c>
      <c r="AJ186" s="81">
        <f t="shared" si="43"/>
        <v>15828961.579999998</v>
      </c>
      <c r="AK186" s="81">
        <f t="shared" si="44"/>
        <v>875585.8043290512</v>
      </c>
      <c r="AL186" s="81">
        <f t="shared" si="45"/>
        <v>18038504.287574023</v>
      </c>
      <c r="AM186" s="81">
        <f t="shared" si="46"/>
        <v>36735962.43875142</v>
      </c>
      <c r="AN186" s="81">
        <f t="shared" si="47"/>
        <v>1026308.1127016816</v>
      </c>
      <c r="AO186" s="81">
        <f t="shared" si="48"/>
        <v>864106.3622369868</v>
      </c>
      <c r="AP186" s="81">
        <f t="shared" si="49"/>
        <v>713337.2684667755</v>
      </c>
      <c r="AQ186" s="81">
        <f t="shared" si="50"/>
        <v>573078.19569115</v>
      </c>
      <c r="AR186" s="81">
        <f t="shared" si="51"/>
        <v>433010.52124214603</v>
      </c>
      <c r="AS186" s="82">
        <v>3161</v>
      </c>
      <c r="AT186" s="82">
        <v>47</v>
      </c>
      <c r="AU186" s="82"/>
      <c r="AV186" s="82">
        <f t="shared" si="52"/>
        <v>47</v>
      </c>
      <c r="AW186" s="82">
        <v>14271.238218979463</v>
      </c>
      <c r="AX186" s="149">
        <v>-3565.474403318513</v>
      </c>
      <c r="AY186" s="81">
        <f t="shared" si="53"/>
        <v>-4129882.358741989</v>
      </c>
      <c r="AZ186" s="409"/>
      <c r="BA186" s="81"/>
      <c r="BB186" s="81"/>
      <c r="BC186" s="81"/>
      <c r="BD186" s="81"/>
      <c r="BE186" s="81"/>
      <c r="BF186" s="81"/>
      <c r="BG186" s="81"/>
    </row>
    <row r="187" spans="1:59" ht="12.75">
      <c r="A187" s="81">
        <v>560</v>
      </c>
      <c r="B187" s="81" t="s">
        <v>307</v>
      </c>
      <c r="C187" s="81">
        <v>7</v>
      </c>
      <c r="D187" s="81">
        <v>16091</v>
      </c>
      <c r="E187" s="100">
        <v>38617265.99567189</v>
      </c>
      <c r="F187" s="81">
        <v>19526375</v>
      </c>
      <c r="G187" s="81">
        <v>4402198.908304086</v>
      </c>
      <c r="H187" s="81">
        <v>1576164.7154905344</v>
      </c>
      <c r="I187" s="156">
        <v>12567471.686053935</v>
      </c>
      <c r="J187" s="156">
        <v>2537352.6577794394</v>
      </c>
      <c r="K187" s="81">
        <v>-1840114.019145298</v>
      </c>
      <c r="L187" s="81">
        <v>-2112987</v>
      </c>
      <c r="M187" s="82">
        <v>2526300</v>
      </c>
      <c r="N187" s="82">
        <v>164075.58799496468</v>
      </c>
      <c r="O187" s="214">
        <f t="shared" si="37"/>
        <v>729571.540805772</v>
      </c>
      <c r="P187" s="215">
        <f t="shared" si="38"/>
        <v>45.34034807070859</v>
      </c>
      <c r="Q187" s="81"/>
      <c r="R187" s="223">
        <v>96946808</v>
      </c>
      <c r="S187" s="156">
        <v>50140077.662499994</v>
      </c>
      <c r="T187" s="156">
        <v>2364247.0732358014</v>
      </c>
      <c r="U187" s="156">
        <v>31487261.822640207</v>
      </c>
      <c r="V187" s="156">
        <v>7802244.788623706</v>
      </c>
      <c r="W187" s="156">
        <v>4815511.908304086</v>
      </c>
      <c r="X187" s="214">
        <f t="shared" si="39"/>
        <v>-337464.7446961999</v>
      </c>
      <c r="Y187" s="215">
        <f t="shared" si="40"/>
        <v>-20.972266776222728</v>
      </c>
      <c r="Z187" s="81"/>
      <c r="AA187" s="94">
        <f t="shared" si="41"/>
        <v>1067036.2855019718</v>
      </c>
      <c r="AB187" s="153">
        <f t="shared" si="42"/>
        <v>66.31261484693133</v>
      </c>
      <c r="AD187" s="216">
        <v>-1000592.1949886756</v>
      </c>
      <c r="AE187" s="224">
        <v>-793439.0471402335</v>
      </c>
      <c r="AF187" s="224">
        <v>-566862.0919989038</v>
      </c>
      <c r="AG187" s="224">
        <v>-322428.8653103377</v>
      </c>
      <c r="AH187" s="225">
        <v>-77670.45749267572</v>
      </c>
      <c r="AJ187" s="81">
        <f t="shared" si="43"/>
        <v>30613702.662499994</v>
      </c>
      <c r="AK187" s="81">
        <f t="shared" si="44"/>
        <v>788082.357745267</v>
      </c>
      <c r="AL187" s="81">
        <f t="shared" si="45"/>
        <v>18919790.13658627</v>
      </c>
      <c r="AM187" s="81">
        <f t="shared" si="46"/>
        <v>58329542.00432811</v>
      </c>
      <c r="AN187" s="81">
        <f t="shared" si="47"/>
        <v>-1000592.1949886756</v>
      </c>
      <c r="AO187" s="81">
        <f t="shared" si="48"/>
        <v>-793439.0471402335</v>
      </c>
      <c r="AP187" s="81">
        <f t="shared" si="49"/>
        <v>-566862.0919989038</v>
      </c>
      <c r="AQ187" s="81">
        <f t="shared" si="50"/>
        <v>-322428.8653103377</v>
      </c>
      <c r="AR187" s="81">
        <f t="shared" si="51"/>
        <v>-77670.45749267572</v>
      </c>
      <c r="AS187" s="82">
        <v>4654</v>
      </c>
      <c r="AT187" s="82"/>
      <c r="AU187" s="82"/>
      <c r="AV187" s="82">
        <f t="shared" si="52"/>
        <v>0</v>
      </c>
      <c r="AW187" s="82">
        <v>14634.110500932518</v>
      </c>
      <c r="AX187" s="149">
        <v>-4256.9329283931465</v>
      </c>
      <c r="AY187" s="81">
        <f t="shared" si="53"/>
        <v>-5264892.130844267</v>
      </c>
      <c r="AZ187" s="409"/>
      <c r="BA187" s="81"/>
      <c r="BB187" s="81"/>
      <c r="BC187" s="81"/>
      <c r="BD187" s="81"/>
      <c r="BE187" s="81"/>
      <c r="BF187" s="81"/>
      <c r="BG187" s="81"/>
    </row>
    <row r="188" spans="1:59" ht="12.75">
      <c r="A188" s="81">
        <v>561</v>
      </c>
      <c r="B188" s="81" t="s">
        <v>308</v>
      </c>
      <c r="C188" s="81">
        <v>2</v>
      </c>
      <c r="D188" s="81">
        <v>1364</v>
      </c>
      <c r="E188" s="100">
        <v>2978539.411940147</v>
      </c>
      <c r="F188" s="81">
        <v>1472637</v>
      </c>
      <c r="G188" s="81">
        <v>316304.29128039005</v>
      </c>
      <c r="H188" s="81">
        <v>307004.5753369056</v>
      </c>
      <c r="I188" s="156">
        <v>1379431.6602131925</v>
      </c>
      <c r="J188" s="156">
        <v>259064.80323593412</v>
      </c>
      <c r="K188" s="81">
        <v>-464564.1814105145</v>
      </c>
      <c r="L188" s="81">
        <v>-319867</v>
      </c>
      <c r="M188" s="82">
        <v>-52000</v>
      </c>
      <c r="N188" s="82">
        <v>12133.750131574436</v>
      </c>
      <c r="O188" s="214">
        <f t="shared" si="37"/>
        <v>-68394.513152665</v>
      </c>
      <c r="P188" s="215">
        <f t="shared" si="38"/>
        <v>-50.14260495063416</v>
      </c>
      <c r="Q188" s="81"/>
      <c r="R188" s="223">
        <v>9028740</v>
      </c>
      <c r="S188" s="156">
        <v>3641365.69</v>
      </c>
      <c r="T188" s="156">
        <v>460506.86300535843</v>
      </c>
      <c r="U188" s="156">
        <v>3835552.4340408044</v>
      </c>
      <c r="V188" s="156">
        <v>810560.3608163997</v>
      </c>
      <c r="W188" s="156">
        <v>-55562.708719609946</v>
      </c>
      <c r="X188" s="214">
        <f t="shared" si="39"/>
        <v>-336317.36085704714</v>
      </c>
      <c r="Y188" s="215">
        <f t="shared" si="40"/>
        <v>-246.56698010047444</v>
      </c>
      <c r="Z188" s="81"/>
      <c r="AA188" s="94">
        <f t="shared" si="41"/>
        <v>267922.84770438215</v>
      </c>
      <c r="AB188" s="153">
        <f t="shared" si="42"/>
        <v>196.42437514984027</v>
      </c>
      <c r="AD188" s="216">
        <v>-262290.52283581125</v>
      </c>
      <c r="AE188" s="224">
        <v>-244730.58910482653</v>
      </c>
      <c r="AF188" s="224">
        <v>-225524.14035628553</v>
      </c>
      <c r="AG188" s="224">
        <v>-204804.05327635235</v>
      </c>
      <c r="AH188" s="225">
        <v>-184056.40128062243</v>
      </c>
      <c r="AJ188" s="81">
        <f t="shared" si="43"/>
        <v>2168728.69</v>
      </c>
      <c r="AK188" s="81">
        <f t="shared" si="44"/>
        <v>153502.28766845283</v>
      </c>
      <c r="AL188" s="81">
        <f t="shared" si="45"/>
        <v>2456120.773827612</v>
      </c>
      <c r="AM188" s="81">
        <f t="shared" si="46"/>
        <v>6050200.588059853</v>
      </c>
      <c r="AN188" s="81">
        <f t="shared" si="47"/>
        <v>-262290.52283581125</v>
      </c>
      <c r="AO188" s="81">
        <f t="shared" si="48"/>
        <v>-244730.58910482653</v>
      </c>
      <c r="AP188" s="81">
        <f t="shared" si="49"/>
        <v>-225524.14035628553</v>
      </c>
      <c r="AQ188" s="81">
        <f t="shared" si="50"/>
        <v>-204804.05327635235</v>
      </c>
      <c r="AR188" s="81">
        <f t="shared" si="51"/>
        <v>-184056.40128062243</v>
      </c>
      <c r="AS188" s="82">
        <v>443</v>
      </c>
      <c r="AT188" s="82"/>
      <c r="AU188" s="82"/>
      <c r="AV188" s="82">
        <f t="shared" si="52"/>
        <v>0</v>
      </c>
      <c r="AW188" s="82">
        <v>1902.7597692119393</v>
      </c>
      <c r="AX188" s="149">
        <v>-522.6755733999692</v>
      </c>
      <c r="AY188" s="81">
        <f t="shared" si="53"/>
        <v>-551495.5575804656</v>
      </c>
      <c r="AZ188" s="409"/>
      <c r="BA188" s="81"/>
      <c r="BB188" s="81"/>
      <c r="BC188" s="81"/>
      <c r="BD188" s="81"/>
      <c r="BE188" s="81"/>
      <c r="BF188" s="81"/>
      <c r="BG188" s="81"/>
    </row>
    <row r="189" spans="1:59" ht="12.75">
      <c r="A189" s="81">
        <v>562</v>
      </c>
      <c r="B189" s="81" t="s">
        <v>309</v>
      </c>
      <c r="C189" s="81">
        <v>6</v>
      </c>
      <c r="D189" s="81">
        <v>9221</v>
      </c>
      <c r="E189" s="100">
        <v>23159793.467752762</v>
      </c>
      <c r="F189" s="81">
        <v>12508705</v>
      </c>
      <c r="G189" s="81">
        <v>2857872.8946016203</v>
      </c>
      <c r="H189" s="81">
        <v>1224549.1794945025</v>
      </c>
      <c r="I189" s="156">
        <v>5788095.311044704</v>
      </c>
      <c r="J189" s="156">
        <v>1554955.9847453851</v>
      </c>
      <c r="K189" s="81">
        <v>-1011590.9561782724</v>
      </c>
      <c r="L189" s="81">
        <v>-485789</v>
      </c>
      <c r="M189" s="82">
        <v>-148000</v>
      </c>
      <c r="N189" s="82">
        <v>91332.6165871798</v>
      </c>
      <c r="O189" s="214">
        <f t="shared" si="37"/>
        <v>-779662.4374576434</v>
      </c>
      <c r="P189" s="215">
        <f t="shared" si="38"/>
        <v>-84.55291589389908</v>
      </c>
      <c r="Q189" s="81"/>
      <c r="R189" s="223">
        <v>60581136</v>
      </c>
      <c r="S189" s="156">
        <v>29376222.66</v>
      </c>
      <c r="T189" s="156">
        <v>1836823.7692417537</v>
      </c>
      <c r="U189" s="156">
        <v>20904778.33791413</v>
      </c>
      <c r="V189" s="156">
        <v>4790505.091518794</v>
      </c>
      <c r="W189" s="156">
        <v>2224083.8946016203</v>
      </c>
      <c r="X189" s="214">
        <f t="shared" si="39"/>
        <v>-1448722.2467236966</v>
      </c>
      <c r="Y189" s="215">
        <f t="shared" si="40"/>
        <v>-157.11118606698804</v>
      </c>
      <c r="Z189" s="81"/>
      <c r="AA189" s="94">
        <f t="shared" si="41"/>
        <v>669059.8092660531</v>
      </c>
      <c r="AB189" s="153">
        <f t="shared" si="42"/>
        <v>72.55827017308894</v>
      </c>
      <c r="AD189" s="216">
        <v>-630983.8066171621</v>
      </c>
      <c r="AE189" s="224">
        <v>-512274.0200090901</v>
      </c>
      <c r="AF189" s="224">
        <v>-382433.3573182566</v>
      </c>
      <c r="AG189" s="224">
        <v>-242360.10001322473</v>
      </c>
      <c r="AH189" s="225">
        <v>-102100.49660220857</v>
      </c>
      <c r="AJ189" s="81">
        <f t="shared" si="43"/>
        <v>16867517.66</v>
      </c>
      <c r="AK189" s="81">
        <f t="shared" si="44"/>
        <v>612274.5897472512</v>
      </c>
      <c r="AL189" s="81">
        <f t="shared" si="45"/>
        <v>15116683.026869427</v>
      </c>
      <c r="AM189" s="81">
        <f t="shared" si="46"/>
        <v>37421342.53224724</v>
      </c>
      <c r="AN189" s="81">
        <f t="shared" si="47"/>
        <v>-630983.8066171621</v>
      </c>
      <c r="AO189" s="81">
        <f t="shared" si="48"/>
        <v>-512274.0200090901</v>
      </c>
      <c r="AP189" s="81">
        <f t="shared" si="49"/>
        <v>-382433.3573182566</v>
      </c>
      <c r="AQ189" s="81">
        <f t="shared" si="50"/>
        <v>-242360.10001322473</v>
      </c>
      <c r="AR189" s="81">
        <f t="shared" si="51"/>
        <v>-102100.49660220857</v>
      </c>
      <c r="AS189" s="82">
        <v>3140</v>
      </c>
      <c r="AT189" s="82"/>
      <c r="AU189" s="82"/>
      <c r="AV189" s="82">
        <f t="shared" si="52"/>
        <v>0</v>
      </c>
      <c r="AW189" s="82">
        <v>12484.041149920136</v>
      </c>
      <c r="AX189" s="149">
        <v>-2702.354590749083</v>
      </c>
      <c r="AY189" s="81">
        <f t="shared" si="53"/>
        <v>-3235549.106773409</v>
      </c>
      <c r="AZ189" s="409"/>
      <c r="BA189" s="81"/>
      <c r="BB189" s="81"/>
      <c r="BC189" s="81"/>
      <c r="BD189" s="81"/>
      <c r="BE189" s="81"/>
      <c r="BF189" s="81"/>
      <c r="BG189" s="81"/>
    </row>
    <row r="190" spans="1:59" ht="12.75">
      <c r="A190" s="81">
        <v>563</v>
      </c>
      <c r="B190" s="81" t="s">
        <v>310</v>
      </c>
      <c r="C190" s="81">
        <v>17</v>
      </c>
      <c r="D190" s="81">
        <v>7430</v>
      </c>
      <c r="E190" s="100">
        <v>20700874.671357706</v>
      </c>
      <c r="F190" s="81">
        <v>9668906</v>
      </c>
      <c r="G190" s="81">
        <v>1994807.5964253922</v>
      </c>
      <c r="H190" s="81">
        <v>1051479.1554486912</v>
      </c>
      <c r="I190" s="156">
        <v>7195084.6275937855</v>
      </c>
      <c r="J190" s="156">
        <v>1208138.5702222842</v>
      </c>
      <c r="K190" s="81">
        <v>-327373.5680837989</v>
      </c>
      <c r="L190" s="81">
        <v>-375814</v>
      </c>
      <c r="M190" s="82">
        <v>396206</v>
      </c>
      <c r="N190" s="82">
        <v>70020.18368272201</v>
      </c>
      <c r="O190" s="214">
        <f t="shared" si="37"/>
        <v>180579.89393137023</v>
      </c>
      <c r="P190" s="215">
        <f t="shared" si="38"/>
        <v>24.304157998838523</v>
      </c>
      <c r="Q190" s="81"/>
      <c r="R190" s="223">
        <v>54473916</v>
      </c>
      <c r="S190" s="156">
        <v>22544055.5</v>
      </c>
      <c r="T190" s="156">
        <v>1577218.7331730367</v>
      </c>
      <c r="U190" s="156">
        <v>24005883.381770514</v>
      </c>
      <c r="V190" s="156">
        <v>3731132.7635170515</v>
      </c>
      <c r="W190" s="156">
        <v>2015199.5964253922</v>
      </c>
      <c r="X190" s="214">
        <f t="shared" si="39"/>
        <v>-600426.0251140073</v>
      </c>
      <c r="Y190" s="215">
        <f t="shared" si="40"/>
        <v>-80.81103971924728</v>
      </c>
      <c r="Z190" s="81"/>
      <c r="AA190" s="94">
        <f t="shared" si="41"/>
        <v>781005.9190453775</v>
      </c>
      <c r="AB190" s="153">
        <f t="shared" si="42"/>
        <v>105.11519771808581</v>
      </c>
      <c r="AD190" s="216">
        <v>-750325.4397393047</v>
      </c>
      <c r="AE190" s="224">
        <v>-654672.721541932</v>
      </c>
      <c r="AF190" s="224">
        <v>-550051.0835641755</v>
      </c>
      <c r="AG190" s="224">
        <v>-437184.3335613139</v>
      </c>
      <c r="AH190" s="225">
        <v>-324167.4315611133</v>
      </c>
      <c r="AJ190" s="81">
        <f t="shared" si="43"/>
        <v>12875149.5</v>
      </c>
      <c r="AK190" s="81">
        <f t="shared" si="44"/>
        <v>525739.5777243455</v>
      </c>
      <c r="AL190" s="81">
        <f t="shared" si="45"/>
        <v>16810798.75417673</v>
      </c>
      <c r="AM190" s="81">
        <f t="shared" si="46"/>
        <v>33773041.328642294</v>
      </c>
      <c r="AN190" s="81">
        <f t="shared" si="47"/>
        <v>-750325.4397393047</v>
      </c>
      <c r="AO190" s="81">
        <f t="shared" si="48"/>
        <v>-654672.721541932</v>
      </c>
      <c r="AP190" s="81">
        <f t="shared" si="49"/>
        <v>-550051.0835641755</v>
      </c>
      <c r="AQ190" s="81">
        <f t="shared" si="50"/>
        <v>-437184.3335613139</v>
      </c>
      <c r="AR190" s="81">
        <f t="shared" si="51"/>
        <v>-324167.4315611133</v>
      </c>
      <c r="AS190" s="82">
        <v>2370</v>
      </c>
      <c r="AT190" s="82">
        <v>79</v>
      </c>
      <c r="AU190" s="82"/>
      <c r="AV190" s="82">
        <f t="shared" si="52"/>
        <v>79</v>
      </c>
      <c r="AW190" s="82">
        <v>14616.4557451386</v>
      </c>
      <c r="AX190" s="149">
        <v>-2817.5703613432606</v>
      </c>
      <c r="AY190" s="81">
        <f t="shared" si="53"/>
        <v>-2522994.1932947673</v>
      </c>
      <c r="AZ190" s="409"/>
      <c r="BA190" s="81"/>
      <c r="BB190" s="81"/>
      <c r="BC190" s="81"/>
      <c r="BD190" s="81"/>
      <c r="BE190" s="81"/>
      <c r="BF190" s="81"/>
      <c r="BG190" s="81"/>
    </row>
    <row r="191" spans="1:59" ht="12.75">
      <c r="A191" s="81">
        <v>564</v>
      </c>
      <c r="B191" s="81" t="s">
        <v>311</v>
      </c>
      <c r="C191" s="81">
        <v>17</v>
      </c>
      <c r="D191" s="81">
        <v>203567</v>
      </c>
      <c r="E191" s="100">
        <v>511341626.51345587</v>
      </c>
      <c r="F191" s="81">
        <v>256747477</v>
      </c>
      <c r="G191" s="81">
        <v>55617290.374482736</v>
      </c>
      <c r="H191" s="81">
        <v>26626120.696548175</v>
      </c>
      <c r="I191" s="156">
        <v>128180322.45983794</v>
      </c>
      <c r="J191" s="156">
        <v>27361722.594833218</v>
      </c>
      <c r="K191" s="81">
        <v>-15904770.926272899</v>
      </c>
      <c r="L191" s="81">
        <v>-4445469</v>
      </c>
      <c r="M191" s="82">
        <v>5390326.33</v>
      </c>
      <c r="N191" s="82">
        <v>2470683.8894097456</v>
      </c>
      <c r="O191" s="214">
        <f t="shared" si="37"/>
        <v>-29297923.09461695</v>
      </c>
      <c r="P191" s="215">
        <f t="shared" si="38"/>
        <v>-143.92275317029257</v>
      </c>
      <c r="Q191" s="81"/>
      <c r="R191" s="223">
        <v>1177264816</v>
      </c>
      <c r="S191" s="156">
        <v>716288942.4000001</v>
      </c>
      <c r="T191" s="156">
        <v>39939181.04482226</v>
      </c>
      <c r="U191" s="156">
        <v>247757731.98286065</v>
      </c>
      <c r="V191" s="156">
        <v>81967664.22800392</v>
      </c>
      <c r="W191" s="156">
        <v>56562147.704482734</v>
      </c>
      <c r="X191" s="214">
        <f t="shared" si="39"/>
        <v>-34749148.63983035</v>
      </c>
      <c r="Y191" s="215">
        <f t="shared" si="40"/>
        <v>-170.7012857674886</v>
      </c>
      <c r="Z191" s="81"/>
      <c r="AA191" s="94">
        <f t="shared" si="41"/>
        <v>5451225.545213401</v>
      </c>
      <c r="AB191" s="153">
        <f t="shared" si="42"/>
        <v>26.778532597196016</v>
      </c>
      <c r="AD191" s="216">
        <v>-4610642.351283526</v>
      </c>
      <c r="AE191" s="224">
        <v>-1989950.9804511424</v>
      </c>
      <c r="AF191" s="224">
        <v>220686.2307403886</v>
      </c>
      <c r="AG191" s="224">
        <v>259502.32062363604</v>
      </c>
      <c r="AH191" s="225">
        <v>302432.27210073464</v>
      </c>
      <c r="AJ191" s="81">
        <f t="shared" si="43"/>
        <v>459541465.4000001</v>
      </c>
      <c r="AK191" s="81">
        <f t="shared" si="44"/>
        <v>13313060.348274086</v>
      </c>
      <c r="AL191" s="81">
        <f t="shared" si="45"/>
        <v>119577409.52302271</v>
      </c>
      <c r="AM191" s="81">
        <f t="shared" si="46"/>
        <v>665923189.4865441</v>
      </c>
      <c r="AN191" s="81">
        <f t="shared" si="47"/>
        <v>-4610642.351283526</v>
      </c>
      <c r="AO191" s="81">
        <f t="shared" si="48"/>
        <v>-1989950.9804511424</v>
      </c>
      <c r="AP191" s="81">
        <f t="shared" si="49"/>
        <v>220686.2307403886</v>
      </c>
      <c r="AQ191" s="81">
        <f t="shared" si="50"/>
        <v>259502.32062363604</v>
      </c>
      <c r="AR191" s="81">
        <f t="shared" si="51"/>
        <v>302432.27210073464</v>
      </c>
      <c r="AS191" s="82">
        <v>87249</v>
      </c>
      <c r="AT191" s="82">
        <v>1242</v>
      </c>
      <c r="AU191" s="82">
        <v>666</v>
      </c>
      <c r="AV191" s="82">
        <f t="shared" si="52"/>
        <v>1908</v>
      </c>
      <c r="AW191" s="82">
        <v>114819.83032910406</v>
      </c>
      <c r="AX191" s="149">
        <v>-1262.3931562239752</v>
      </c>
      <c r="AY191" s="81">
        <f t="shared" si="53"/>
        <v>-54605941.6331707</v>
      </c>
      <c r="AZ191" s="409"/>
      <c r="BA191" s="81"/>
      <c r="BB191" s="81"/>
      <c r="BC191" s="81"/>
      <c r="BD191" s="81"/>
      <c r="BE191" s="81"/>
      <c r="BF191" s="81"/>
      <c r="BG191" s="81"/>
    </row>
    <row r="192" spans="1:59" ht="12.75">
      <c r="A192" s="81">
        <v>576</v>
      </c>
      <c r="B192" s="81" t="s">
        <v>313</v>
      </c>
      <c r="C192" s="81">
        <v>7</v>
      </c>
      <c r="D192" s="81">
        <v>2963</v>
      </c>
      <c r="E192" s="100">
        <v>6819202.177618105</v>
      </c>
      <c r="F192" s="81">
        <v>3267966</v>
      </c>
      <c r="G192" s="81">
        <v>1397594.6317971295</v>
      </c>
      <c r="H192" s="81">
        <v>769318.988218704</v>
      </c>
      <c r="I192" s="156">
        <v>1030676.0501985829</v>
      </c>
      <c r="J192" s="156">
        <v>577871.9622987583</v>
      </c>
      <c r="K192" s="81">
        <v>1034.2584508043765</v>
      </c>
      <c r="L192" s="81">
        <v>-295128</v>
      </c>
      <c r="M192" s="82">
        <v>80000</v>
      </c>
      <c r="N192" s="82">
        <v>27785.261474089893</v>
      </c>
      <c r="O192" s="214">
        <f t="shared" si="37"/>
        <v>37916.9748199638</v>
      </c>
      <c r="P192" s="215">
        <f t="shared" si="38"/>
        <v>12.796819041499763</v>
      </c>
      <c r="Q192" s="81"/>
      <c r="R192" s="223">
        <v>21332276</v>
      </c>
      <c r="S192" s="156">
        <v>8201019.02</v>
      </c>
      <c r="T192" s="156">
        <v>1153978.4823280561</v>
      </c>
      <c r="U192" s="156">
        <v>9205483.12270254</v>
      </c>
      <c r="V192" s="156">
        <v>1806444.2255243987</v>
      </c>
      <c r="W192" s="156">
        <v>1182466.6317971295</v>
      </c>
      <c r="X192" s="214">
        <f t="shared" si="39"/>
        <v>217115.48235212266</v>
      </c>
      <c r="Y192" s="215">
        <f t="shared" si="40"/>
        <v>73.27555934934954</v>
      </c>
      <c r="Z192" s="81"/>
      <c r="AA192" s="94">
        <f t="shared" si="41"/>
        <v>-179198.50753215887</v>
      </c>
      <c r="AB192" s="153">
        <f t="shared" si="42"/>
        <v>-60.47874030784977</v>
      </c>
      <c r="AD192" s="216">
        <v>191433.53582070666</v>
      </c>
      <c r="AE192" s="224">
        <v>140688.75843427537</v>
      </c>
      <c r="AF192" s="224">
        <v>93520.68485797558</v>
      </c>
      <c r="AG192" s="224">
        <v>49640.66874202388</v>
      </c>
      <c r="AH192" s="225">
        <v>5820.531545064863</v>
      </c>
      <c r="AJ192" s="81">
        <f t="shared" si="43"/>
        <v>4933053.02</v>
      </c>
      <c r="AK192" s="81">
        <f t="shared" si="44"/>
        <v>384659.4941093521</v>
      </c>
      <c r="AL192" s="81">
        <f t="shared" si="45"/>
        <v>8174807.072503958</v>
      </c>
      <c r="AM192" s="81">
        <f t="shared" si="46"/>
        <v>14513073.822381895</v>
      </c>
      <c r="AN192" s="81">
        <f t="shared" si="47"/>
        <v>191433.53582070666</v>
      </c>
      <c r="AO192" s="81">
        <f t="shared" si="48"/>
        <v>140688.75843427537</v>
      </c>
      <c r="AP192" s="81">
        <f t="shared" si="49"/>
        <v>93520.68485797558</v>
      </c>
      <c r="AQ192" s="81">
        <f t="shared" si="50"/>
        <v>49640.66874202388</v>
      </c>
      <c r="AR192" s="81">
        <f t="shared" si="51"/>
        <v>5820.531545064863</v>
      </c>
      <c r="AS192" s="82">
        <v>1512</v>
      </c>
      <c r="AT192" s="82"/>
      <c r="AU192" s="82"/>
      <c r="AV192" s="82">
        <f t="shared" si="52"/>
        <v>0</v>
      </c>
      <c r="AW192" s="82">
        <v>6793.64308171909</v>
      </c>
      <c r="AX192" s="149">
        <v>-1226.7699321216862</v>
      </c>
      <c r="AY192" s="81">
        <f t="shared" si="53"/>
        <v>-1228572.2632256404</v>
      </c>
      <c r="AZ192" s="409"/>
      <c r="BA192" s="81"/>
      <c r="BB192" s="81"/>
      <c r="BC192" s="81"/>
      <c r="BD192" s="81"/>
      <c r="BE192" s="81"/>
      <c r="BF192" s="81"/>
      <c r="BG192" s="81"/>
    </row>
    <row r="193" spans="1:59" ht="12.75">
      <c r="A193" s="81">
        <v>577</v>
      </c>
      <c r="B193" s="81" t="s">
        <v>314</v>
      </c>
      <c r="C193" s="81">
        <v>2</v>
      </c>
      <c r="D193" s="81">
        <v>10832</v>
      </c>
      <c r="E193" s="100">
        <v>27499672.770823725</v>
      </c>
      <c r="F193" s="81">
        <v>15540475</v>
      </c>
      <c r="G193" s="81">
        <v>2235464.080893096</v>
      </c>
      <c r="H193" s="81">
        <v>781551.936218592</v>
      </c>
      <c r="I193" s="156">
        <v>7291365.966042481</v>
      </c>
      <c r="J193" s="156">
        <v>1471117.1815214953</v>
      </c>
      <c r="K193" s="81">
        <v>-587080.4656542704</v>
      </c>
      <c r="L193" s="81">
        <v>-130042</v>
      </c>
      <c r="M193" s="82">
        <v>630000</v>
      </c>
      <c r="N193" s="82">
        <v>131419.12701326318</v>
      </c>
      <c r="O193" s="214">
        <f t="shared" si="37"/>
        <v>-135401.9447890669</v>
      </c>
      <c r="P193" s="215">
        <f t="shared" si="38"/>
        <v>-12.500179541088157</v>
      </c>
      <c r="Q193" s="81"/>
      <c r="R193" s="223">
        <v>62733944</v>
      </c>
      <c r="S193" s="156">
        <v>40301491.7175</v>
      </c>
      <c r="T193" s="156">
        <v>1172327.904327888</v>
      </c>
      <c r="U193" s="156">
        <v>13400718.003659163</v>
      </c>
      <c r="V193" s="156">
        <v>4401184.307033019</v>
      </c>
      <c r="W193" s="156">
        <v>2735422.080893096</v>
      </c>
      <c r="X193" s="214">
        <f t="shared" si="39"/>
        <v>-722799.986586839</v>
      </c>
      <c r="Y193" s="215">
        <f t="shared" si="40"/>
        <v>-66.72821146481158</v>
      </c>
      <c r="Z193" s="81"/>
      <c r="AA193" s="94">
        <f t="shared" si="41"/>
        <v>587398.041797772</v>
      </c>
      <c r="AB193" s="153">
        <f t="shared" si="42"/>
        <v>54.228031923723414</v>
      </c>
      <c r="AD193" s="216">
        <v>-542669.7844837292</v>
      </c>
      <c r="AE193" s="224">
        <v>-403220.22277256596</v>
      </c>
      <c r="AF193" s="224">
        <v>-250695.11071670352</v>
      </c>
      <c r="AG193" s="224">
        <v>-86149.66845142802</v>
      </c>
      <c r="AH193" s="225">
        <v>16092.718227390282</v>
      </c>
      <c r="AJ193" s="81">
        <f t="shared" si="43"/>
        <v>24761016.7175</v>
      </c>
      <c r="AK193" s="81">
        <f t="shared" si="44"/>
        <v>390775.96810929605</v>
      </c>
      <c r="AL193" s="81">
        <f t="shared" si="45"/>
        <v>6109352.037616681</v>
      </c>
      <c r="AM193" s="81">
        <f t="shared" si="46"/>
        <v>35234271.229176275</v>
      </c>
      <c r="AN193" s="81">
        <f t="shared" si="47"/>
        <v>-542669.7844837292</v>
      </c>
      <c r="AO193" s="81">
        <f t="shared" si="48"/>
        <v>-403220.22277256596</v>
      </c>
      <c r="AP193" s="81">
        <f t="shared" si="49"/>
        <v>-250695.11071670352</v>
      </c>
      <c r="AQ193" s="81">
        <f t="shared" si="50"/>
        <v>-86149.66845142802</v>
      </c>
      <c r="AR193" s="81">
        <f t="shared" si="51"/>
        <v>16092.718227390282</v>
      </c>
      <c r="AS193" s="82">
        <v>2172</v>
      </c>
      <c r="AT193" s="82"/>
      <c r="AU193" s="82"/>
      <c r="AV193" s="82">
        <f t="shared" si="52"/>
        <v>0</v>
      </c>
      <c r="AW193" s="82">
        <v>6632.734766358416</v>
      </c>
      <c r="AX193" s="149">
        <v>239.2133565467491</v>
      </c>
      <c r="AY193" s="81">
        <f t="shared" si="53"/>
        <v>-2930067.125511524</v>
      </c>
      <c r="AZ193" s="409"/>
      <c r="BA193" s="81"/>
      <c r="BB193" s="81"/>
      <c r="BC193" s="81"/>
      <c r="BD193" s="81"/>
      <c r="BE193" s="81"/>
      <c r="BF193" s="81"/>
      <c r="BG193" s="81"/>
    </row>
    <row r="194" spans="1:59" ht="12.75">
      <c r="A194" s="81">
        <v>578</v>
      </c>
      <c r="B194" s="81" t="s">
        <v>315</v>
      </c>
      <c r="C194" s="81">
        <v>18</v>
      </c>
      <c r="D194" s="81">
        <v>3336</v>
      </c>
      <c r="E194" s="100">
        <v>9582869.613924798</v>
      </c>
      <c r="F194" s="81">
        <v>3955302</v>
      </c>
      <c r="G194" s="81">
        <v>1207716.2750154822</v>
      </c>
      <c r="H194" s="81">
        <v>409380.994549296</v>
      </c>
      <c r="I194" s="156">
        <v>2585998.4478910095</v>
      </c>
      <c r="J194" s="156">
        <v>628998.6889250325</v>
      </c>
      <c r="K194" s="81">
        <v>-257204.48582664932</v>
      </c>
      <c r="L194" s="81">
        <v>28746</v>
      </c>
      <c r="M194" s="82">
        <v>-57000</v>
      </c>
      <c r="N194" s="82">
        <v>28481.45430682711</v>
      </c>
      <c r="O194" s="214">
        <f t="shared" si="37"/>
        <v>-1052450.2390637994</v>
      </c>
      <c r="P194" s="215">
        <f t="shared" si="38"/>
        <v>-315.48268557068326</v>
      </c>
      <c r="Q194" s="81"/>
      <c r="R194" s="223">
        <v>26127920</v>
      </c>
      <c r="S194" s="156">
        <v>9201565.64</v>
      </c>
      <c r="T194" s="156">
        <v>614071.491823944</v>
      </c>
      <c r="U194" s="156">
        <v>11923521.870385766</v>
      </c>
      <c r="V194" s="156">
        <v>1967611.9341876954</v>
      </c>
      <c r="W194" s="156">
        <v>1179462.2750154822</v>
      </c>
      <c r="X194" s="214">
        <f t="shared" si="39"/>
        <v>-1241686.788587112</v>
      </c>
      <c r="Y194" s="215">
        <f t="shared" si="40"/>
        <v>-372.20826996016547</v>
      </c>
      <c r="Z194" s="81"/>
      <c r="AA194" s="94">
        <f t="shared" si="41"/>
        <v>189236.5495233126</v>
      </c>
      <c r="AB194" s="153">
        <f t="shared" si="42"/>
        <v>56.725584389482194</v>
      </c>
      <c r="AD194" s="216">
        <v>-175461.3033638235</v>
      </c>
      <c r="AE194" s="224">
        <v>-132514.1340628228</v>
      </c>
      <c r="AF194" s="224">
        <v>-85540.00427900105</v>
      </c>
      <c r="AG194" s="224">
        <v>-34863.89687529361</v>
      </c>
      <c r="AH194" s="225">
        <v>4956.176883915618</v>
      </c>
      <c r="AJ194" s="81">
        <f t="shared" si="43"/>
        <v>5246263.640000001</v>
      </c>
      <c r="AK194" s="81">
        <f t="shared" si="44"/>
        <v>204690.49727464805</v>
      </c>
      <c r="AL194" s="81">
        <f t="shared" si="45"/>
        <v>9337523.422494756</v>
      </c>
      <c r="AM194" s="81">
        <f t="shared" si="46"/>
        <v>16545050.386075202</v>
      </c>
      <c r="AN194" s="81">
        <f t="shared" si="47"/>
        <v>-175461.3033638235</v>
      </c>
      <c r="AO194" s="81">
        <f t="shared" si="48"/>
        <v>-132514.1340628228</v>
      </c>
      <c r="AP194" s="81">
        <f t="shared" si="49"/>
        <v>-85540.00427900105</v>
      </c>
      <c r="AQ194" s="81">
        <f t="shared" si="50"/>
        <v>-34863.89687529361</v>
      </c>
      <c r="AR194" s="81">
        <f t="shared" si="51"/>
        <v>4956.176883915618</v>
      </c>
      <c r="AS194" s="82">
        <v>1341</v>
      </c>
      <c r="AT194" s="82"/>
      <c r="AU194" s="82"/>
      <c r="AV194" s="82">
        <f t="shared" si="52"/>
        <v>0</v>
      </c>
      <c r="AW194" s="82">
        <v>7742.410769731446</v>
      </c>
      <c r="AX194" s="149">
        <v>-1640.0302202738253</v>
      </c>
      <c r="AY194" s="81">
        <f t="shared" si="53"/>
        <v>-1338613.2452626629</v>
      </c>
      <c r="AZ194" s="409"/>
      <c r="BA194" s="81"/>
      <c r="BB194" s="81"/>
      <c r="BC194" s="81"/>
      <c r="BD194" s="81"/>
      <c r="BE194" s="81"/>
      <c r="BF194" s="81"/>
      <c r="BG194" s="81"/>
    </row>
    <row r="195" spans="1:59" ht="12.75">
      <c r="A195" s="81">
        <v>580</v>
      </c>
      <c r="B195" s="81" t="s">
        <v>316</v>
      </c>
      <c r="C195" s="81">
        <v>9</v>
      </c>
      <c r="D195" s="81">
        <v>4842</v>
      </c>
      <c r="E195" s="100">
        <v>10381072.391519036</v>
      </c>
      <c r="F195" s="81">
        <v>4982603</v>
      </c>
      <c r="G195" s="81">
        <v>1261004.304983435</v>
      </c>
      <c r="H195" s="81">
        <v>907153.611021504</v>
      </c>
      <c r="I195" s="156">
        <v>2103813.473278663</v>
      </c>
      <c r="J195" s="156">
        <v>942284.9002489087</v>
      </c>
      <c r="K195" s="81">
        <v>-319849.669605364</v>
      </c>
      <c r="L195" s="81">
        <v>-236086</v>
      </c>
      <c r="M195" s="82">
        <v>5000</v>
      </c>
      <c r="N195" s="82">
        <v>44506.99955808067</v>
      </c>
      <c r="O195" s="214">
        <f t="shared" si="37"/>
        <v>-690641.7720338088</v>
      </c>
      <c r="P195" s="215">
        <f t="shared" si="38"/>
        <v>-142.63564065134423</v>
      </c>
      <c r="Q195" s="81"/>
      <c r="R195" s="223">
        <v>34090616</v>
      </c>
      <c r="S195" s="156">
        <v>13047046.754999999</v>
      </c>
      <c r="T195" s="156">
        <v>1360730.416532256</v>
      </c>
      <c r="U195" s="156">
        <v>14996507.572413482</v>
      </c>
      <c r="V195" s="156">
        <v>2960825.5054838634</v>
      </c>
      <c r="W195" s="156">
        <v>1029918.304983435</v>
      </c>
      <c r="X195" s="214">
        <f t="shared" si="39"/>
        <v>-695587.4455869645</v>
      </c>
      <c r="Y195" s="215">
        <f t="shared" si="40"/>
        <v>-143.657051959307</v>
      </c>
      <c r="Z195" s="81"/>
      <c r="AA195" s="94">
        <f t="shared" si="41"/>
        <v>4945.673553155735</v>
      </c>
      <c r="AB195" s="153">
        <f t="shared" si="42"/>
        <v>1.0214113079627707</v>
      </c>
      <c r="AD195" s="216">
        <v>15048.253876179075</v>
      </c>
      <c r="AE195" s="224">
        <v>9699.117403992626</v>
      </c>
      <c r="AF195" s="224">
        <v>5249.1942664821</v>
      </c>
      <c r="AG195" s="224">
        <v>6172.465264309272</v>
      </c>
      <c r="AH195" s="225">
        <v>7193.587671438677</v>
      </c>
      <c r="AJ195" s="81">
        <f t="shared" si="43"/>
        <v>8064443.754999999</v>
      </c>
      <c r="AK195" s="81">
        <f t="shared" si="44"/>
        <v>453576.8055107519</v>
      </c>
      <c r="AL195" s="81">
        <f t="shared" si="45"/>
        <v>12892694.099134818</v>
      </c>
      <c r="AM195" s="81">
        <f t="shared" si="46"/>
        <v>23709543.608480964</v>
      </c>
      <c r="AN195" s="81">
        <f t="shared" si="47"/>
        <v>15048.253876179075</v>
      </c>
      <c r="AO195" s="81">
        <f t="shared" si="48"/>
        <v>9699.117403992626</v>
      </c>
      <c r="AP195" s="81">
        <f t="shared" si="49"/>
        <v>5249.1942664821</v>
      </c>
      <c r="AQ195" s="81">
        <f t="shared" si="50"/>
        <v>6172.465264309272</v>
      </c>
      <c r="AR195" s="81">
        <f t="shared" si="51"/>
        <v>7193.587671438677</v>
      </c>
      <c r="AS195" s="82">
        <v>1511</v>
      </c>
      <c r="AT195" s="82"/>
      <c r="AU195" s="82">
        <v>52</v>
      </c>
      <c r="AV195" s="82">
        <f t="shared" si="52"/>
        <v>52</v>
      </c>
      <c r="AW195" s="82">
        <v>10735.055417296582</v>
      </c>
      <c r="AX195" s="149">
        <v>-1988.7587870880732</v>
      </c>
      <c r="AY195" s="81">
        <f t="shared" si="53"/>
        <v>-2018540.6052349547</v>
      </c>
      <c r="AZ195" s="409"/>
      <c r="BA195" s="81"/>
      <c r="BB195" s="81"/>
      <c r="BC195" s="81"/>
      <c r="BD195" s="81"/>
      <c r="BE195" s="81"/>
      <c r="BF195" s="81"/>
      <c r="BG195" s="81"/>
    </row>
    <row r="196" spans="1:59" ht="12.75">
      <c r="A196" s="81">
        <v>581</v>
      </c>
      <c r="B196" s="81" t="s">
        <v>317</v>
      </c>
      <c r="C196" s="81">
        <v>6</v>
      </c>
      <c r="D196" s="81">
        <v>6469</v>
      </c>
      <c r="E196" s="100">
        <v>16909588.338775873</v>
      </c>
      <c r="F196" s="81">
        <v>8283018</v>
      </c>
      <c r="G196" s="81">
        <v>1871116.6442345942</v>
      </c>
      <c r="H196" s="81">
        <v>1319833.5916129057</v>
      </c>
      <c r="I196" s="156">
        <v>3920191.3978643483</v>
      </c>
      <c r="J196" s="156">
        <v>1149729.156222945</v>
      </c>
      <c r="K196" s="81">
        <v>1091659.305828138</v>
      </c>
      <c r="L196" s="81">
        <v>-543082</v>
      </c>
      <c r="M196" s="82">
        <v>-700000</v>
      </c>
      <c r="N196" s="82">
        <v>61214.96605018069</v>
      </c>
      <c r="O196" s="214">
        <f t="shared" si="37"/>
        <v>-455907.27696276084</v>
      </c>
      <c r="P196" s="215">
        <f t="shared" si="38"/>
        <v>-70.47569592870008</v>
      </c>
      <c r="Q196" s="81"/>
      <c r="R196" s="223">
        <v>43076880</v>
      </c>
      <c r="S196" s="156">
        <v>19338794.12</v>
      </c>
      <c r="T196" s="156">
        <v>1979750.3874193586</v>
      </c>
      <c r="U196" s="156">
        <v>17737157.965707045</v>
      </c>
      <c r="V196" s="156">
        <v>3567583.4402138996</v>
      </c>
      <c r="W196" s="156">
        <v>628034.6442345942</v>
      </c>
      <c r="X196" s="214">
        <f t="shared" si="39"/>
        <v>174440.557574898</v>
      </c>
      <c r="Y196" s="215">
        <f t="shared" si="40"/>
        <v>26.965614094125524</v>
      </c>
      <c r="Z196" s="81"/>
      <c r="AA196" s="94">
        <f t="shared" si="41"/>
        <v>-630347.8345376588</v>
      </c>
      <c r="AB196" s="153">
        <f t="shared" si="42"/>
        <v>-97.4413100228256</v>
      </c>
      <c r="AD196" s="216">
        <v>657060.0849590532</v>
      </c>
      <c r="AE196" s="224">
        <v>546271.0316641413</v>
      </c>
      <c r="AF196" s="224">
        <v>443290.853478153</v>
      </c>
      <c r="AG196" s="224">
        <v>347489.36031106167</v>
      </c>
      <c r="AH196" s="225">
        <v>251818.59840517986</v>
      </c>
      <c r="AJ196" s="81">
        <f t="shared" si="43"/>
        <v>11055776.120000001</v>
      </c>
      <c r="AK196" s="81">
        <f t="shared" si="44"/>
        <v>659916.7958064529</v>
      </c>
      <c r="AL196" s="81">
        <f t="shared" si="45"/>
        <v>13816966.567842696</v>
      </c>
      <c r="AM196" s="81">
        <f t="shared" si="46"/>
        <v>26167291.661224127</v>
      </c>
      <c r="AN196" s="81">
        <f t="shared" si="47"/>
        <v>657060.0849590532</v>
      </c>
      <c r="AO196" s="81">
        <f t="shared" si="48"/>
        <v>546271.0316641413</v>
      </c>
      <c r="AP196" s="81">
        <f t="shared" si="49"/>
        <v>443290.853478153</v>
      </c>
      <c r="AQ196" s="81">
        <f t="shared" si="50"/>
        <v>347489.36031106167</v>
      </c>
      <c r="AR196" s="81">
        <f t="shared" si="51"/>
        <v>251818.59840517986</v>
      </c>
      <c r="AS196" s="82">
        <v>1974</v>
      </c>
      <c r="AT196" s="82">
        <v>408</v>
      </c>
      <c r="AU196" s="82"/>
      <c r="AV196" s="82">
        <f t="shared" si="52"/>
        <v>408</v>
      </c>
      <c r="AW196" s="82">
        <v>11603.240022420347</v>
      </c>
      <c r="AX196" s="149">
        <v>-2363.800777450254</v>
      </c>
      <c r="AY196" s="81">
        <f t="shared" si="53"/>
        <v>-2417854.2839909545</v>
      </c>
      <c r="AZ196" s="409"/>
      <c r="BA196" s="81"/>
      <c r="BB196" s="81"/>
      <c r="BC196" s="81"/>
      <c r="BD196" s="81"/>
      <c r="BE196" s="81"/>
      <c r="BF196" s="81"/>
      <c r="BG196" s="81"/>
    </row>
    <row r="197" spans="1:59" ht="12.75">
      <c r="A197" s="81">
        <v>583</v>
      </c>
      <c r="B197" s="81" t="s">
        <v>318</v>
      </c>
      <c r="C197" s="81">
        <v>19</v>
      </c>
      <c r="D197" s="81">
        <v>954</v>
      </c>
      <c r="E197" s="100">
        <v>3731861.437493515</v>
      </c>
      <c r="F197" s="81">
        <v>1322657</v>
      </c>
      <c r="G197" s="81">
        <v>1913921.6001116787</v>
      </c>
      <c r="H197" s="81">
        <v>240343.3953109728</v>
      </c>
      <c r="I197" s="156">
        <v>835933.8483911862</v>
      </c>
      <c r="J197" s="156">
        <v>187049.37617504311</v>
      </c>
      <c r="K197" s="81">
        <v>-954797.525641954</v>
      </c>
      <c r="L197" s="81">
        <v>-172068</v>
      </c>
      <c r="M197" s="82">
        <v>-29860</v>
      </c>
      <c r="N197" s="82">
        <v>9591.466331924057</v>
      </c>
      <c r="O197" s="214">
        <f t="shared" si="37"/>
        <v>-379090.27681466425</v>
      </c>
      <c r="P197" s="215">
        <f t="shared" si="38"/>
        <v>-397.3692629084531</v>
      </c>
      <c r="Q197" s="81"/>
      <c r="R197" s="223">
        <v>10337208</v>
      </c>
      <c r="S197" s="156">
        <v>3038158.5275</v>
      </c>
      <c r="T197" s="156">
        <v>360515.09296645917</v>
      </c>
      <c r="U197" s="156">
        <v>4321805.456992024</v>
      </c>
      <c r="V197" s="156">
        <v>564295.2569197078</v>
      </c>
      <c r="W197" s="156">
        <v>1711993.6001116787</v>
      </c>
      <c r="X197" s="214">
        <f t="shared" si="39"/>
        <v>-340440.0655101314</v>
      </c>
      <c r="Y197" s="215">
        <f t="shared" si="40"/>
        <v>-356.85541458085055</v>
      </c>
      <c r="Z197" s="81"/>
      <c r="AA197" s="94">
        <f t="shared" si="41"/>
        <v>-38650.21130453283</v>
      </c>
      <c r="AB197" s="153">
        <f t="shared" si="42"/>
        <v>-40.513848327602545</v>
      </c>
      <c r="AD197" s="216">
        <v>42589.53529618741</v>
      </c>
      <c r="AE197" s="224">
        <v>26251.189826509555</v>
      </c>
      <c r="AF197" s="224">
        <v>11064.439171163618</v>
      </c>
      <c r="AG197" s="224">
        <v>1216.1362788416038</v>
      </c>
      <c r="AH197" s="225">
        <v>1417.3239650046464</v>
      </c>
      <c r="AJ197" s="81">
        <f t="shared" si="43"/>
        <v>1715501.5274999999</v>
      </c>
      <c r="AK197" s="81">
        <f t="shared" si="44"/>
        <v>120171.69765548638</v>
      </c>
      <c r="AL197" s="81">
        <f t="shared" si="45"/>
        <v>3485871.608600837</v>
      </c>
      <c r="AM197" s="81">
        <f t="shared" si="46"/>
        <v>6605346.562506485</v>
      </c>
      <c r="AN197" s="81">
        <f t="shared" si="47"/>
        <v>42589.53529618741</v>
      </c>
      <c r="AO197" s="81">
        <f t="shared" si="48"/>
        <v>26251.189826509555</v>
      </c>
      <c r="AP197" s="81">
        <f t="shared" si="49"/>
        <v>11064.439171163618</v>
      </c>
      <c r="AQ197" s="81">
        <f t="shared" si="50"/>
        <v>1216.1362788416038</v>
      </c>
      <c r="AR197" s="81">
        <f t="shared" si="51"/>
        <v>1417.3239650046464</v>
      </c>
      <c r="AS197" s="82">
        <v>251</v>
      </c>
      <c r="AT197" s="82">
        <v>28</v>
      </c>
      <c r="AU197" s="82">
        <v>1</v>
      </c>
      <c r="AV197" s="82">
        <f t="shared" si="52"/>
        <v>29</v>
      </c>
      <c r="AW197" s="82">
        <v>2504.129965076428</v>
      </c>
      <c r="AX197" s="149">
        <v>-314.3240602528002</v>
      </c>
      <c r="AY197" s="81">
        <f t="shared" si="53"/>
        <v>-377245.88074466464</v>
      </c>
      <c r="AZ197" s="409"/>
      <c r="BA197" s="81"/>
      <c r="BB197" s="81"/>
      <c r="BC197" s="81"/>
      <c r="BD197" s="81"/>
      <c r="BE197" s="81"/>
      <c r="BF197" s="81"/>
      <c r="BG197" s="81"/>
    </row>
    <row r="198" spans="1:59" ht="12.75">
      <c r="A198" s="81">
        <v>584</v>
      </c>
      <c r="B198" s="81" t="s">
        <v>320</v>
      </c>
      <c r="C198" s="81">
        <v>16</v>
      </c>
      <c r="D198" s="81">
        <v>2825</v>
      </c>
      <c r="E198" s="100">
        <v>9248338.952228617</v>
      </c>
      <c r="F198" s="81">
        <v>2792580</v>
      </c>
      <c r="G198" s="81">
        <v>697333.601010182</v>
      </c>
      <c r="H198" s="81">
        <v>424770.1564807008</v>
      </c>
      <c r="I198" s="156">
        <v>5461901.117529311</v>
      </c>
      <c r="J198" s="156">
        <v>490863.22130117496</v>
      </c>
      <c r="K198" s="81">
        <v>-829511.1166015135</v>
      </c>
      <c r="L198" s="81">
        <v>233052</v>
      </c>
      <c r="M198" s="82">
        <v>53000</v>
      </c>
      <c r="N198" s="82">
        <v>21218.14429176367</v>
      </c>
      <c r="O198" s="214">
        <f t="shared" si="37"/>
        <v>96868.1717830021</v>
      </c>
      <c r="P198" s="215">
        <f t="shared" si="38"/>
        <v>34.28961833026623</v>
      </c>
      <c r="Q198" s="81"/>
      <c r="R198" s="223">
        <v>21413084</v>
      </c>
      <c r="S198" s="156">
        <v>6641052.5649999995</v>
      </c>
      <c r="T198" s="156">
        <v>637155.2347210512</v>
      </c>
      <c r="U198" s="156">
        <v>11019713.02319244</v>
      </c>
      <c r="V198" s="156">
        <v>1548157.6741701113</v>
      </c>
      <c r="W198" s="156">
        <v>983385.601010182</v>
      </c>
      <c r="X198" s="214">
        <f t="shared" si="39"/>
        <v>-583619.9019062147</v>
      </c>
      <c r="Y198" s="215">
        <f t="shared" si="40"/>
        <v>-206.59111571901403</v>
      </c>
      <c r="Z198" s="81"/>
      <c r="AA198" s="94">
        <f t="shared" si="41"/>
        <v>680488.0736892167</v>
      </c>
      <c r="AB198" s="153">
        <f t="shared" si="42"/>
        <v>240.88073404928028</v>
      </c>
      <c r="AD198" s="216">
        <v>-668822.8847202257</v>
      </c>
      <c r="AE198" s="224">
        <v>-632454.2536424898</v>
      </c>
      <c r="AF198" s="224">
        <v>-592675.501652293</v>
      </c>
      <c r="AG198" s="224">
        <v>-549761.8315637218</v>
      </c>
      <c r="AH198" s="225">
        <v>-506791.0713819497</v>
      </c>
      <c r="AJ198" s="81">
        <f t="shared" si="43"/>
        <v>3848472.5649999995</v>
      </c>
      <c r="AK198" s="81">
        <f t="shared" si="44"/>
        <v>212385.07824035035</v>
      </c>
      <c r="AL198" s="81">
        <f t="shared" si="45"/>
        <v>5557811.905663128</v>
      </c>
      <c r="AM198" s="81">
        <f t="shared" si="46"/>
        <v>12164745.047771383</v>
      </c>
      <c r="AN198" s="81">
        <f t="shared" si="47"/>
        <v>-668822.8847202257</v>
      </c>
      <c r="AO198" s="81">
        <f t="shared" si="48"/>
        <v>-632454.2536424898</v>
      </c>
      <c r="AP198" s="81">
        <f t="shared" si="49"/>
        <v>-592675.501652293</v>
      </c>
      <c r="AQ198" s="81">
        <f t="shared" si="50"/>
        <v>-549761.8315637218</v>
      </c>
      <c r="AR198" s="81">
        <f t="shared" si="51"/>
        <v>-506791.0713819497</v>
      </c>
      <c r="AS198" s="82">
        <v>1491</v>
      </c>
      <c r="AT198" s="82"/>
      <c r="AU198" s="82">
        <v>25</v>
      </c>
      <c r="AV198" s="82">
        <f t="shared" si="52"/>
        <v>25</v>
      </c>
      <c r="AW198" s="82">
        <v>3779.087803059632</v>
      </c>
      <c r="AX198" s="149">
        <v>-1929.196569018216</v>
      </c>
      <c r="AY198" s="81">
        <f t="shared" si="53"/>
        <v>-1057294.4528689364</v>
      </c>
      <c r="AZ198" s="409"/>
      <c r="BA198" s="81"/>
      <c r="BB198" s="81"/>
      <c r="BC198" s="81"/>
      <c r="BD198" s="81"/>
      <c r="BE198" s="81"/>
      <c r="BF198" s="81"/>
      <c r="BG198" s="81"/>
    </row>
    <row r="199" spans="1:59" ht="12.75">
      <c r="A199" s="81">
        <v>588</v>
      </c>
      <c r="B199" s="81" t="s">
        <v>321</v>
      </c>
      <c r="C199" s="81">
        <v>10</v>
      </c>
      <c r="D199" s="81">
        <v>1713</v>
      </c>
      <c r="E199" s="100">
        <v>4957614.406016221</v>
      </c>
      <c r="F199" s="81">
        <v>1741792</v>
      </c>
      <c r="G199" s="81">
        <v>779582.5303623349</v>
      </c>
      <c r="H199" s="81">
        <v>580950.251293104</v>
      </c>
      <c r="I199" s="156">
        <v>909824.265573812</v>
      </c>
      <c r="J199" s="156">
        <v>358895.1265764206</v>
      </c>
      <c r="K199" s="81">
        <v>-537352.8129874563</v>
      </c>
      <c r="L199" s="81">
        <v>-407622</v>
      </c>
      <c r="M199" s="82">
        <v>22700</v>
      </c>
      <c r="N199" s="82">
        <v>14156.60790990438</v>
      </c>
      <c r="O199" s="214">
        <f t="shared" si="37"/>
        <v>-1494688.4372881018</v>
      </c>
      <c r="P199" s="215">
        <f t="shared" si="38"/>
        <v>-872.556005422126</v>
      </c>
      <c r="Q199" s="81"/>
      <c r="R199" s="223">
        <v>13587140</v>
      </c>
      <c r="S199" s="156">
        <v>4160694.6899999995</v>
      </c>
      <c r="T199" s="156">
        <v>871425.3769396561</v>
      </c>
      <c r="U199" s="156">
        <v>5220824.3538449425</v>
      </c>
      <c r="V199" s="156">
        <v>1130121.4925156503</v>
      </c>
      <c r="W199" s="156">
        <v>394660.5303623349</v>
      </c>
      <c r="X199" s="214">
        <f t="shared" si="39"/>
        <v>-1809413.5563374162</v>
      </c>
      <c r="Y199" s="215">
        <f t="shared" si="40"/>
        <v>-1056.2834537871665</v>
      </c>
      <c r="Z199" s="81"/>
      <c r="AA199" s="94">
        <f t="shared" si="41"/>
        <v>314725.1190493144</v>
      </c>
      <c r="AB199" s="153">
        <f t="shared" si="42"/>
        <v>183.72744836504052</v>
      </c>
      <c r="AD199" s="216">
        <v>-307651.6788001517</v>
      </c>
      <c r="AE199" s="224">
        <v>-285598.7708227494</v>
      </c>
      <c r="AF199" s="224">
        <v>-261478.0620938266</v>
      </c>
      <c r="AG199" s="224">
        <v>-235456.42780649118</v>
      </c>
      <c r="AH199" s="225">
        <v>-209400.17570334938</v>
      </c>
      <c r="AJ199" s="81">
        <f t="shared" si="43"/>
        <v>2418902.6899999995</v>
      </c>
      <c r="AK199" s="81">
        <f t="shared" si="44"/>
        <v>290475.1256465521</v>
      </c>
      <c r="AL199" s="81">
        <f t="shared" si="45"/>
        <v>4311000.088271131</v>
      </c>
      <c r="AM199" s="81">
        <f t="shared" si="46"/>
        <v>8629525.593983779</v>
      </c>
      <c r="AN199" s="81">
        <f t="shared" si="47"/>
        <v>-307651.6788001517</v>
      </c>
      <c r="AO199" s="81">
        <f t="shared" si="48"/>
        <v>-285598.7708227494</v>
      </c>
      <c r="AP199" s="81">
        <f t="shared" si="49"/>
        <v>-261478.0620938266</v>
      </c>
      <c r="AQ199" s="81">
        <f t="shared" si="50"/>
        <v>-235456.42780649118</v>
      </c>
      <c r="AR199" s="81">
        <f t="shared" si="51"/>
        <v>-209400.17570334938</v>
      </c>
      <c r="AS199" s="82">
        <v>691</v>
      </c>
      <c r="AT199" s="82">
        <v>2</v>
      </c>
      <c r="AU199" s="82"/>
      <c r="AV199" s="82">
        <f t="shared" si="52"/>
        <v>2</v>
      </c>
      <c r="AW199" s="82">
        <v>3362.6512892418664</v>
      </c>
      <c r="AX199" s="149">
        <v>-918.7802881451285</v>
      </c>
      <c r="AY199" s="81">
        <f t="shared" si="53"/>
        <v>-771226.3659392297</v>
      </c>
      <c r="AZ199" s="409"/>
      <c r="BA199" s="81"/>
      <c r="BB199" s="81"/>
      <c r="BC199" s="81"/>
      <c r="BD199" s="81"/>
      <c r="BE199" s="81"/>
      <c r="BF199" s="81"/>
      <c r="BG199" s="81"/>
    </row>
    <row r="200" spans="1:59" ht="12.75">
      <c r="A200" s="81">
        <v>592</v>
      </c>
      <c r="B200" s="81" t="s">
        <v>322</v>
      </c>
      <c r="C200" s="81">
        <v>13</v>
      </c>
      <c r="D200" s="81">
        <v>3900</v>
      </c>
      <c r="E200" s="100">
        <v>12371989.529473308</v>
      </c>
      <c r="F200" s="81">
        <v>4853754</v>
      </c>
      <c r="G200" s="81">
        <v>893044.1510739397</v>
      </c>
      <c r="H200" s="81">
        <v>803416.56329088</v>
      </c>
      <c r="I200" s="156">
        <v>3947035.165327722</v>
      </c>
      <c r="J200" s="156">
        <v>629704.5105638548</v>
      </c>
      <c r="K200" s="81">
        <v>-95669.82629890498</v>
      </c>
      <c r="L200" s="81">
        <v>-125377</v>
      </c>
      <c r="M200" s="82">
        <v>145700</v>
      </c>
      <c r="N200" s="82">
        <v>36576.291414611704</v>
      </c>
      <c r="O200" s="214">
        <f t="shared" si="37"/>
        <v>-1283805.6741012037</v>
      </c>
      <c r="P200" s="215">
        <f t="shared" si="38"/>
        <v>-329.1809420772317</v>
      </c>
      <c r="Q200" s="81"/>
      <c r="R200" s="223">
        <v>26346516</v>
      </c>
      <c r="S200" s="156">
        <v>11452239.0675</v>
      </c>
      <c r="T200" s="156">
        <v>1205124.8449363199</v>
      </c>
      <c r="U200" s="156">
        <v>9430815.483070038</v>
      </c>
      <c r="V200" s="156">
        <v>1946071.309868352</v>
      </c>
      <c r="W200" s="156">
        <v>913367.1510739397</v>
      </c>
      <c r="X200" s="214">
        <f t="shared" si="39"/>
        <v>-1398898.1435513496</v>
      </c>
      <c r="Y200" s="215">
        <f t="shared" si="40"/>
        <v>-358.69183167983323</v>
      </c>
      <c r="Z200" s="81"/>
      <c r="AA200" s="94">
        <f t="shared" si="41"/>
        <v>115092.46945014596</v>
      </c>
      <c r="AB200" s="153">
        <f t="shared" si="42"/>
        <v>29.510889602601527</v>
      </c>
      <c r="AD200" s="216">
        <v>-98988.31476728135</v>
      </c>
      <c r="AE200" s="224">
        <v>-48780.29310244238</v>
      </c>
      <c r="AF200" s="224">
        <v>4227.975555406896</v>
      </c>
      <c r="AG200" s="224">
        <v>4971.626297151211</v>
      </c>
      <c r="AH200" s="225">
        <v>5794.091680836605</v>
      </c>
      <c r="AJ200" s="81">
        <f t="shared" si="43"/>
        <v>6598485.067500001</v>
      </c>
      <c r="AK200" s="81">
        <f t="shared" si="44"/>
        <v>401708.2816454399</v>
      </c>
      <c r="AL200" s="81">
        <f t="shared" si="45"/>
        <v>5483780.317742316</v>
      </c>
      <c r="AM200" s="81">
        <f t="shared" si="46"/>
        <v>13974526.470526692</v>
      </c>
      <c r="AN200" s="81">
        <f t="shared" si="47"/>
        <v>-98988.31476728135</v>
      </c>
      <c r="AO200" s="81">
        <f t="shared" si="48"/>
        <v>-48780.29310244238</v>
      </c>
      <c r="AP200" s="81">
        <f t="shared" si="49"/>
        <v>4227.975555406896</v>
      </c>
      <c r="AQ200" s="81">
        <f t="shared" si="50"/>
        <v>4971.626297151211</v>
      </c>
      <c r="AR200" s="81">
        <f t="shared" si="51"/>
        <v>5794.091680836605</v>
      </c>
      <c r="AS200" s="82">
        <v>1017</v>
      </c>
      <c r="AT200" s="82"/>
      <c r="AU200" s="82"/>
      <c r="AV200" s="82">
        <f t="shared" si="52"/>
        <v>0</v>
      </c>
      <c r="AW200" s="82">
        <v>4117.079593151835</v>
      </c>
      <c r="AX200" s="149">
        <v>-1449.754207113352</v>
      </c>
      <c r="AY200" s="81">
        <f t="shared" si="53"/>
        <v>-1316366.7993044972</v>
      </c>
      <c r="AZ200" s="409"/>
      <c r="BA200" s="81"/>
      <c r="BB200" s="81"/>
      <c r="BC200" s="81"/>
      <c r="BD200" s="81"/>
      <c r="BE200" s="81"/>
      <c r="BF200" s="81"/>
      <c r="BG200" s="81"/>
    </row>
    <row r="201" spans="1:59" ht="12.75">
      <c r="A201" s="81">
        <v>593</v>
      </c>
      <c r="B201" s="81" t="s">
        <v>323</v>
      </c>
      <c r="C201" s="81">
        <v>10</v>
      </c>
      <c r="D201" s="81">
        <v>17933</v>
      </c>
      <c r="E201" s="100">
        <v>34423569.83005455</v>
      </c>
      <c r="F201" s="81">
        <v>25077116</v>
      </c>
      <c r="G201" s="81">
        <v>4121514.0192924812</v>
      </c>
      <c r="H201" s="81">
        <v>3066792.2208376992</v>
      </c>
      <c r="I201" s="156">
        <v>6333766.074409895</v>
      </c>
      <c r="J201" s="156">
        <v>3121422.4877063595</v>
      </c>
      <c r="K201" s="81">
        <v>-3537638.5780120064</v>
      </c>
      <c r="L201" s="81">
        <v>-2096751</v>
      </c>
      <c r="M201" s="82">
        <v>790000</v>
      </c>
      <c r="N201" s="82">
        <v>185420.6038222277</v>
      </c>
      <c r="O201" s="214">
        <f t="shared" si="37"/>
        <v>2638071.9980021045</v>
      </c>
      <c r="P201" s="215">
        <f t="shared" si="38"/>
        <v>147.10712083879466</v>
      </c>
      <c r="Q201" s="81"/>
      <c r="R201" s="223">
        <v>120856652</v>
      </c>
      <c r="S201" s="156">
        <v>59030644</v>
      </c>
      <c r="T201" s="156">
        <v>4600188.331256549</v>
      </c>
      <c r="U201" s="156">
        <v>44622780.72821493</v>
      </c>
      <c r="V201" s="156">
        <v>9636246.844998281</v>
      </c>
      <c r="W201" s="156">
        <v>2814763.0192924812</v>
      </c>
      <c r="X201" s="214">
        <f t="shared" si="39"/>
        <v>-152029.07623776793</v>
      </c>
      <c r="Y201" s="215">
        <f t="shared" si="40"/>
        <v>-8.47761535926883</v>
      </c>
      <c r="Z201" s="81"/>
      <c r="AA201" s="94">
        <f t="shared" si="41"/>
        <v>2790101.0742398724</v>
      </c>
      <c r="AB201" s="153">
        <f t="shared" si="42"/>
        <v>155.58473619806347</v>
      </c>
      <c r="AD201" s="216">
        <v>-2716050.867591732</v>
      </c>
      <c r="AE201" s="224">
        <v>-2485184.0848954353</v>
      </c>
      <c r="AF201" s="224">
        <v>-2232669.9753590818</v>
      </c>
      <c r="AG201" s="224">
        <v>-1960255.5167047996</v>
      </c>
      <c r="AH201" s="225">
        <v>-1687478.6521597663</v>
      </c>
      <c r="AJ201" s="81">
        <f t="shared" si="43"/>
        <v>33953528</v>
      </c>
      <c r="AK201" s="81">
        <f t="shared" si="44"/>
        <v>1533396.1104188496</v>
      </c>
      <c r="AL201" s="81">
        <f t="shared" si="45"/>
        <v>38289014.65380503</v>
      </c>
      <c r="AM201" s="81">
        <f t="shared" si="46"/>
        <v>86433082.16994545</v>
      </c>
      <c r="AN201" s="81">
        <f t="shared" si="47"/>
        <v>-2716050.867591732</v>
      </c>
      <c r="AO201" s="81">
        <f t="shared" si="48"/>
        <v>-2485184.0848954353</v>
      </c>
      <c r="AP201" s="81">
        <f t="shared" si="49"/>
        <v>-2232669.9753590818</v>
      </c>
      <c r="AQ201" s="81">
        <f t="shared" si="50"/>
        <v>-1960255.5167047996</v>
      </c>
      <c r="AR201" s="81">
        <f t="shared" si="51"/>
        <v>-1687478.6521597663</v>
      </c>
      <c r="AS201" s="82">
        <v>4854</v>
      </c>
      <c r="AT201" s="82">
        <v>89</v>
      </c>
      <c r="AU201" s="82"/>
      <c r="AV201" s="82">
        <f t="shared" si="52"/>
        <v>89</v>
      </c>
      <c r="AW201" s="82">
        <v>34226.166941804884</v>
      </c>
      <c r="AX201" s="149">
        <v>-4640.4742241752565</v>
      </c>
      <c r="AY201" s="81">
        <f t="shared" si="53"/>
        <v>-6514824.357291922</v>
      </c>
      <c r="AZ201" s="409"/>
      <c r="BA201" s="81"/>
      <c r="BB201" s="81"/>
      <c r="BC201" s="81"/>
      <c r="BD201" s="81"/>
      <c r="BE201" s="81"/>
      <c r="BF201" s="81"/>
      <c r="BG201" s="81"/>
    </row>
    <row r="202" spans="1:59" ht="12.75">
      <c r="A202" s="81">
        <v>595</v>
      </c>
      <c r="B202" s="81" t="s">
        <v>324</v>
      </c>
      <c r="C202" s="81">
        <v>11</v>
      </c>
      <c r="D202" s="81">
        <v>4498</v>
      </c>
      <c r="E202" s="100">
        <v>11835054.167731643</v>
      </c>
      <c r="F202" s="81">
        <v>4688775</v>
      </c>
      <c r="G202" s="81">
        <v>1075772.4127437118</v>
      </c>
      <c r="H202" s="81">
        <v>1077354.7972365024</v>
      </c>
      <c r="I202" s="156">
        <v>4238470.664899267</v>
      </c>
      <c r="J202" s="156">
        <v>875771.5578368548</v>
      </c>
      <c r="K202" s="81">
        <v>-367265.402620185</v>
      </c>
      <c r="L202" s="81">
        <v>-96309</v>
      </c>
      <c r="M202" s="82">
        <v>413400</v>
      </c>
      <c r="N202" s="82">
        <v>35747.08643324444</v>
      </c>
      <c r="O202" s="214">
        <f t="shared" si="37"/>
        <v>106662.94879775308</v>
      </c>
      <c r="P202" s="215">
        <f t="shared" si="38"/>
        <v>23.71341680697045</v>
      </c>
      <c r="Q202" s="81"/>
      <c r="R202" s="223">
        <v>35816592</v>
      </c>
      <c r="S202" s="156">
        <v>10991592.6525</v>
      </c>
      <c r="T202" s="156">
        <v>1616032.1958547535</v>
      </c>
      <c r="U202" s="156">
        <v>18626321.47086463</v>
      </c>
      <c r="V202" s="156">
        <v>2761598.6257547406</v>
      </c>
      <c r="W202" s="156">
        <v>1392863.4127437118</v>
      </c>
      <c r="X202" s="214">
        <f t="shared" si="39"/>
        <v>-428183.64228215814</v>
      </c>
      <c r="Y202" s="215">
        <f t="shared" si="40"/>
        <v>-95.1942290533922</v>
      </c>
      <c r="Z202" s="81"/>
      <c r="AA202" s="94">
        <f t="shared" si="41"/>
        <v>534846.5910799112</v>
      </c>
      <c r="AB202" s="153">
        <f t="shared" si="42"/>
        <v>118.90764586036265</v>
      </c>
      <c r="AD202" s="216">
        <v>-516273.1326790171</v>
      </c>
      <c r="AE202" s="224">
        <v>-458366.54769223614</v>
      </c>
      <c r="AF202" s="224">
        <v>-395030.32593934936</v>
      </c>
      <c r="AG202" s="224">
        <v>-326702.6487505376</v>
      </c>
      <c r="AH202" s="225">
        <v>-258284.07200802045</v>
      </c>
      <c r="AJ202" s="81">
        <f t="shared" si="43"/>
        <v>6302817.6525</v>
      </c>
      <c r="AK202" s="81">
        <f t="shared" si="44"/>
        <v>538677.3986182511</v>
      </c>
      <c r="AL202" s="81">
        <f t="shared" si="45"/>
        <v>14387850.805965364</v>
      </c>
      <c r="AM202" s="81">
        <f t="shared" si="46"/>
        <v>23981537.832268357</v>
      </c>
      <c r="AN202" s="81">
        <f t="shared" si="47"/>
        <v>-516273.1326790171</v>
      </c>
      <c r="AO202" s="81">
        <f t="shared" si="48"/>
        <v>-458366.54769223614</v>
      </c>
      <c r="AP202" s="81">
        <f t="shared" si="49"/>
        <v>-395030.32593934936</v>
      </c>
      <c r="AQ202" s="81">
        <f t="shared" si="50"/>
        <v>-326702.6487505376</v>
      </c>
      <c r="AR202" s="81">
        <f t="shared" si="51"/>
        <v>-258284.07200802045</v>
      </c>
      <c r="AS202" s="82">
        <v>1523</v>
      </c>
      <c r="AT202" s="82">
        <v>5</v>
      </c>
      <c r="AU202" s="82"/>
      <c r="AV202" s="82">
        <f t="shared" si="52"/>
        <v>5</v>
      </c>
      <c r="AW202" s="82">
        <v>12080.750538935703</v>
      </c>
      <c r="AX202" s="149">
        <v>-2633.71109121649</v>
      </c>
      <c r="AY202" s="81">
        <f t="shared" si="53"/>
        <v>-1885827.0679178857</v>
      </c>
      <c r="AZ202" s="409"/>
      <c r="BA202" s="81"/>
      <c r="BB202" s="81"/>
      <c r="BC202" s="81"/>
      <c r="BD202" s="81"/>
      <c r="BE202" s="81"/>
      <c r="BF202" s="81"/>
      <c r="BG202" s="81"/>
    </row>
    <row r="203" spans="1:59" ht="12.75">
      <c r="A203" s="81">
        <v>598</v>
      </c>
      <c r="B203" s="81" t="s">
        <v>325</v>
      </c>
      <c r="C203" s="81">
        <v>15</v>
      </c>
      <c r="D203" s="81">
        <v>19278</v>
      </c>
      <c r="E203" s="223">
        <v>52893858.37524474</v>
      </c>
      <c r="F203" s="81">
        <v>27875162</v>
      </c>
      <c r="G203" s="81">
        <v>5682082.301764286</v>
      </c>
      <c r="H203" s="81">
        <v>4045573.2372812065</v>
      </c>
      <c r="I203" s="156">
        <v>11863969.006244624</v>
      </c>
      <c r="J203" s="156">
        <v>2905380.837303575</v>
      </c>
      <c r="K203" s="81">
        <v>-5033655.684576594</v>
      </c>
      <c r="L203" s="81">
        <v>1769922</v>
      </c>
      <c r="M203" s="84">
        <v>1414500</v>
      </c>
      <c r="N203" s="82">
        <v>229388.27674718227</v>
      </c>
      <c r="O203" s="214">
        <f t="shared" si="37"/>
        <v>-2141536.4004804567</v>
      </c>
      <c r="P203" s="215">
        <f t="shared" si="38"/>
        <v>-111.08706299826002</v>
      </c>
      <c r="Q203" s="81"/>
      <c r="R203" s="223">
        <v>134263528</v>
      </c>
      <c r="S203" s="156">
        <v>69754100.4375</v>
      </c>
      <c r="T203" s="156">
        <v>6068359.85592181</v>
      </c>
      <c r="U203" s="156">
        <v>36243710.12167028</v>
      </c>
      <c r="V203" s="156">
        <v>8757257.662056547</v>
      </c>
      <c r="W203" s="156">
        <v>8866504.301764287</v>
      </c>
      <c r="X203" s="214">
        <f t="shared" si="39"/>
        <v>-4573595.621087074</v>
      </c>
      <c r="Y203" s="215">
        <f t="shared" si="40"/>
        <v>-237.24430029500334</v>
      </c>
      <c r="Z203" s="81"/>
      <c r="AA203" s="94">
        <f t="shared" si="41"/>
        <v>2432059.2206066176</v>
      </c>
      <c r="AB203" s="153">
        <f t="shared" si="42"/>
        <v>126.15723729674332</v>
      </c>
      <c r="AD203" s="216">
        <v>-2352455.1452280986</v>
      </c>
      <c r="AE203" s="224">
        <v>-2104273.031983286</v>
      </c>
      <c r="AF203" s="224">
        <v>-1832820.0122073526</v>
      </c>
      <c r="AG203" s="224">
        <v>-1539974.089387007</v>
      </c>
      <c r="AH203" s="225">
        <v>-1246738.5797288823</v>
      </c>
      <c r="AJ203" s="81">
        <f t="shared" si="43"/>
        <v>41878938.4375</v>
      </c>
      <c r="AK203" s="81">
        <f t="shared" si="44"/>
        <v>2022786.618640603</v>
      </c>
      <c r="AL203" s="81">
        <f t="shared" si="45"/>
        <v>24379741.11542566</v>
      </c>
      <c r="AM203" s="81">
        <f t="shared" si="46"/>
        <v>81369669.62475526</v>
      </c>
      <c r="AN203" s="81">
        <f t="shared" si="47"/>
        <v>-2352455.1452280986</v>
      </c>
      <c r="AO203" s="81">
        <f t="shared" si="48"/>
        <v>-2104273.031983286</v>
      </c>
      <c r="AP203" s="81">
        <f t="shared" si="49"/>
        <v>-1832820.0122073526</v>
      </c>
      <c r="AQ203" s="81">
        <f t="shared" si="50"/>
        <v>-1539974.089387007</v>
      </c>
      <c r="AR203" s="81">
        <f t="shared" si="51"/>
        <v>-1246738.5797288823</v>
      </c>
      <c r="AS203" s="82">
        <v>7516</v>
      </c>
      <c r="AT203" s="82">
        <v>188</v>
      </c>
      <c r="AU203" s="82">
        <v>149</v>
      </c>
      <c r="AV203" s="82">
        <f t="shared" si="52"/>
        <v>337</v>
      </c>
      <c r="AW203" s="82">
        <v>22994.568466342927</v>
      </c>
      <c r="AX203" s="149">
        <v>-618.3591101279109</v>
      </c>
      <c r="AY203" s="81">
        <f t="shared" si="53"/>
        <v>-5851876.8247529715</v>
      </c>
      <c r="AZ203" s="409"/>
      <c r="BA203" s="81"/>
      <c r="BB203" s="81"/>
      <c r="BC203" s="81"/>
      <c r="BD203" s="81"/>
      <c r="BE203" s="81"/>
      <c r="BF203" s="81"/>
      <c r="BG203" s="81"/>
    </row>
    <row r="204" spans="1:59" ht="12.75">
      <c r="A204" s="81">
        <v>599</v>
      </c>
      <c r="B204" s="81" t="s">
        <v>590</v>
      </c>
      <c r="C204" s="81">
        <v>15</v>
      </c>
      <c r="D204" s="81">
        <v>11016</v>
      </c>
      <c r="E204" s="100">
        <v>31575486.882737838</v>
      </c>
      <c r="F204" s="81">
        <v>12720817</v>
      </c>
      <c r="G204" s="81">
        <v>2169944.9520242563</v>
      </c>
      <c r="H204" s="81">
        <v>1700670.6973517186</v>
      </c>
      <c r="I204" s="156">
        <v>16493894.955012696</v>
      </c>
      <c r="J204" s="156">
        <v>1804486.5033238987</v>
      </c>
      <c r="K204" s="81">
        <v>-2721361.726808132</v>
      </c>
      <c r="L204" s="81">
        <v>-546878</v>
      </c>
      <c r="M204" s="82">
        <v>104700</v>
      </c>
      <c r="N204" s="82">
        <v>102922.18971244969</v>
      </c>
      <c r="O204" s="214">
        <f t="shared" si="37"/>
        <v>253709.6878790483</v>
      </c>
      <c r="P204" s="215">
        <f t="shared" si="38"/>
        <v>23.03101741821426</v>
      </c>
      <c r="Q204" s="81"/>
      <c r="R204" s="223">
        <v>68567660</v>
      </c>
      <c r="S204" s="156">
        <v>31568356.97</v>
      </c>
      <c r="T204" s="156">
        <v>2551006.046027578</v>
      </c>
      <c r="U204" s="156">
        <v>25080882.39175287</v>
      </c>
      <c r="V204" s="156">
        <v>5591423.227734106</v>
      </c>
      <c r="W204" s="156">
        <v>1727766.9520242563</v>
      </c>
      <c r="X204" s="214">
        <f t="shared" si="39"/>
        <v>-2048224.4124611914</v>
      </c>
      <c r="Y204" s="215">
        <f t="shared" si="40"/>
        <v>-185.9317730992367</v>
      </c>
      <c r="Z204" s="81"/>
      <c r="AA204" s="94">
        <f t="shared" si="41"/>
        <v>2301934.1003402397</v>
      </c>
      <c r="AB204" s="153">
        <f t="shared" si="42"/>
        <v>208.96279051745094</v>
      </c>
      <c r="AD204" s="216">
        <v>-2256446.0572668</v>
      </c>
      <c r="AE204" s="224">
        <v>-2114627.7068411936</v>
      </c>
      <c r="AF204" s="224">
        <v>-1959511.6955406598</v>
      </c>
      <c r="AG204" s="224">
        <v>-1792171.1682147481</v>
      </c>
      <c r="AH204" s="225">
        <v>-1624608.019838677</v>
      </c>
      <c r="AJ204" s="81">
        <f t="shared" si="43"/>
        <v>18847539.97</v>
      </c>
      <c r="AK204" s="81">
        <f t="shared" si="44"/>
        <v>850335.3486758594</v>
      </c>
      <c r="AL204" s="81">
        <f t="shared" si="45"/>
        <v>8586987.436740173</v>
      </c>
      <c r="AM204" s="81">
        <f t="shared" si="46"/>
        <v>36992173.11726216</v>
      </c>
      <c r="AN204" s="81">
        <f t="shared" si="47"/>
        <v>-2256446.0572668</v>
      </c>
      <c r="AO204" s="81">
        <f t="shared" si="48"/>
        <v>-2114627.7068411936</v>
      </c>
      <c r="AP204" s="81">
        <f t="shared" si="49"/>
        <v>-1959511.6955406598</v>
      </c>
      <c r="AQ204" s="81">
        <f t="shared" si="50"/>
        <v>-1792171.1682147481</v>
      </c>
      <c r="AR204" s="81">
        <f t="shared" si="51"/>
        <v>-1624608.019838677</v>
      </c>
      <c r="AS204" s="82">
        <v>2297</v>
      </c>
      <c r="AT204" s="82"/>
      <c r="AU204" s="82">
        <v>2</v>
      </c>
      <c r="AV204" s="82">
        <f t="shared" si="52"/>
        <v>2</v>
      </c>
      <c r="AW204" s="82">
        <v>5210.94689174445</v>
      </c>
      <c r="AX204" s="149">
        <v>-3953.3893208865165</v>
      </c>
      <c r="AY204" s="81">
        <f t="shared" si="53"/>
        <v>-3786936.724410207</v>
      </c>
      <c r="AZ204" s="409"/>
      <c r="BA204" s="81"/>
      <c r="BB204" s="81"/>
      <c r="BC204" s="81"/>
      <c r="BD204" s="81"/>
      <c r="BE204" s="81"/>
      <c r="BF204" s="81"/>
      <c r="BG204" s="81"/>
    </row>
    <row r="205" spans="1:59" ht="12.75">
      <c r="A205" s="81">
        <v>601</v>
      </c>
      <c r="B205" s="81" t="s">
        <v>326</v>
      </c>
      <c r="C205" s="81">
        <v>13</v>
      </c>
      <c r="D205" s="81">
        <v>4053</v>
      </c>
      <c r="E205" s="100">
        <v>12659660.310622003</v>
      </c>
      <c r="F205" s="81">
        <v>3945340</v>
      </c>
      <c r="G205" s="81">
        <v>871604.9239006976</v>
      </c>
      <c r="H205" s="81">
        <v>1103305.8895623072</v>
      </c>
      <c r="I205" s="156">
        <v>3924658.032325051</v>
      </c>
      <c r="J205" s="156">
        <v>783929.8683604032</v>
      </c>
      <c r="K205" s="81">
        <v>-34365.14397841178</v>
      </c>
      <c r="L205" s="81">
        <v>395199</v>
      </c>
      <c r="M205" s="82">
        <v>156485</v>
      </c>
      <c r="N205" s="82">
        <v>32802.581477451844</v>
      </c>
      <c r="O205" s="214">
        <f t="shared" si="37"/>
        <v>-1480700.158974504</v>
      </c>
      <c r="P205" s="215">
        <f t="shared" si="38"/>
        <v>-365.33435948050925</v>
      </c>
      <c r="Q205" s="81"/>
      <c r="R205" s="223">
        <v>31817632</v>
      </c>
      <c r="S205" s="156">
        <v>9671644.82</v>
      </c>
      <c r="T205" s="156">
        <v>1654958.8343434609</v>
      </c>
      <c r="U205" s="156">
        <v>15048261.84160538</v>
      </c>
      <c r="V205" s="156">
        <v>2471487.7031547525</v>
      </c>
      <c r="W205" s="156">
        <v>1423288.9239006976</v>
      </c>
      <c r="X205" s="214">
        <f t="shared" si="39"/>
        <v>-1547989.8769957088</v>
      </c>
      <c r="Y205" s="215">
        <f t="shared" si="40"/>
        <v>-381.936806561981</v>
      </c>
      <c r="Z205" s="81"/>
      <c r="AA205" s="94">
        <f t="shared" si="41"/>
        <v>67289.7180212047</v>
      </c>
      <c r="AB205" s="153">
        <f t="shared" si="42"/>
        <v>16.602447081471674</v>
      </c>
      <c r="AD205" s="216">
        <v>-50553.78496231833</v>
      </c>
      <c r="AE205" s="224">
        <v>1623.936013987397</v>
      </c>
      <c r="AF205" s="224">
        <v>4393.842288734397</v>
      </c>
      <c r="AG205" s="224">
        <v>5166.667021116374</v>
      </c>
      <c r="AH205" s="225">
        <v>6021.398354469426</v>
      </c>
      <c r="AJ205" s="81">
        <f t="shared" si="43"/>
        <v>5726304.82</v>
      </c>
      <c r="AK205" s="81">
        <f t="shared" si="44"/>
        <v>551652.9447811537</v>
      </c>
      <c r="AL205" s="81">
        <f t="shared" si="45"/>
        <v>11123603.809280328</v>
      </c>
      <c r="AM205" s="81">
        <f t="shared" si="46"/>
        <v>19157971.689377997</v>
      </c>
      <c r="AN205" s="81">
        <f t="shared" si="47"/>
        <v>-50553.78496231833</v>
      </c>
      <c r="AO205" s="81">
        <f t="shared" si="48"/>
        <v>1623.936013987397</v>
      </c>
      <c r="AP205" s="81">
        <f t="shared" si="49"/>
        <v>4393.842288734397</v>
      </c>
      <c r="AQ205" s="81">
        <f t="shared" si="50"/>
        <v>5166.667021116374</v>
      </c>
      <c r="AR205" s="81">
        <f t="shared" si="51"/>
        <v>6021.398354469426</v>
      </c>
      <c r="AS205" s="82">
        <v>1721</v>
      </c>
      <c r="AT205" s="82">
        <v>49</v>
      </c>
      <c r="AU205" s="82"/>
      <c r="AV205" s="82">
        <f t="shared" si="52"/>
        <v>49</v>
      </c>
      <c r="AW205" s="82">
        <v>9001.325488921473</v>
      </c>
      <c r="AX205" s="149">
        <v>-2199.6440594825035</v>
      </c>
      <c r="AY205" s="81">
        <f t="shared" si="53"/>
        <v>-1687557.8347943493</v>
      </c>
      <c r="AZ205" s="409"/>
      <c r="BA205" s="81"/>
      <c r="BB205" s="81"/>
      <c r="BC205" s="81"/>
      <c r="BD205" s="81"/>
      <c r="BE205" s="81"/>
      <c r="BF205" s="81"/>
      <c r="BG205" s="81"/>
    </row>
    <row r="206" spans="1:59" ht="12.75">
      <c r="A206" s="81">
        <v>604</v>
      </c>
      <c r="B206" s="81" t="s">
        <v>327</v>
      </c>
      <c r="C206" s="81">
        <v>6</v>
      </c>
      <c r="D206" s="81">
        <v>19368</v>
      </c>
      <c r="E206" s="100">
        <v>50861217.801798046</v>
      </c>
      <c r="F206" s="81">
        <v>31087746</v>
      </c>
      <c r="G206" s="81">
        <v>5133457.670348229</v>
      </c>
      <c r="H206" s="81">
        <v>2650675.29077736</v>
      </c>
      <c r="I206" s="156">
        <v>12500448.13972339</v>
      </c>
      <c r="J206" s="156">
        <v>2131202.3741333834</v>
      </c>
      <c r="K206" s="81">
        <v>1968028.04009392</v>
      </c>
      <c r="L206" s="81">
        <v>-2285061</v>
      </c>
      <c r="M206" s="82">
        <v>-634000</v>
      </c>
      <c r="N206" s="82">
        <v>283359.051034325</v>
      </c>
      <c r="O206" s="214">
        <f t="shared" si="37"/>
        <v>1974637.7643125653</v>
      </c>
      <c r="P206" s="215">
        <f t="shared" si="38"/>
        <v>101.95362269271816</v>
      </c>
      <c r="Q206" s="81"/>
      <c r="R206" s="223">
        <v>107865212</v>
      </c>
      <c r="S206" s="156">
        <v>83993388.8</v>
      </c>
      <c r="T206" s="156">
        <v>3976012.93616604</v>
      </c>
      <c r="U206" s="156">
        <v>14648842.093822926</v>
      </c>
      <c r="V206" s="156">
        <v>6025616.304007627</v>
      </c>
      <c r="W206" s="156">
        <v>2214396.670348229</v>
      </c>
      <c r="X206" s="214">
        <f t="shared" si="39"/>
        <v>2993044.804344818</v>
      </c>
      <c r="Y206" s="215">
        <f t="shared" si="40"/>
        <v>154.53556404093442</v>
      </c>
      <c r="Z206" s="81"/>
      <c r="AA206" s="94">
        <f t="shared" si="41"/>
        <v>-1018407.0400322527</v>
      </c>
      <c r="AB206" s="153">
        <f t="shared" si="42"/>
        <v>-52.58194134821627</v>
      </c>
      <c r="AD206" s="216">
        <v>1098382.7497495925</v>
      </c>
      <c r="AE206" s="224">
        <v>766683.5096482082</v>
      </c>
      <c r="AF206" s="224">
        <v>458363.8170981661</v>
      </c>
      <c r="AG206" s="224">
        <v>171536.90108947476</v>
      </c>
      <c r="AH206" s="225">
        <v>28774.350685754707</v>
      </c>
      <c r="AJ206" s="81">
        <f t="shared" si="43"/>
        <v>52905642.8</v>
      </c>
      <c r="AK206" s="81">
        <f t="shared" si="44"/>
        <v>1325337.64538868</v>
      </c>
      <c r="AL206" s="81">
        <f t="shared" si="45"/>
        <v>2148393.954099536</v>
      </c>
      <c r="AM206" s="81">
        <f t="shared" si="46"/>
        <v>57003994.198201954</v>
      </c>
      <c r="AN206" s="81">
        <f t="shared" si="47"/>
        <v>1098382.7497495925</v>
      </c>
      <c r="AO206" s="81">
        <f t="shared" si="48"/>
        <v>766683.5096482082</v>
      </c>
      <c r="AP206" s="81">
        <f t="shared" si="49"/>
        <v>458363.8170981661</v>
      </c>
      <c r="AQ206" s="81">
        <f t="shared" si="50"/>
        <v>171536.90108947476</v>
      </c>
      <c r="AR206" s="81">
        <f t="shared" si="51"/>
        <v>28774.350685754707</v>
      </c>
      <c r="AS206" s="82">
        <v>7941</v>
      </c>
      <c r="AT206" s="82">
        <v>90</v>
      </c>
      <c r="AU206" s="82"/>
      <c r="AV206" s="82">
        <f t="shared" si="52"/>
        <v>90</v>
      </c>
      <c r="AW206" s="82">
        <v>6541.190823373743</v>
      </c>
      <c r="AX206" s="149">
        <v>3941.555036842818</v>
      </c>
      <c r="AY206" s="81">
        <f t="shared" si="53"/>
        <v>-3894413.9298742437</v>
      </c>
      <c r="AZ206" s="409"/>
      <c r="BA206" s="81"/>
      <c r="BB206" s="81"/>
      <c r="BC206" s="81"/>
      <c r="BD206" s="81"/>
      <c r="BE206" s="81"/>
      <c r="BF206" s="81"/>
      <c r="BG206" s="81"/>
    </row>
    <row r="207" spans="1:59" ht="12.75">
      <c r="A207" s="81">
        <v>607</v>
      </c>
      <c r="B207" s="81" t="s">
        <v>328</v>
      </c>
      <c r="C207" s="81">
        <v>12</v>
      </c>
      <c r="D207" s="81">
        <v>4307</v>
      </c>
      <c r="E207" s="100">
        <v>11634341.977398634</v>
      </c>
      <c r="F207" s="81">
        <v>3694841</v>
      </c>
      <c r="G207" s="81">
        <v>835971.6198935513</v>
      </c>
      <c r="H207" s="81">
        <v>821728.2600217152</v>
      </c>
      <c r="I207" s="156">
        <v>3340298.1374524706</v>
      </c>
      <c r="J207" s="156">
        <v>843635.8379716366</v>
      </c>
      <c r="K207" s="81">
        <v>300652.3904359869</v>
      </c>
      <c r="L207" s="81">
        <v>-378320</v>
      </c>
      <c r="M207" s="82">
        <v>175000</v>
      </c>
      <c r="N207" s="82">
        <v>33382.37905335951</v>
      </c>
      <c r="O207" s="214">
        <f t="shared" si="37"/>
        <v>-1967152.3525699135</v>
      </c>
      <c r="P207" s="215">
        <f t="shared" si="38"/>
        <v>-456.7337712026732</v>
      </c>
      <c r="Q207" s="81"/>
      <c r="R207" s="223">
        <v>29071196</v>
      </c>
      <c r="S207" s="156">
        <v>9672899.825000001</v>
      </c>
      <c r="T207" s="156">
        <v>1232592.3900325727</v>
      </c>
      <c r="U207" s="156">
        <v>13295935.250043547</v>
      </c>
      <c r="V207" s="156">
        <v>2676818.7828170448</v>
      </c>
      <c r="W207" s="156">
        <v>632651.6198935513</v>
      </c>
      <c r="X207" s="214">
        <f t="shared" si="39"/>
        <v>-1560298.1322132796</v>
      </c>
      <c r="Y207" s="215">
        <f t="shared" si="40"/>
        <v>-362.2702884172927</v>
      </c>
      <c r="Z207" s="81"/>
      <c r="AA207" s="94">
        <f t="shared" si="41"/>
        <v>-406854.2203566339</v>
      </c>
      <c r="AB207" s="153">
        <f t="shared" si="42"/>
        <v>-94.46348278538052</v>
      </c>
      <c r="AD207" s="216">
        <v>424638.98810511094</v>
      </c>
      <c r="AE207" s="224">
        <v>350876.6674154857</v>
      </c>
      <c r="AF207" s="224">
        <v>282313.42310461047</v>
      </c>
      <c r="AG207" s="224">
        <v>218529.6804750445</v>
      </c>
      <c r="AH207" s="225">
        <v>154832.97750261708</v>
      </c>
      <c r="AJ207" s="81">
        <f t="shared" si="43"/>
        <v>5978058.825000001</v>
      </c>
      <c r="AK207" s="81">
        <f t="shared" si="44"/>
        <v>410864.1300108575</v>
      </c>
      <c r="AL207" s="81">
        <f t="shared" si="45"/>
        <v>9955637.112591077</v>
      </c>
      <c r="AM207" s="81">
        <f t="shared" si="46"/>
        <v>17436854.022601366</v>
      </c>
      <c r="AN207" s="81">
        <f t="shared" si="47"/>
        <v>424638.98810511094</v>
      </c>
      <c r="AO207" s="81">
        <f t="shared" si="48"/>
        <v>350876.6674154857</v>
      </c>
      <c r="AP207" s="81">
        <f t="shared" si="49"/>
        <v>282313.42310461047</v>
      </c>
      <c r="AQ207" s="81">
        <f t="shared" si="50"/>
        <v>218529.6804750445</v>
      </c>
      <c r="AR207" s="81">
        <f t="shared" si="51"/>
        <v>154832.97750261708</v>
      </c>
      <c r="AS207" s="82">
        <v>2520</v>
      </c>
      <c r="AT207" s="82"/>
      <c r="AU207" s="82"/>
      <c r="AV207" s="82">
        <f t="shared" si="52"/>
        <v>0</v>
      </c>
      <c r="AW207" s="82">
        <v>7111.283943569036</v>
      </c>
      <c r="AX207" s="149">
        <v>-2672.9872203792697</v>
      </c>
      <c r="AY207" s="81">
        <f t="shared" si="53"/>
        <v>-1833182.9448454082</v>
      </c>
      <c r="AZ207" s="409"/>
      <c r="BA207" s="81"/>
      <c r="BB207" s="81"/>
      <c r="BC207" s="81"/>
      <c r="BD207" s="81"/>
      <c r="BE207" s="81"/>
      <c r="BF207" s="81"/>
      <c r="BG207" s="81"/>
    </row>
    <row r="208" spans="1:59" ht="12.75">
      <c r="A208" s="81">
        <v>608</v>
      </c>
      <c r="B208" s="81" t="s">
        <v>329</v>
      </c>
      <c r="C208" s="81">
        <v>4</v>
      </c>
      <c r="D208" s="81">
        <v>2146</v>
      </c>
      <c r="E208" s="100">
        <v>5260805.33480536</v>
      </c>
      <c r="F208" s="81">
        <v>2396881</v>
      </c>
      <c r="G208" s="81">
        <v>532647.5046498965</v>
      </c>
      <c r="H208" s="81">
        <v>377692.2265618656</v>
      </c>
      <c r="I208" s="156">
        <v>1593449.567199606</v>
      </c>
      <c r="J208" s="156">
        <v>385735.35361387394</v>
      </c>
      <c r="K208" s="81">
        <v>-450077.1587877617</v>
      </c>
      <c r="L208" s="81">
        <v>216467</v>
      </c>
      <c r="M208" s="82">
        <v>-13750</v>
      </c>
      <c r="N208" s="82">
        <v>18778.966614916862</v>
      </c>
      <c r="O208" s="214">
        <f t="shared" si="37"/>
        <v>-202980.87495296262</v>
      </c>
      <c r="P208" s="215">
        <f t="shared" si="38"/>
        <v>-94.58568264350542</v>
      </c>
      <c r="Q208" s="81"/>
      <c r="R208" s="223">
        <v>14881104</v>
      </c>
      <c r="S208" s="156">
        <v>5802067.8549999995</v>
      </c>
      <c r="T208" s="156">
        <v>566538.3398427984</v>
      </c>
      <c r="U208" s="156">
        <v>6051065.640776336</v>
      </c>
      <c r="V208" s="156">
        <v>1207077.2706991713</v>
      </c>
      <c r="W208" s="156">
        <v>735364.5046498965</v>
      </c>
      <c r="X208" s="214">
        <f t="shared" si="39"/>
        <v>-518990.38903179765</v>
      </c>
      <c r="Y208" s="215">
        <f t="shared" si="40"/>
        <v>-241.840815019477</v>
      </c>
      <c r="Z208" s="81"/>
      <c r="AA208" s="94">
        <f t="shared" si="41"/>
        <v>316009.514078835</v>
      </c>
      <c r="AB208" s="153">
        <f t="shared" si="42"/>
        <v>147.25513237597158</v>
      </c>
      <c r="AD208" s="216">
        <v>-307148.0997328309</v>
      </c>
      <c r="AE208" s="224">
        <v>-279520.8139654605</v>
      </c>
      <c r="AF208" s="224">
        <v>-249303.0434270668</v>
      </c>
      <c r="AG208" s="224">
        <v>-216703.84483943004</v>
      </c>
      <c r="AH208" s="225">
        <v>-184061.27798984316</v>
      </c>
      <c r="AJ208" s="81">
        <f t="shared" si="43"/>
        <v>3405186.8549999995</v>
      </c>
      <c r="AK208" s="81">
        <f t="shared" si="44"/>
        <v>188846.11328093283</v>
      </c>
      <c r="AL208" s="81">
        <f t="shared" si="45"/>
        <v>4457616.07357673</v>
      </c>
      <c r="AM208" s="81">
        <f t="shared" si="46"/>
        <v>9620298.66519464</v>
      </c>
      <c r="AN208" s="81">
        <f t="shared" si="47"/>
        <v>-307148.0997328309</v>
      </c>
      <c r="AO208" s="81">
        <f t="shared" si="48"/>
        <v>-279520.8139654605</v>
      </c>
      <c r="AP208" s="81">
        <f t="shared" si="49"/>
        <v>-249303.0434270668</v>
      </c>
      <c r="AQ208" s="81">
        <f t="shared" si="50"/>
        <v>-216703.84483943004</v>
      </c>
      <c r="AR208" s="81">
        <f t="shared" si="51"/>
        <v>-184061.27798984316</v>
      </c>
      <c r="AS208" s="82">
        <v>523</v>
      </c>
      <c r="AT208" s="82"/>
      <c r="AU208" s="82"/>
      <c r="AV208" s="82">
        <f t="shared" si="52"/>
        <v>0</v>
      </c>
      <c r="AW208" s="82">
        <v>3513.2626842940804</v>
      </c>
      <c r="AX208" s="149">
        <v>-977.7770963608491</v>
      </c>
      <c r="AY208" s="81">
        <f t="shared" si="53"/>
        <v>-821341.9170852974</v>
      </c>
      <c r="AZ208" s="409"/>
      <c r="BA208" s="81"/>
      <c r="BB208" s="81"/>
      <c r="BC208" s="81"/>
      <c r="BD208" s="81"/>
      <c r="BE208" s="81"/>
      <c r="BF208" s="81"/>
      <c r="BG208" s="81"/>
    </row>
    <row r="209" spans="1:59" ht="12.75">
      <c r="A209" s="81">
        <v>609</v>
      </c>
      <c r="B209" s="81" t="s">
        <v>330</v>
      </c>
      <c r="C209" s="81">
        <v>4</v>
      </c>
      <c r="D209" s="81">
        <v>84403</v>
      </c>
      <c r="E209" s="100">
        <v>190265556.09423858</v>
      </c>
      <c r="F209" s="81">
        <v>105794130</v>
      </c>
      <c r="G209" s="81">
        <v>24057150.19295422</v>
      </c>
      <c r="H209" s="81">
        <v>10190263.906555286</v>
      </c>
      <c r="I209" s="156">
        <v>33840863.53836536</v>
      </c>
      <c r="J209" s="156">
        <v>12603577.316098768</v>
      </c>
      <c r="K209" s="81">
        <v>-7188159.5744851455</v>
      </c>
      <c r="L209" s="81">
        <v>-5895476</v>
      </c>
      <c r="M209" s="82">
        <v>5948570.77</v>
      </c>
      <c r="N209" s="82">
        <v>974395.4386523893</v>
      </c>
      <c r="O209" s="214">
        <f t="shared" si="37"/>
        <v>-9940240.506097704</v>
      </c>
      <c r="P209" s="215">
        <f t="shared" si="38"/>
        <v>-117.7711752674396</v>
      </c>
      <c r="Q209" s="81"/>
      <c r="R209" s="223">
        <v>507404828</v>
      </c>
      <c r="S209" s="156">
        <v>287184729.795</v>
      </c>
      <c r="T209" s="156">
        <v>15285395.85983293</v>
      </c>
      <c r="U209" s="156">
        <v>133972236.50328025</v>
      </c>
      <c r="V209" s="156">
        <v>38330447.56525852</v>
      </c>
      <c r="W209" s="156">
        <v>24110244.96295422</v>
      </c>
      <c r="X209" s="214">
        <f t="shared" si="39"/>
        <v>-8521773.313674033</v>
      </c>
      <c r="Y209" s="215">
        <f t="shared" si="40"/>
        <v>-100.96528931049883</v>
      </c>
      <c r="Z209" s="81"/>
      <c r="AA209" s="94">
        <f t="shared" si="41"/>
        <v>-1418467.1924236715</v>
      </c>
      <c r="AB209" s="153">
        <f t="shared" si="42"/>
        <v>-16.805885956940767</v>
      </c>
      <c r="AD209" s="216">
        <v>1766990.004653809</v>
      </c>
      <c r="AE209" s="224">
        <v>321491.7104428879</v>
      </c>
      <c r="AF209" s="224">
        <v>91500.97969307903</v>
      </c>
      <c r="AG209" s="224">
        <v>107594.9165021676</v>
      </c>
      <c r="AH209" s="225">
        <v>125394.54362503896</v>
      </c>
      <c r="AJ209" s="81">
        <f t="shared" si="43"/>
        <v>181390599.79500002</v>
      </c>
      <c r="AK209" s="81">
        <f t="shared" si="44"/>
        <v>5095131.953277644</v>
      </c>
      <c r="AL209" s="81">
        <f t="shared" si="45"/>
        <v>100131372.96491489</v>
      </c>
      <c r="AM209" s="81">
        <f t="shared" si="46"/>
        <v>317139271.9057614</v>
      </c>
      <c r="AN209" s="81">
        <f t="shared" si="47"/>
        <v>1766990.004653809</v>
      </c>
      <c r="AO209" s="81">
        <f t="shared" si="48"/>
        <v>321491.7104428879</v>
      </c>
      <c r="AP209" s="81">
        <f t="shared" si="49"/>
        <v>91500.97969307903</v>
      </c>
      <c r="AQ209" s="81">
        <f t="shared" si="50"/>
        <v>107594.9165021676</v>
      </c>
      <c r="AR209" s="81">
        <f t="shared" si="51"/>
        <v>125394.54362503896</v>
      </c>
      <c r="AS209" s="82">
        <v>30194</v>
      </c>
      <c r="AT209" s="82">
        <v>330</v>
      </c>
      <c r="AU209" s="82">
        <v>1376</v>
      </c>
      <c r="AV209" s="82">
        <f t="shared" si="52"/>
        <v>1706</v>
      </c>
      <c r="AW209" s="82">
        <v>86059.34301570864</v>
      </c>
      <c r="AX209" s="149">
        <v>-8548.386361599763</v>
      </c>
      <c r="AY209" s="81">
        <f t="shared" si="53"/>
        <v>-25726870.24915975</v>
      </c>
      <c r="AZ209" s="409"/>
      <c r="BA209" s="81"/>
      <c r="BB209" s="81"/>
      <c r="BC209" s="81"/>
      <c r="BD209" s="81"/>
      <c r="BE209" s="81"/>
      <c r="BF209" s="81"/>
      <c r="BG209" s="81"/>
    </row>
    <row r="210" spans="1:59" ht="12.75">
      <c r="A210" s="81">
        <v>611</v>
      </c>
      <c r="B210" s="81" t="s">
        <v>331</v>
      </c>
      <c r="C210" s="81">
        <v>1</v>
      </c>
      <c r="D210" s="81">
        <v>5068</v>
      </c>
      <c r="E210" s="100">
        <v>13296882.711129354</v>
      </c>
      <c r="F210" s="81">
        <v>6792961</v>
      </c>
      <c r="G210" s="81">
        <v>1115454.2021641922</v>
      </c>
      <c r="H210" s="81">
        <v>352109.45651333756</v>
      </c>
      <c r="I210" s="156">
        <v>4620106.247693658</v>
      </c>
      <c r="J210" s="156">
        <v>678125.1037962411</v>
      </c>
      <c r="K210" s="81">
        <v>245608.87229781094</v>
      </c>
      <c r="L210" s="81">
        <v>-1222773</v>
      </c>
      <c r="M210" s="82">
        <v>-63500</v>
      </c>
      <c r="N210" s="82">
        <v>59713.5766876645</v>
      </c>
      <c r="O210" s="214">
        <f t="shared" si="37"/>
        <v>-719077.251976449</v>
      </c>
      <c r="P210" s="215">
        <f t="shared" si="38"/>
        <v>-141.88580346812333</v>
      </c>
      <c r="Q210" s="81"/>
      <c r="R210" s="223">
        <v>27113156</v>
      </c>
      <c r="S210" s="156">
        <v>18045254.15</v>
      </c>
      <c r="T210" s="156">
        <v>528164.1847700063</v>
      </c>
      <c r="U210" s="156">
        <v>6078710.915194903</v>
      </c>
      <c r="V210" s="156">
        <v>2026707.2457859335</v>
      </c>
      <c r="W210" s="156">
        <v>-170818.79783580778</v>
      </c>
      <c r="X210" s="214">
        <f t="shared" si="39"/>
        <v>-605138.3020849675</v>
      </c>
      <c r="Y210" s="215">
        <f t="shared" si="40"/>
        <v>-119.40376915646557</v>
      </c>
      <c r="Z210" s="81"/>
      <c r="AA210" s="94">
        <f t="shared" si="41"/>
        <v>-113938.94989148155</v>
      </c>
      <c r="AB210" s="153">
        <f t="shared" si="42"/>
        <v>-22.482034311657763</v>
      </c>
      <c r="AD210" s="216">
        <v>134866.09243834176</v>
      </c>
      <c r="AE210" s="224">
        <v>48070.772899214615</v>
      </c>
      <c r="AF210" s="224">
        <v>5494.200029436448</v>
      </c>
      <c r="AG210" s="224">
        <v>6460.564634349317</v>
      </c>
      <c r="AH210" s="225">
        <v>7529.34785602049</v>
      </c>
      <c r="AJ210" s="81">
        <f t="shared" si="43"/>
        <v>11252293.149999999</v>
      </c>
      <c r="AK210" s="81">
        <f t="shared" si="44"/>
        <v>176054.72825666878</v>
      </c>
      <c r="AL210" s="81">
        <f t="shared" si="45"/>
        <v>1458604.6675012447</v>
      </c>
      <c r="AM210" s="81">
        <f t="shared" si="46"/>
        <v>13816273.288870646</v>
      </c>
      <c r="AN210" s="81">
        <f t="shared" si="47"/>
        <v>134866.09243834176</v>
      </c>
      <c r="AO210" s="81">
        <f t="shared" si="48"/>
        <v>48070.772899214615</v>
      </c>
      <c r="AP210" s="81">
        <f t="shared" si="49"/>
        <v>5494.200029436448</v>
      </c>
      <c r="AQ210" s="81">
        <f t="shared" si="50"/>
        <v>6460.564634349317</v>
      </c>
      <c r="AR210" s="81">
        <f t="shared" si="51"/>
        <v>7529.34785602049</v>
      </c>
      <c r="AS210" s="82">
        <v>1667</v>
      </c>
      <c r="AT210" s="82"/>
      <c r="AU210" s="82"/>
      <c r="AV210" s="82">
        <f t="shared" si="52"/>
        <v>0</v>
      </c>
      <c r="AW210" s="82">
        <v>1631.9731705425093</v>
      </c>
      <c r="AX210" s="149">
        <v>82.32131566383111</v>
      </c>
      <c r="AY210" s="81">
        <f t="shared" si="53"/>
        <v>-1348582.1419896923</v>
      </c>
      <c r="AZ210" s="409"/>
      <c r="BA210" s="81"/>
      <c r="BB210" s="81"/>
      <c r="BC210" s="81"/>
      <c r="BD210" s="81"/>
      <c r="BE210" s="81"/>
      <c r="BF210" s="81"/>
      <c r="BG210" s="81"/>
    </row>
    <row r="211" spans="1:59" ht="12.75">
      <c r="A211" s="81">
        <v>614</v>
      </c>
      <c r="B211" s="81" t="s">
        <v>333</v>
      </c>
      <c r="C211" s="81">
        <v>19</v>
      </c>
      <c r="D211" s="81">
        <v>3237</v>
      </c>
      <c r="E211" s="100">
        <v>8622293.016630363</v>
      </c>
      <c r="F211" s="81">
        <v>3457374</v>
      </c>
      <c r="G211" s="81">
        <v>1169346.118070678</v>
      </c>
      <c r="H211" s="81">
        <v>448620.6554520768</v>
      </c>
      <c r="I211" s="156">
        <v>3941199.5402748613</v>
      </c>
      <c r="J211" s="156">
        <v>697581.0842635194</v>
      </c>
      <c r="K211" s="81">
        <v>-531663.7516021857</v>
      </c>
      <c r="L211" s="81">
        <v>64344</v>
      </c>
      <c r="M211" s="82">
        <v>150000</v>
      </c>
      <c r="N211" s="82">
        <v>25789.158169569313</v>
      </c>
      <c r="O211" s="214">
        <f t="shared" si="37"/>
        <v>800297.7879981548</v>
      </c>
      <c r="P211" s="215">
        <f t="shared" si="38"/>
        <v>247.23441087369625</v>
      </c>
      <c r="Q211" s="81"/>
      <c r="R211" s="223">
        <v>27502692</v>
      </c>
      <c r="S211" s="156">
        <v>8168749.782500001</v>
      </c>
      <c r="T211" s="156">
        <v>672930.9831781152</v>
      </c>
      <c r="U211" s="156">
        <v>15507579.360272039</v>
      </c>
      <c r="V211" s="156">
        <v>2210613.887496144</v>
      </c>
      <c r="W211" s="156">
        <v>1383690.118070678</v>
      </c>
      <c r="X211" s="214">
        <f t="shared" si="39"/>
        <v>440872.13151697814</v>
      </c>
      <c r="Y211" s="215">
        <f t="shared" si="40"/>
        <v>136.19775456193332</v>
      </c>
      <c r="Z211" s="81"/>
      <c r="AA211" s="94">
        <f t="shared" si="41"/>
        <v>359425.6564811766</v>
      </c>
      <c r="AB211" s="153">
        <f t="shared" si="42"/>
        <v>111.03665631176294</v>
      </c>
      <c r="AD211" s="216">
        <v>-346059.2080944044</v>
      </c>
      <c r="AE211" s="224">
        <v>-304386.550112588</v>
      </c>
      <c r="AF211" s="224">
        <v>-258806.43677019264</v>
      </c>
      <c r="AG211" s="224">
        <v>-209634.20665454483</v>
      </c>
      <c r="AH211" s="225">
        <v>-160396.56038608597</v>
      </c>
      <c r="AJ211" s="81">
        <f t="shared" si="43"/>
        <v>4711375.782500001</v>
      </c>
      <c r="AK211" s="81">
        <f t="shared" si="44"/>
        <v>224310.3277260384</v>
      </c>
      <c r="AL211" s="81">
        <f t="shared" si="45"/>
        <v>11566379.819997177</v>
      </c>
      <c r="AM211" s="81">
        <f t="shared" si="46"/>
        <v>18880398.983369637</v>
      </c>
      <c r="AN211" s="81">
        <f t="shared" si="47"/>
        <v>-346059.2080944044</v>
      </c>
      <c r="AO211" s="81">
        <f t="shared" si="48"/>
        <v>-304386.550112588</v>
      </c>
      <c r="AP211" s="81">
        <f t="shared" si="49"/>
        <v>-258806.43677019264</v>
      </c>
      <c r="AQ211" s="81">
        <f t="shared" si="50"/>
        <v>-209634.20665454483</v>
      </c>
      <c r="AR211" s="81">
        <f t="shared" si="51"/>
        <v>-160396.56038608597</v>
      </c>
      <c r="AS211" s="82">
        <v>1111</v>
      </c>
      <c r="AT211" s="82">
        <v>44</v>
      </c>
      <c r="AU211" s="82"/>
      <c r="AV211" s="82">
        <f t="shared" si="52"/>
        <v>44</v>
      </c>
      <c r="AW211" s="82">
        <v>9656.235634562974</v>
      </c>
      <c r="AX211" s="149">
        <v>-1941.472285583013</v>
      </c>
      <c r="AY211" s="81">
        <f t="shared" si="53"/>
        <v>-1513032.8032326247</v>
      </c>
      <c r="AZ211" s="409"/>
      <c r="BA211" s="81"/>
      <c r="BB211" s="81"/>
      <c r="BC211" s="81"/>
      <c r="BD211" s="81"/>
      <c r="BE211" s="81"/>
      <c r="BF211" s="81"/>
      <c r="BG211" s="81"/>
    </row>
    <row r="212" spans="1:59" ht="12.75">
      <c r="A212" s="81">
        <v>615</v>
      </c>
      <c r="B212" s="81" t="s">
        <v>334</v>
      </c>
      <c r="C212" s="81">
        <v>17</v>
      </c>
      <c r="D212" s="81">
        <v>7990</v>
      </c>
      <c r="E212" s="100">
        <v>27863233.25351063</v>
      </c>
      <c r="F212" s="81">
        <v>7187550</v>
      </c>
      <c r="G212" s="81">
        <v>2012098.5355535178</v>
      </c>
      <c r="H212" s="81">
        <v>1728883.3594453344</v>
      </c>
      <c r="I212" s="156">
        <v>11979926.871389326</v>
      </c>
      <c r="J212" s="156">
        <v>1433278.6826284435</v>
      </c>
      <c r="K212" s="81">
        <v>-271118.4955591929</v>
      </c>
      <c r="L212" s="81">
        <v>-10153</v>
      </c>
      <c r="M212" s="82">
        <v>1500002</v>
      </c>
      <c r="N212" s="82">
        <v>63737.9386050907</v>
      </c>
      <c r="O212" s="214">
        <f aca="true" t="shared" si="54" ref="O212:O275">N212+M212+L212+K212+J212+I212+H212+G212+F212-E212</f>
        <v>-2239027.361448113</v>
      </c>
      <c r="P212" s="215">
        <f aca="true" t="shared" si="55" ref="P212:P275">O212/D212</f>
        <v>-280.2287060635936</v>
      </c>
      <c r="Q212" s="81"/>
      <c r="R212" s="223">
        <v>66480120</v>
      </c>
      <c r="S212" s="156">
        <v>18521663.084999997</v>
      </c>
      <c r="T212" s="156">
        <v>2593325.0391680016</v>
      </c>
      <c r="U212" s="156">
        <v>34027489.323673785</v>
      </c>
      <c r="V212" s="156">
        <v>4515270.251614437</v>
      </c>
      <c r="W212" s="156">
        <v>3501947.5355535178</v>
      </c>
      <c r="X212" s="214">
        <f aca="true" t="shared" si="56" ref="X212:X275">W212+V212+U212+T212+S212-R212</f>
        <v>-3320424.76499027</v>
      </c>
      <c r="Y212" s="215">
        <f aca="true" t="shared" si="57" ref="Y212:Y275">X212/D212</f>
        <v>-415.5725613254406</v>
      </c>
      <c r="Z212" s="81"/>
      <c r="AA212" s="94">
        <f aca="true" t="shared" si="58" ref="AA212:AA275">O212-X212</f>
        <v>1081397.4035421573</v>
      </c>
      <c r="AB212" s="153">
        <f aca="true" t="shared" si="59" ref="AB212:AB275">AA212/D212</f>
        <v>135.34385526184695</v>
      </c>
      <c r="AD212" s="216">
        <v>-1048404.5327944503</v>
      </c>
      <c r="AE212" s="224">
        <v>-945542.4576400751</v>
      </c>
      <c r="AF212" s="224">
        <v>-833035.4741350583</v>
      </c>
      <c r="AG212" s="224">
        <v>-711661.9435128694</v>
      </c>
      <c r="AH212" s="225">
        <v>-590126.943919114</v>
      </c>
      <c r="AJ212" s="81">
        <f aca="true" t="shared" si="60" ref="AJ212:AJ275">S212-F212</f>
        <v>11334113.084999997</v>
      </c>
      <c r="AK212" s="81">
        <f aca="true" t="shared" si="61" ref="AK212:AK275">T212-H212</f>
        <v>864441.6797226672</v>
      </c>
      <c r="AL212" s="81">
        <f aca="true" t="shared" si="62" ref="AL212:AL275">U212-I212</f>
        <v>22047562.45228446</v>
      </c>
      <c r="AM212" s="81">
        <f aca="true" t="shared" si="63" ref="AM212:AM275">R212-E212</f>
        <v>38616886.74648937</v>
      </c>
      <c r="AN212" s="81">
        <f aca="true" t="shared" si="64" ref="AN212:AN275">AD212</f>
        <v>-1048404.5327944503</v>
      </c>
      <c r="AO212" s="81">
        <f aca="true" t="shared" si="65" ref="AO212:AO275">AE212</f>
        <v>-945542.4576400751</v>
      </c>
      <c r="AP212" s="81">
        <f aca="true" t="shared" si="66" ref="AP212:AP275">AF212</f>
        <v>-833035.4741350583</v>
      </c>
      <c r="AQ212" s="81">
        <f aca="true" t="shared" si="67" ref="AQ212:AQ275">AG212</f>
        <v>-711661.9435128694</v>
      </c>
      <c r="AR212" s="81">
        <f aca="true" t="shared" si="68" ref="AR212:AR275">AH212</f>
        <v>-590126.943919114</v>
      </c>
      <c r="AS212" s="82">
        <v>3646</v>
      </c>
      <c r="AT212" s="82"/>
      <c r="AU212" s="82"/>
      <c r="AV212" s="82">
        <f aca="true" t="shared" si="69" ref="AV212:AV275">AT212+AU212</f>
        <v>0</v>
      </c>
      <c r="AW212" s="82">
        <v>18375.489367649465</v>
      </c>
      <c r="AX212" s="149">
        <v>-4637.752970420563</v>
      </c>
      <c r="AY212" s="81">
        <f aca="true" t="shared" si="70" ref="AY212:AY275">J212-V212</f>
        <v>-3081991.568985994</v>
      </c>
      <c r="AZ212" s="409"/>
      <c r="BA212" s="81"/>
      <c r="BB212" s="81"/>
      <c r="BC212" s="81"/>
      <c r="BD212" s="81"/>
      <c r="BE212" s="81"/>
      <c r="BF212" s="81"/>
      <c r="BG212" s="81"/>
    </row>
    <row r="213" spans="1:59" ht="12.75">
      <c r="A213" s="81">
        <v>616</v>
      </c>
      <c r="B213" s="81" t="s">
        <v>335</v>
      </c>
      <c r="C213" s="81">
        <v>1</v>
      </c>
      <c r="D213" s="81">
        <v>1899</v>
      </c>
      <c r="E213" s="100">
        <v>5212049.934875939</v>
      </c>
      <c r="F213" s="81">
        <v>2541921</v>
      </c>
      <c r="G213" s="81">
        <v>397371.8289351837</v>
      </c>
      <c r="H213" s="81">
        <v>174184.1502752736</v>
      </c>
      <c r="I213" s="156">
        <v>1492135.753449979</v>
      </c>
      <c r="J213" s="156">
        <v>341657.80778289854</v>
      </c>
      <c r="K213" s="81">
        <v>-84147.10995058434</v>
      </c>
      <c r="L213" s="81">
        <v>-476930</v>
      </c>
      <c r="M213" s="82">
        <v>122499.96</v>
      </c>
      <c r="N213" s="82">
        <v>19240.55942192464</v>
      </c>
      <c r="O213" s="214">
        <f t="shared" si="54"/>
        <v>-684115.9849612638</v>
      </c>
      <c r="P213" s="215">
        <f t="shared" si="55"/>
        <v>-360.25065032188724</v>
      </c>
      <c r="Q213" s="81"/>
      <c r="R213" s="223">
        <v>11822832</v>
      </c>
      <c r="S213" s="156">
        <v>6137204.335</v>
      </c>
      <c r="T213" s="156">
        <v>261276.2254129104</v>
      </c>
      <c r="U213" s="156">
        <v>3557838.723140614</v>
      </c>
      <c r="V213" s="156">
        <v>1060061.0333873122</v>
      </c>
      <c r="W213" s="156">
        <v>42941.78893518371</v>
      </c>
      <c r="X213" s="214">
        <f t="shared" si="56"/>
        <v>-763509.8941239789</v>
      </c>
      <c r="Y213" s="215">
        <f t="shared" si="57"/>
        <v>-402.0589226561237</v>
      </c>
      <c r="Z213" s="81"/>
      <c r="AA213" s="94">
        <f t="shared" si="58"/>
        <v>79393.90916271508</v>
      </c>
      <c r="AB213" s="153">
        <f t="shared" si="59"/>
        <v>41.808272334236484</v>
      </c>
      <c r="AD213" s="216">
        <v>-71552.42461328852</v>
      </c>
      <c r="AE213" s="224">
        <v>-47104.980218024626</v>
      </c>
      <c r="AF213" s="224">
        <v>-20365.2102961189</v>
      </c>
      <c r="AG213" s="224">
        <v>2420.799573920551</v>
      </c>
      <c r="AH213" s="225">
        <v>2821.276949207362</v>
      </c>
      <c r="AJ213" s="81">
        <f t="shared" si="60"/>
        <v>3595283.335</v>
      </c>
      <c r="AK213" s="81">
        <f t="shared" si="61"/>
        <v>87092.0751376368</v>
      </c>
      <c r="AL213" s="81">
        <f t="shared" si="62"/>
        <v>2065702.969690635</v>
      </c>
      <c r="AM213" s="81">
        <f t="shared" si="63"/>
        <v>6610782.065124061</v>
      </c>
      <c r="AN213" s="81">
        <f t="shared" si="64"/>
        <v>-71552.42461328852</v>
      </c>
      <c r="AO213" s="81">
        <f t="shared" si="65"/>
        <v>-47104.980218024626</v>
      </c>
      <c r="AP213" s="81">
        <f t="shared" si="66"/>
        <v>-20365.2102961189</v>
      </c>
      <c r="AQ213" s="81">
        <f t="shared" si="67"/>
        <v>2420.799573920551</v>
      </c>
      <c r="AR213" s="81">
        <f t="shared" si="68"/>
        <v>2821.276949207362</v>
      </c>
      <c r="AS213" s="82">
        <v>348</v>
      </c>
      <c r="AT213" s="82"/>
      <c r="AU213" s="82">
        <v>10</v>
      </c>
      <c r="AV213" s="82">
        <f t="shared" si="69"/>
        <v>10</v>
      </c>
      <c r="AW213" s="82">
        <v>1611.7538625657876</v>
      </c>
      <c r="AX213" s="149">
        <v>-492.7003183511534</v>
      </c>
      <c r="AY213" s="81">
        <f t="shared" si="70"/>
        <v>-718403.2256044137</v>
      </c>
      <c r="AZ213" s="409"/>
      <c r="BA213" s="81"/>
      <c r="BB213" s="81"/>
      <c r="BC213" s="81"/>
      <c r="BD213" s="81"/>
      <c r="BE213" s="81"/>
      <c r="BF213" s="81"/>
      <c r="BG213" s="81"/>
    </row>
    <row r="214" spans="1:59" ht="12.75">
      <c r="A214" s="81">
        <v>619</v>
      </c>
      <c r="B214" s="81" t="s">
        <v>336</v>
      </c>
      <c r="C214" s="81">
        <v>6</v>
      </c>
      <c r="D214" s="81">
        <v>2896</v>
      </c>
      <c r="E214" s="100">
        <v>6947530.557756254</v>
      </c>
      <c r="F214" s="81">
        <v>3367857</v>
      </c>
      <c r="G214" s="81">
        <v>573460.6677850625</v>
      </c>
      <c r="H214" s="81">
        <v>315999.67627388163</v>
      </c>
      <c r="I214" s="156">
        <v>2123671.468376292</v>
      </c>
      <c r="J214" s="156">
        <v>599213.6352332376</v>
      </c>
      <c r="K214" s="81">
        <v>-13558.549595584685</v>
      </c>
      <c r="L214" s="81">
        <v>37793</v>
      </c>
      <c r="M214" s="82">
        <v>-41500</v>
      </c>
      <c r="N214" s="82">
        <v>24018.766420739063</v>
      </c>
      <c r="O214" s="214">
        <f t="shared" si="54"/>
        <v>39425.1067373734</v>
      </c>
      <c r="P214" s="215">
        <f t="shared" si="55"/>
        <v>13.613641829203521</v>
      </c>
      <c r="Q214" s="81"/>
      <c r="R214" s="223">
        <v>19898452</v>
      </c>
      <c r="S214" s="156">
        <v>7806714.92</v>
      </c>
      <c r="T214" s="156">
        <v>473999.5144108224</v>
      </c>
      <c r="U214" s="156">
        <v>9119516.319509566</v>
      </c>
      <c r="V214" s="156">
        <v>1894327.9419263748</v>
      </c>
      <c r="W214" s="156">
        <v>569753.6677850625</v>
      </c>
      <c r="X214" s="214">
        <f t="shared" si="56"/>
        <v>-34139.636368174106</v>
      </c>
      <c r="Y214" s="215">
        <f t="shared" si="57"/>
        <v>-11.78854846967338</v>
      </c>
      <c r="Z214" s="81"/>
      <c r="AA214" s="94">
        <f t="shared" si="58"/>
        <v>73564.7431055475</v>
      </c>
      <c r="AB214" s="153">
        <f t="shared" si="59"/>
        <v>25.4021902988769</v>
      </c>
      <c r="AD214" s="216">
        <v>-61606.375935913224</v>
      </c>
      <c r="AE214" s="224">
        <v>-24323.70138684301</v>
      </c>
      <c r="AF214" s="224">
        <v>3139.5428739636845</v>
      </c>
      <c r="AG214" s="224">
        <v>3691.751219628181</v>
      </c>
      <c r="AH214" s="225">
        <v>4302.484489154566</v>
      </c>
      <c r="AJ214" s="81">
        <f t="shared" si="60"/>
        <v>4438857.92</v>
      </c>
      <c r="AK214" s="81">
        <f t="shared" si="61"/>
        <v>157999.8381369408</v>
      </c>
      <c r="AL214" s="81">
        <f t="shared" si="62"/>
        <v>6995844.851133274</v>
      </c>
      <c r="AM214" s="81">
        <f t="shared" si="63"/>
        <v>12950921.442243746</v>
      </c>
      <c r="AN214" s="81">
        <f t="shared" si="64"/>
        <v>-61606.375935913224</v>
      </c>
      <c r="AO214" s="81">
        <f t="shared" si="65"/>
        <v>-24323.70138684301</v>
      </c>
      <c r="AP214" s="81">
        <f t="shared" si="66"/>
        <v>3139.5428739636845</v>
      </c>
      <c r="AQ214" s="81">
        <f t="shared" si="67"/>
        <v>3691.751219628181</v>
      </c>
      <c r="AR214" s="81">
        <f t="shared" si="68"/>
        <v>4302.484489154566</v>
      </c>
      <c r="AS214" s="82">
        <v>928</v>
      </c>
      <c r="AT214" s="82"/>
      <c r="AU214" s="82"/>
      <c r="AV214" s="82">
        <f t="shared" si="69"/>
        <v>0</v>
      </c>
      <c r="AW214" s="82">
        <v>5604.339938117967</v>
      </c>
      <c r="AX214" s="149">
        <v>-1479.6002739544897</v>
      </c>
      <c r="AY214" s="81">
        <f t="shared" si="70"/>
        <v>-1295114.3066931372</v>
      </c>
      <c r="AZ214" s="409"/>
      <c r="BA214" s="81"/>
      <c r="BB214" s="81"/>
      <c r="BC214" s="81"/>
      <c r="BD214" s="81"/>
      <c r="BE214" s="81"/>
      <c r="BF214" s="81"/>
      <c r="BG214" s="81"/>
    </row>
    <row r="215" spans="1:59" ht="12.75">
      <c r="A215" s="81">
        <v>620</v>
      </c>
      <c r="B215" s="81" t="s">
        <v>337</v>
      </c>
      <c r="C215" s="81">
        <v>18</v>
      </c>
      <c r="D215" s="81">
        <v>2597</v>
      </c>
      <c r="E215" s="100">
        <v>6423328.7061760705</v>
      </c>
      <c r="F215" s="81">
        <v>2699167</v>
      </c>
      <c r="G215" s="81">
        <v>726580.377017917</v>
      </c>
      <c r="H215" s="81">
        <v>774644.60547936</v>
      </c>
      <c r="I215" s="156">
        <v>2828527.5798806525</v>
      </c>
      <c r="J215" s="156">
        <v>525024.6642708674</v>
      </c>
      <c r="K215" s="81">
        <v>-669735.7702165286</v>
      </c>
      <c r="L215" s="81">
        <v>-58396</v>
      </c>
      <c r="M215" s="82">
        <v>-42000</v>
      </c>
      <c r="N215" s="82">
        <v>21740.968313269164</v>
      </c>
      <c r="O215" s="214">
        <f t="shared" si="54"/>
        <v>382224.71856946684</v>
      </c>
      <c r="P215" s="215">
        <f t="shared" si="55"/>
        <v>147.17932944530875</v>
      </c>
      <c r="Q215" s="81"/>
      <c r="R215" s="223">
        <v>23070684</v>
      </c>
      <c r="S215" s="156">
        <v>6472763.585</v>
      </c>
      <c r="T215" s="156">
        <v>1161966.9082190401</v>
      </c>
      <c r="U215" s="156">
        <v>13260474.816544468</v>
      </c>
      <c r="V215" s="156">
        <v>1654466.034014808</v>
      </c>
      <c r="W215" s="156">
        <v>626184.377017917</v>
      </c>
      <c r="X215" s="214">
        <f t="shared" si="56"/>
        <v>105171.72079623118</v>
      </c>
      <c r="Y215" s="215">
        <f t="shared" si="57"/>
        <v>40.49738960193731</v>
      </c>
      <c r="Z215" s="81"/>
      <c r="AA215" s="94">
        <f t="shared" si="58"/>
        <v>277052.99777323566</v>
      </c>
      <c r="AB215" s="153">
        <f t="shared" si="59"/>
        <v>106.68193984337145</v>
      </c>
      <c r="AD215" s="216">
        <v>-266329.28246262646</v>
      </c>
      <c r="AE215" s="224">
        <v>-232895.8895745272</v>
      </c>
      <c r="AF215" s="224">
        <v>-196327.59969185782</v>
      </c>
      <c r="AG215" s="224">
        <v>-156877.40456972705</v>
      </c>
      <c r="AH215" s="225">
        <v>-117374.72697961655</v>
      </c>
      <c r="AJ215" s="81">
        <f t="shared" si="60"/>
        <v>3773596.585</v>
      </c>
      <c r="AK215" s="81">
        <f t="shared" si="61"/>
        <v>387322.30273968016</v>
      </c>
      <c r="AL215" s="81">
        <f t="shared" si="62"/>
        <v>10431947.236663815</v>
      </c>
      <c r="AM215" s="81">
        <f t="shared" si="63"/>
        <v>16647355.29382393</v>
      </c>
      <c r="AN215" s="81">
        <f t="shared" si="64"/>
        <v>-266329.28246262646</v>
      </c>
      <c r="AO215" s="81">
        <f t="shared" si="65"/>
        <v>-232895.8895745272</v>
      </c>
      <c r="AP215" s="81">
        <f t="shared" si="66"/>
        <v>-196327.59969185782</v>
      </c>
      <c r="AQ215" s="81">
        <f t="shared" si="67"/>
        <v>-156877.40456972705</v>
      </c>
      <c r="AR215" s="81">
        <f t="shared" si="68"/>
        <v>-117374.72697961655</v>
      </c>
      <c r="AS215" s="82">
        <v>1034</v>
      </c>
      <c r="AT215" s="82">
        <v>389</v>
      </c>
      <c r="AU215" s="82"/>
      <c r="AV215" s="82">
        <f t="shared" si="69"/>
        <v>389</v>
      </c>
      <c r="AW215" s="82">
        <v>8944.235207751697</v>
      </c>
      <c r="AX215" s="149">
        <v>-1339.4106953141732</v>
      </c>
      <c r="AY215" s="81">
        <f t="shared" si="70"/>
        <v>-1129441.3697439407</v>
      </c>
      <c r="AZ215" s="409"/>
      <c r="BA215" s="81"/>
      <c r="BB215" s="81"/>
      <c r="BC215" s="81"/>
      <c r="BD215" s="81"/>
      <c r="BE215" s="81"/>
      <c r="BF215" s="81"/>
      <c r="BG215" s="81"/>
    </row>
    <row r="216" spans="1:59" ht="12.75">
      <c r="A216" s="81">
        <v>623</v>
      </c>
      <c r="B216" s="81" t="s">
        <v>338</v>
      </c>
      <c r="C216" s="81">
        <v>10</v>
      </c>
      <c r="D216" s="81">
        <v>2197</v>
      </c>
      <c r="E216" s="100">
        <v>6018755.23901782</v>
      </c>
      <c r="F216" s="81">
        <v>2001450</v>
      </c>
      <c r="G216" s="81">
        <v>1660404.1629669475</v>
      </c>
      <c r="H216" s="81">
        <v>1041224.2938599039</v>
      </c>
      <c r="I216" s="156">
        <v>1357559.8044799538</v>
      </c>
      <c r="J216" s="156">
        <v>453052.52714111214</v>
      </c>
      <c r="K216" s="81">
        <v>421670.7004383489</v>
      </c>
      <c r="L216" s="81">
        <v>-318437</v>
      </c>
      <c r="M216" s="82">
        <v>23250</v>
      </c>
      <c r="N216" s="82">
        <v>22824.832692928823</v>
      </c>
      <c r="O216" s="214">
        <f t="shared" si="54"/>
        <v>644244.0825613756</v>
      </c>
      <c r="P216" s="215">
        <f t="shared" si="55"/>
        <v>293.23808946808174</v>
      </c>
      <c r="Q216" s="81"/>
      <c r="R216" s="223">
        <v>16807028</v>
      </c>
      <c r="S216" s="156">
        <v>5849193.305000001</v>
      </c>
      <c r="T216" s="156">
        <v>1561836.440789856</v>
      </c>
      <c r="U216" s="156">
        <v>7585335.213062531</v>
      </c>
      <c r="V216" s="156">
        <v>1408180.4342761517</v>
      </c>
      <c r="W216" s="156">
        <v>1365217.1629669475</v>
      </c>
      <c r="X216" s="214">
        <f t="shared" si="56"/>
        <v>962734.5560954884</v>
      </c>
      <c r="Y216" s="215">
        <f t="shared" si="57"/>
        <v>438.204167544601</v>
      </c>
      <c r="Z216" s="81"/>
      <c r="AA216" s="94">
        <f t="shared" si="58"/>
        <v>-318490.4735341128</v>
      </c>
      <c r="AB216" s="153">
        <f t="shared" si="59"/>
        <v>-144.96607807651924</v>
      </c>
      <c r="AD216" s="216">
        <v>327562.4806721264</v>
      </c>
      <c r="AE216" s="224">
        <v>289936.33287665236</v>
      </c>
      <c r="AF216" s="224">
        <v>254962.233096993</v>
      </c>
      <c r="AG216" s="224">
        <v>222426.15634817563</v>
      </c>
      <c r="AH216" s="225">
        <v>189934.47851431838</v>
      </c>
      <c r="AJ216" s="81">
        <f t="shared" si="60"/>
        <v>3847743.3050000006</v>
      </c>
      <c r="AK216" s="81">
        <f t="shared" si="61"/>
        <v>520612.1469299521</v>
      </c>
      <c r="AL216" s="81">
        <f t="shared" si="62"/>
        <v>6227775.4085825775</v>
      </c>
      <c r="AM216" s="81">
        <f t="shared" si="63"/>
        <v>10788272.76098218</v>
      </c>
      <c r="AN216" s="81">
        <f t="shared" si="64"/>
        <v>327562.4806721264</v>
      </c>
      <c r="AO216" s="81">
        <f t="shared" si="65"/>
        <v>289936.33287665236</v>
      </c>
      <c r="AP216" s="81">
        <f t="shared" si="66"/>
        <v>254962.233096993</v>
      </c>
      <c r="AQ216" s="81">
        <f t="shared" si="67"/>
        <v>222426.15634817563</v>
      </c>
      <c r="AR216" s="81">
        <f t="shared" si="68"/>
        <v>189934.47851431838</v>
      </c>
      <c r="AS216" s="82">
        <v>869</v>
      </c>
      <c r="AT216" s="82"/>
      <c r="AU216" s="82"/>
      <c r="AV216" s="82">
        <f t="shared" si="69"/>
        <v>0</v>
      </c>
      <c r="AW216" s="82">
        <v>5689.88422003628</v>
      </c>
      <c r="AX216" s="149">
        <v>-518.3952207676435</v>
      </c>
      <c r="AY216" s="81">
        <f t="shared" si="70"/>
        <v>-955127.9071350396</v>
      </c>
      <c r="AZ216" s="409"/>
      <c r="BA216" s="81"/>
      <c r="BB216" s="81"/>
      <c r="BC216" s="81"/>
      <c r="BD216" s="81"/>
      <c r="BE216" s="81"/>
      <c r="BF216" s="81"/>
      <c r="BG216" s="81"/>
    </row>
    <row r="217" spans="1:59" ht="12.75">
      <c r="A217" s="81">
        <v>624</v>
      </c>
      <c r="B217" s="81" t="s">
        <v>132</v>
      </c>
      <c r="C217" s="81">
        <v>8</v>
      </c>
      <c r="D217" s="81">
        <v>5187</v>
      </c>
      <c r="E217" s="100">
        <v>13039331.78489596</v>
      </c>
      <c r="F217" s="81">
        <v>7219638</v>
      </c>
      <c r="G217" s="81">
        <v>2094789.812433187</v>
      </c>
      <c r="H217" s="81">
        <v>544161.6451966465</v>
      </c>
      <c r="I217" s="156">
        <v>3238155.9108227533</v>
      </c>
      <c r="J217" s="156">
        <v>679385.9218013638</v>
      </c>
      <c r="K217" s="81">
        <v>-40084.98694429219</v>
      </c>
      <c r="L217" s="81">
        <v>-844631</v>
      </c>
      <c r="M217" s="82">
        <v>-16000</v>
      </c>
      <c r="N217" s="82">
        <v>62652.821976974374</v>
      </c>
      <c r="O217" s="214">
        <f t="shared" si="54"/>
        <v>-101263.6596093271</v>
      </c>
      <c r="P217" s="215">
        <f t="shared" si="55"/>
        <v>-19.52258716200638</v>
      </c>
      <c r="Q217" s="81"/>
      <c r="R217" s="223">
        <v>31672592</v>
      </c>
      <c r="S217" s="156">
        <v>18938435.715</v>
      </c>
      <c r="T217" s="156">
        <v>816242.4677949697</v>
      </c>
      <c r="U217" s="156">
        <v>8974106.73518076</v>
      </c>
      <c r="V217" s="156">
        <v>2014087.5025605676</v>
      </c>
      <c r="W217" s="156">
        <v>1234158.812433187</v>
      </c>
      <c r="X217" s="214">
        <f t="shared" si="56"/>
        <v>304439.2329694852</v>
      </c>
      <c r="Y217" s="215">
        <f t="shared" si="57"/>
        <v>58.692738185749995</v>
      </c>
      <c r="Z217" s="81"/>
      <c r="AA217" s="94">
        <f t="shared" si="58"/>
        <v>-405702.8925788123</v>
      </c>
      <c r="AB217" s="153">
        <f t="shared" si="59"/>
        <v>-78.21532534775638</v>
      </c>
      <c r="AD217" s="216">
        <v>427121.4183070196</v>
      </c>
      <c r="AE217" s="224">
        <v>338288.0871212555</v>
      </c>
      <c r="AF217" s="224">
        <v>255716.10006750352</v>
      </c>
      <c r="AG217" s="224">
        <v>178900.15555402343</v>
      </c>
      <c r="AH217" s="225">
        <v>102189.03451432502</v>
      </c>
      <c r="AJ217" s="81">
        <f t="shared" si="60"/>
        <v>11718797.715</v>
      </c>
      <c r="AK217" s="81">
        <f t="shared" si="61"/>
        <v>272080.8225983232</v>
      </c>
      <c r="AL217" s="81">
        <f t="shared" si="62"/>
        <v>5735950.824358007</v>
      </c>
      <c r="AM217" s="81">
        <f t="shared" si="63"/>
        <v>18633260.21510404</v>
      </c>
      <c r="AN217" s="81">
        <f t="shared" si="64"/>
        <v>427121.4183070196</v>
      </c>
      <c r="AO217" s="81">
        <f t="shared" si="65"/>
        <v>338288.0871212555</v>
      </c>
      <c r="AP217" s="81">
        <f t="shared" si="66"/>
        <v>255716.10006750352</v>
      </c>
      <c r="AQ217" s="81">
        <f t="shared" si="67"/>
        <v>178900.15555402343</v>
      </c>
      <c r="AR217" s="81">
        <f t="shared" si="68"/>
        <v>102189.03451432502</v>
      </c>
      <c r="AS217" s="82">
        <v>1532</v>
      </c>
      <c r="AT217" s="82"/>
      <c r="AU217" s="82"/>
      <c r="AV217" s="82">
        <f t="shared" si="69"/>
        <v>0</v>
      </c>
      <c r="AW217" s="82">
        <v>5229.060761099796</v>
      </c>
      <c r="AX217" s="149">
        <v>-116.67923942162497</v>
      </c>
      <c r="AY217" s="81">
        <f t="shared" si="70"/>
        <v>-1334701.5807592038</v>
      </c>
      <c r="AZ217" s="409"/>
      <c r="BA217" s="81"/>
      <c r="BB217" s="81"/>
      <c r="BC217" s="81"/>
      <c r="BD217" s="81"/>
      <c r="BE217" s="81"/>
      <c r="BF217" s="81"/>
      <c r="BG217" s="81"/>
    </row>
    <row r="218" spans="1:59" ht="12.75">
      <c r="A218" s="81">
        <v>625</v>
      </c>
      <c r="B218" s="81" t="s">
        <v>339</v>
      </c>
      <c r="C218" s="81">
        <v>17</v>
      </c>
      <c r="D218" s="81">
        <v>3146</v>
      </c>
      <c r="E218" s="100">
        <v>11476347.400022848</v>
      </c>
      <c r="F218" s="81">
        <v>3590402</v>
      </c>
      <c r="G218" s="81">
        <v>1582021.1703160708</v>
      </c>
      <c r="H218" s="81">
        <v>402796.9905464736</v>
      </c>
      <c r="I218" s="156">
        <v>2951656.782644506</v>
      </c>
      <c r="J218" s="156">
        <v>508776.61380472593</v>
      </c>
      <c r="K218" s="81">
        <v>765261.5106866993</v>
      </c>
      <c r="L218" s="81">
        <v>382319</v>
      </c>
      <c r="M218" s="82">
        <v>313000</v>
      </c>
      <c r="N218" s="82">
        <v>30898.39253047185</v>
      </c>
      <c r="O218" s="214">
        <f t="shared" si="54"/>
        <v>-949214.9394939002</v>
      </c>
      <c r="P218" s="215">
        <f t="shared" si="55"/>
        <v>-301.7212140794343</v>
      </c>
      <c r="Q218" s="81"/>
      <c r="R218" s="223">
        <v>23590756</v>
      </c>
      <c r="S218" s="156">
        <v>9302525.995</v>
      </c>
      <c r="T218" s="156">
        <v>604195.4858197104</v>
      </c>
      <c r="U218" s="156">
        <v>9278761.88861396</v>
      </c>
      <c r="V218" s="156">
        <v>1564178.619208151</v>
      </c>
      <c r="W218" s="156">
        <v>2277340.170316071</v>
      </c>
      <c r="X218" s="214">
        <f t="shared" si="56"/>
        <v>-563753.8410421088</v>
      </c>
      <c r="Y218" s="215">
        <f t="shared" si="57"/>
        <v>-179.19702512463726</v>
      </c>
      <c r="Z218" s="81"/>
      <c r="AA218" s="94">
        <f t="shared" si="58"/>
        <v>-385461.09845179133</v>
      </c>
      <c r="AB218" s="153">
        <f t="shared" si="59"/>
        <v>-122.52418895479698</v>
      </c>
      <c r="AD218" s="216">
        <v>398451.7832293024</v>
      </c>
      <c r="AE218" s="224">
        <v>344572.9207056058</v>
      </c>
      <c r="AF218" s="224">
        <v>294491.6653998214</v>
      </c>
      <c r="AG218" s="224">
        <v>247901.54366482852</v>
      </c>
      <c r="AH218" s="225">
        <v>201374.99907433472</v>
      </c>
      <c r="AJ218" s="81">
        <f t="shared" si="60"/>
        <v>5712123.994999999</v>
      </c>
      <c r="AK218" s="81">
        <f t="shared" si="61"/>
        <v>201398.49527323683</v>
      </c>
      <c r="AL218" s="81">
        <f t="shared" si="62"/>
        <v>6327105.105969453</v>
      </c>
      <c r="AM218" s="81">
        <f t="shared" si="63"/>
        <v>12114408.599977152</v>
      </c>
      <c r="AN218" s="81">
        <f t="shared" si="64"/>
        <v>398451.7832293024</v>
      </c>
      <c r="AO218" s="81">
        <f t="shared" si="65"/>
        <v>344572.9207056058</v>
      </c>
      <c r="AP218" s="81">
        <f t="shared" si="66"/>
        <v>294491.6653998214</v>
      </c>
      <c r="AQ218" s="81">
        <f t="shared" si="67"/>
        <v>247901.54366482852</v>
      </c>
      <c r="AR218" s="81">
        <f t="shared" si="68"/>
        <v>201374.99907433472</v>
      </c>
      <c r="AS218" s="82">
        <v>991</v>
      </c>
      <c r="AT218" s="82"/>
      <c r="AU218" s="82"/>
      <c r="AV218" s="82">
        <f t="shared" si="69"/>
        <v>0</v>
      </c>
      <c r="AW218" s="82">
        <v>5478.04723730756</v>
      </c>
      <c r="AX218" s="149">
        <v>-999.3754344673123</v>
      </c>
      <c r="AY218" s="81">
        <f t="shared" si="70"/>
        <v>-1055402.005403425</v>
      </c>
      <c r="AZ218" s="409"/>
      <c r="BA218" s="81"/>
      <c r="BB218" s="81"/>
      <c r="BC218" s="81"/>
      <c r="BD218" s="81"/>
      <c r="BE218" s="81"/>
      <c r="BF218" s="81"/>
      <c r="BG218" s="81"/>
    </row>
    <row r="219" spans="1:59" ht="12.75">
      <c r="A219" s="81">
        <v>626</v>
      </c>
      <c r="B219" s="81" t="s">
        <v>133</v>
      </c>
      <c r="C219" s="81">
        <v>17</v>
      </c>
      <c r="D219" s="81">
        <v>5248</v>
      </c>
      <c r="E219" s="100">
        <v>14011601.608707935</v>
      </c>
      <c r="F219" s="81">
        <v>6478299</v>
      </c>
      <c r="G219" s="81">
        <v>1227060.7111637865</v>
      </c>
      <c r="H219" s="81">
        <v>2755712.629494317</v>
      </c>
      <c r="I219" s="156">
        <v>2514147.897828365</v>
      </c>
      <c r="J219" s="156">
        <v>921542.7695340712</v>
      </c>
      <c r="K219" s="81">
        <v>-917344.6655724841</v>
      </c>
      <c r="L219" s="81">
        <v>-291209</v>
      </c>
      <c r="M219" s="82">
        <v>71000</v>
      </c>
      <c r="N219" s="82">
        <v>54563.97168896356</v>
      </c>
      <c r="O219" s="214">
        <f t="shared" si="54"/>
        <v>-1197828.2945709154</v>
      </c>
      <c r="P219" s="215">
        <f t="shared" si="55"/>
        <v>-228.24472076427503</v>
      </c>
      <c r="Q219" s="81"/>
      <c r="R219" s="223">
        <v>41839896</v>
      </c>
      <c r="S219" s="156">
        <v>15543227.805</v>
      </c>
      <c r="T219" s="156">
        <v>4133568.944241476</v>
      </c>
      <c r="U219" s="156">
        <v>16273868.388060324</v>
      </c>
      <c r="V219" s="156">
        <v>2841075.1191650615</v>
      </c>
      <c r="W219" s="156">
        <v>1006851.7111637865</v>
      </c>
      <c r="X219" s="214">
        <f t="shared" si="56"/>
        <v>-2041304.0323693529</v>
      </c>
      <c r="Y219" s="215">
        <f t="shared" si="57"/>
        <v>-388.96799397281876</v>
      </c>
      <c r="Z219" s="81"/>
      <c r="AA219" s="94">
        <f t="shared" si="58"/>
        <v>843475.7377984375</v>
      </c>
      <c r="AB219" s="153">
        <f t="shared" si="59"/>
        <v>160.72327320854373</v>
      </c>
      <c r="AD219" s="216">
        <v>-821805.3265738991</v>
      </c>
      <c r="AE219" s="224">
        <v>-754243.3528054183</v>
      </c>
      <c r="AF219" s="224">
        <v>-680346.4004356653</v>
      </c>
      <c r="AG219" s="224">
        <v>-600625.7134888256</v>
      </c>
      <c r="AH219" s="225">
        <v>-520798.970326369</v>
      </c>
      <c r="AJ219" s="81">
        <f t="shared" si="60"/>
        <v>9064928.805</v>
      </c>
      <c r="AK219" s="81">
        <f t="shared" si="61"/>
        <v>1377856.314747159</v>
      </c>
      <c r="AL219" s="81">
        <f t="shared" si="62"/>
        <v>13759720.49023196</v>
      </c>
      <c r="AM219" s="81">
        <f t="shared" si="63"/>
        <v>27828294.391292065</v>
      </c>
      <c r="AN219" s="81">
        <f t="shared" si="64"/>
        <v>-821805.3265738991</v>
      </c>
      <c r="AO219" s="81">
        <f t="shared" si="65"/>
        <v>-754243.3528054183</v>
      </c>
      <c r="AP219" s="81">
        <f t="shared" si="66"/>
        <v>-680346.4004356653</v>
      </c>
      <c r="AQ219" s="81">
        <f t="shared" si="67"/>
        <v>-600625.7134888256</v>
      </c>
      <c r="AR219" s="81">
        <f t="shared" si="68"/>
        <v>-520798.970326369</v>
      </c>
      <c r="AS219" s="82">
        <v>1863</v>
      </c>
      <c r="AT219" s="82"/>
      <c r="AU219" s="82"/>
      <c r="AV219" s="82">
        <f t="shared" si="69"/>
        <v>0</v>
      </c>
      <c r="AW219" s="82">
        <v>13050.3734736494</v>
      </c>
      <c r="AX219" s="149">
        <v>-983.9714975591926</v>
      </c>
      <c r="AY219" s="81">
        <f t="shared" si="70"/>
        <v>-1919532.3496309903</v>
      </c>
      <c r="AZ219" s="409"/>
      <c r="BA219" s="81"/>
      <c r="BB219" s="81"/>
      <c r="BC219" s="81"/>
      <c r="BD219" s="81"/>
      <c r="BE219" s="81"/>
      <c r="BF219" s="81"/>
      <c r="BG219" s="81"/>
    </row>
    <row r="220" spans="1:59" ht="12.75">
      <c r="A220" s="81">
        <v>630</v>
      </c>
      <c r="B220" s="81" t="s">
        <v>340</v>
      </c>
      <c r="C220" s="81">
        <v>17</v>
      </c>
      <c r="D220" s="81">
        <v>1557</v>
      </c>
      <c r="E220" s="100">
        <v>4447598.073561436</v>
      </c>
      <c r="F220" s="81">
        <v>1377163</v>
      </c>
      <c r="G220" s="81">
        <v>466006.5101733294</v>
      </c>
      <c r="H220" s="81">
        <v>363685.904687952</v>
      </c>
      <c r="I220" s="156">
        <v>2672029.1564715668</v>
      </c>
      <c r="J220" s="156">
        <v>265604.56064065034</v>
      </c>
      <c r="K220" s="81">
        <v>-119414.71073553091</v>
      </c>
      <c r="L220" s="81">
        <v>-96390</v>
      </c>
      <c r="M220" s="82">
        <v>7780</v>
      </c>
      <c r="N220" s="82">
        <v>13530.231253258271</v>
      </c>
      <c r="O220" s="214">
        <f t="shared" si="54"/>
        <v>502396.5789297903</v>
      </c>
      <c r="P220" s="215">
        <f t="shared" si="55"/>
        <v>322.669607533584</v>
      </c>
      <c r="Q220" s="81"/>
      <c r="R220" s="223">
        <v>10759896</v>
      </c>
      <c r="S220" s="156">
        <v>3784818.085</v>
      </c>
      <c r="T220" s="156">
        <v>545528.857031928</v>
      </c>
      <c r="U220" s="156">
        <v>5415860.4506635275</v>
      </c>
      <c r="V220" s="156">
        <v>829898.7639928182</v>
      </c>
      <c r="W220" s="156">
        <v>377396.5101733294</v>
      </c>
      <c r="X220" s="214">
        <f t="shared" si="56"/>
        <v>193606.6668616049</v>
      </c>
      <c r="Y220" s="215">
        <f t="shared" si="57"/>
        <v>124.34596458677258</v>
      </c>
      <c r="Z220" s="81"/>
      <c r="AA220" s="94">
        <f t="shared" si="58"/>
        <v>308789.9120681854</v>
      </c>
      <c r="AB220" s="153">
        <f t="shared" si="59"/>
        <v>198.32364294681142</v>
      </c>
      <c r="AD220" s="216">
        <v>-302360.63800633396</v>
      </c>
      <c r="AE220" s="224">
        <v>-282316.0508955251</v>
      </c>
      <c r="AF220" s="224">
        <v>-260391.97413491047</v>
      </c>
      <c r="AG220" s="224">
        <v>-236740.08587724483</v>
      </c>
      <c r="AH220" s="225">
        <v>-213056.73238945048</v>
      </c>
      <c r="AJ220" s="81">
        <f t="shared" si="60"/>
        <v>2407655.085</v>
      </c>
      <c r="AK220" s="81">
        <f t="shared" si="61"/>
        <v>181842.952343976</v>
      </c>
      <c r="AL220" s="81">
        <f t="shared" si="62"/>
        <v>2743831.2941919607</v>
      </c>
      <c r="AM220" s="81">
        <f t="shared" si="63"/>
        <v>6312297.926438564</v>
      </c>
      <c r="AN220" s="81">
        <f t="shared" si="64"/>
        <v>-302360.63800633396</v>
      </c>
      <c r="AO220" s="81">
        <f t="shared" si="65"/>
        <v>-282316.0508955251</v>
      </c>
      <c r="AP220" s="81">
        <f t="shared" si="66"/>
        <v>-260391.97413491047</v>
      </c>
      <c r="AQ220" s="81">
        <f t="shared" si="67"/>
        <v>-236740.08587724483</v>
      </c>
      <c r="AR220" s="81">
        <f t="shared" si="68"/>
        <v>-213056.73238945048</v>
      </c>
      <c r="AS220" s="82">
        <v>464</v>
      </c>
      <c r="AT220" s="82">
        <v>49</v>
      </c>
      <c r="AU220" s="82">
        <v>34</v>
      </c>
      <c r="AV220" s="82">
        <f t="shared" si="69"/>
        <v>83</v>
      </c>
      <c r="AW220" s="82">
        <v>2255.9768493029756</v>
      </c>
      <c r="AX220" s="149">
        <v>-729.7064926341255</v>
      </c>
      <c r="AY220" s="81">
        <f t="shared" si="70"/>
        <v>-564294.2033521679</v>
      </c>
      <c r="AZ220" s="409"/>
      <c r="BA220" s="81"/>
      <c r="BB220" s="81"/>
      <c r="BC220" s="81"/>
      <c r="BD220" s="81"/>
      <c r="BE220" s="81"/>
      <c r="BF220" s="81"/>
      <c r="BG220" s="81"/>
    </row>
    <row r="221" spans="1:59" ht="12.75">
      <c r="A221" s="81">
        <v>631</v>
      </c>
      <c r="B221" s="81" t="s">
        <v>341</v>
      </c>
      <c r="C221" s="81">
        <v>2</v>
      </c>
      <c r="D221" s="81">
        <v>2028</v>
      </c>
      <c r="E221" s="100">
        <v>4417107.151615427</v>
      </c>
      <c r="F221" s="81">
        <v>2972623</v>
      </c>
      <c r="G221" s="81">
        <v>819906.0646108773</v>
      </c>
      <c r="H221" s="81">
        <v>186520.7139608736</v>
      </c>
      <c r="I221" s="156">
        <v>859642.0919327568</v>
      </c>
      <c r="J221" s="156">
        <v>319342.44201967854</v>
      </c>
      <c r="K221" s="81">
        <v>-18974.677890814055</v>
      </c>
      <c r="L221" s="81">
        <v>-469114</v>
      </c>
      <c r="M221" s="82">
        <v>-3030</v>
      </c>
      <c r="N221" s="82">
        <v>22182.530209754153</v>
      </c>
      <c r="O221" s="214">
        <f t="shared" si="54"/>
        <v>271991.0132276993</v>
      </c>
      <c r="P221" s="215">
        <f t="shared" si="55"/>
        <v>134.11785662115352</v>
      </c>
      <c r="Q221" s="81"/>
      <c r="R221" s="223">
        <v>11592840</v>
      </c>
      <c r="S221" s="156">
        <v>7124790.335</v>
      </c>
      <c r="T221" s="156">
        <v>279781.07094131043</v>
      </c>
      <c r="U221" s="156">
        <v>3312969.0846238155</v>
      </c>
      <c r="V221" s="156">
        <v>966470.126786779</v>
      </c>
      <c r="W221" s="156">
        <v>347762.0646108773</v>
      </c>
      <c r="X221" s="214">
        <f t="shared" si="56"/>
        <v>438932.68196278065</v>
      </c>
      <c r="Y221" s="215">
        <f t="shared" si="57"/>
        <v>216.43623370945792</v>
      </c>
      <c r="Z221" s="81"/>
      <c r="AA221" s="94">
        <f t="shared" si="58"/>
        <v>-166941.66873508133</v>
      </c>
      <c r="AB221" s="153">
        <f t="shared" si="59"/>
        <v>-82.3183770883044</v>
      </c>
      <c r="AD221" s="216">
        <v>175315.82917017076</v>
      </c>
      <c r="AE221" s="224">
        <v>140584.0004358871</v>
      </c>
      <c r="AF221" s="224">
        <v>108300.21602389384</v>
      </c>
      <c r="AG221" s="224">
        <v>78266.91440960088</v>
      </c>
      <c r="AH221" s="225">
        <v>48274.59640911729</v>
      </c>
      <c r="AJ221" s="81">
        <f t="shared" si="60"/>
        <v>4152167.335</v>
      </c>
      <c r="AK221" s="81">
        <f t="shared" si="61"/>
        <v>93260.35698043683</v>
      </c>
      <c r="AL221" s="81">
        <f t="shared" si="62"/>
        <v>2453326.9926910587</v>
      </c>
      <c r="AM221" s="81">
        <f t="shared" si="63"/>
        <v>7175732.848384573</v>
      </c>
      <c r="AN221" s="81">
        <f t="shared" si="64"/>
        <v>175315.82917017076</v>
      </c>
      <c r="AO221" s="81">
        <f t="shared" si="65"/>
        <v>140584.0004358871</v>
      </c>
      <c r="AP221" s="81">
        <f t="shared" si="66"/>
        <v>108300.21602389384</v>
      </c>
      <c r="AQ221" s="81">
        <f t="shared" si="67"/>
        <v>78266.91440960088</v>
      </c>
      <c r="AR221" s="81">
        <f t="shared" si="68"/>
        <v>48274.59640911729</v>
      </c>
      <c r="AS221" s="82">
        <v>489</v>
      </c>
      <c r="AT221" s="82">
        <v>9</v>
      </c>
      <c r="AU221" s="82"/>
      <c r="AV221" s="82">
        <f t="shared" si="69"/>
        <v>9</v>
      </c>
      <c r="AW221" s="82">
        <v>2064.4413043474046</v>
      </c>
      <c r="AX221" s="149">
        <v>-225.79950092946558</v>
      </c>
      <c r="AY221" s="81">
        <f t="shared" si="70"/>
        <v>-647127.6847671005</v>
      </c>
      <c r="AZ221" s="409"/>
      <c r="BA221" s="81"/>
      <c r="BB221" s="81"/>
      <c r="BC221" s="81"/>
      <c r="BD221" s="81"/>
      <c r="BE221" s="81"/>
      <c r="BF221" s="81"/>
      <c r="BG221" s="81"/>
    </row>
    <row r="222" spans="1:59" ht="12.75">
      <c r="A222" s="81">
        <v>635</v>
      </c>
      <c r="B222" s="81" t="s">
        <v>342</v>
      </c>
      <c r="C222" s="81">
        <v>6</v>
      </c>
      <c r="D222" s="81">
        <v>6499</v>
      </c>
      <c r="E222" s="100">
        <v>14798359.867946237</v>
      </c>
      <c r="F222" s="81">
        <v>8376448</v>
      </c>
      <c r="G222" s="81">
        <v>2179967.0728295036</v>
      </c>
      <c r="H222" s="81">
        <v>791107.5922906464</v>
      </c>
      <c r="I222" s="156">
        <v>3934529.7047561686</v>
      </c>
      <c r="J222" s="156">
        <v>1136509.7425304283</v>
      </c>
      <c r="K222" s="81">
        <v>-814266.0199549696</v>
      </c>
      <c r="L222" s="81">
        <v>-692273</v>
      </c>
      <c r="M222" s="82">
        <v>-66100</v>
      </c>
      <c r="N222" s="82">
        <v>63761.72858614987</v>
      </c>
      <c r="O222" s="214">
        <f t="shared" si="54"/>
        <v>111324.95309169032</v>
      </c>
      <c r="P222" s="215">
        <f t="shared" si="55"/>
        <v>17.12955117582556</v>
      </c>
      <c r="Q222" s="81"/>
      <c r="R222" s="223">
        <v>41858544</v>
      </c>
      <c r="S222" s="156">
        <v>20184002.04</v>
      </c>
      <c r="T222" s="156">
        <v>1186661.3884359696</v>
      </c>
      <c r="U222" s="156">
        <v>15106530.626445014</v>
      </c>
      <c r="V222" s="156">
        <v>3515955.492268569</v>
      </c>
      <c r="W222" s="156">
        <v>1421594.0728295036</v>
      </c>
      <c r="X222" s="214">
        <f t="shared" si="56"/>
        <v>-443800.38002094626</v>
      </c>
      <c r="Y222" s="215">
        <f t="shared" si="57"/>
        <v>-68.28748730896234</v>
      </c>
      <c r="Z222" s="81"/>
      <c r="AA222" s="94">
        <f t="shared" si="58"/>
        <v>555125.3331126366</v>
      </c>
      <c r="AB222" s="153">
        <f t="shared" si="59"/>
        <v>85.41703848478791</v>
      </c>
      <c r="AD222" s="216">
        <v>-528289.2045782971</v>
      </c>
      <c r="AE222" s="224">
        <v>-444622.0423219409</v>
      </c>
      <c r="AF222" s="224">
        <v>-353109.7912832546</v>
      </c>
      <c r="AG222" s="224">
        <v>-254385.5640600248</v>
      </c>
      <c r="AH222" s="225">
        <v>-155529.99930910906</v>
      </c>
      <c r="AJ222" s="81">
        <f t="shared" si="60"/>
        <v>11807554.04</v>
      </c>
      <c r="AK222" s="81">
        <f t="shared" si="61"/>
        <v>395553.7961453232</v>
      </c>
      <c r="AL222" s="81">
        <f t="shared" si="62"/>
        <v>11172000.921688845</v>
      </c>
      <c r="AM222" s="81">
        <f t="shared" si="63"/>
        <v>27060184.132053763</v>
      </c>
      <c r="AN222" s="81">
        <f t="shared" si="64"/>
        <v>-528289.2045782971</v>
      </c>
      <c r="AO222" s="81">
        <f t="shared" si="65"/>
        <v>-444622.0423219409</v>
      </c>
      <c r="AP222" s="81">
        <f t="shared" si="66"/>
        <v>-353109.7912832546</v>
      </c>
      <c r="AQ222" s="81">
        <f t="shared" si="67"/>
        <v>-254385.5640600248</v>
      </c>
      <c r="AR222" s="81">
        <f t="shared" si="68"/>
        <v>-155529.99930910906</v>
      </c>
      <c r="AS222" s="82">
        <v>2551</v>
      </c>
      <c r="AT222" s="82"/>
      <c r="AU222" s="82"/>
      <c r="AV222" s="82">
        <f t="shared" si="69"/>
        <v>0</v>
      </c>
      <c r="AW222" s="82">
        <v>9272.900310048066</v>
      </c>
      <c r="AX222" s="149">
        <v>-1964.2752882118186</v>
      </c>
      <c r="AY222" s="81">
        <f t="shared" si="70"/>
        <v>-2379445.7497381405</v>
      </c>
      <c r="AZ222" s="409"/>
      <c r="BA222" s="81"/>
      <c r="BB222" s="81"/>
      <c r="BC222" s="81"/>
      <c r="BD222" s="81"/>
      <c r="BE222" s="81"/>
      <c r="BF222" s="81"/>
      <c r="BG222" s="81"/>
    </row>
    <row r="223" spans="1:59" ht="12.75">
      <c r="A223" s="81">
        <v>636</v>
      </c>
      <c r="B223" s="81" t="s">
        <v>343</v>
      </c>
      <c r="C223" s="81">
        <v>2</v>
      </c>
      <c r="D223" s="81">
        <v>8333</v>
      </c>
      <c r="E223" s="100">
        <v>22868275.45681179</v>
      </c>
      <c r="F223" s="81">
        <v>9977392</v>
      </c>
      <c r="G223" s="81">
        <v>1674609.0160578121</v>
      </c>
      <c r="H223" s="81">
        <v>1680808.5435867263</v>
      </c>
      <c r="I223" s="156">
        <v>7947679.225748297</v>
      </c>
      <c r="J223" s="156">
        <v>1442737.5274571422</v>
      </c>
      <c r="K223" s="81">
        <v>-533368.578449297</v>
      </c>
      <c r="L223" s="81">
        <v>-599894</v>
      </c>
      <c r="M223" s="82">
        <v>-78000</v>
      </c>
      <c r="N223" s="82">
        <v>79384.78814393614</v>
      </c>
      <c r="O223" s="214">
        <f t="shared" si="54"/>
        <v>-1276926.9342671745</v>
      </c>
      <c r="P223" s="215">
        <f t="shared" si="55"/>
        <v>-153.23736160652518</v>
      </c>
      <c r="Q223" s="81"/>
      <c r="R223" s="223">
        <v>53606784</v>
      </c>
      <c r="S223" s="156">
        <v>24330131.825</v>
      </c>
      <c r="T223" s="156">
        <v>2521212.8153800895</v>
      </c>
      <c r="U223" s="156">
        <v>19468668.487086967</v>
      </c>
      <c r="V223" s="156">
        <v>4479111.004714743</v>
      </c>
      <c r="W223" s="156">
        <v>996715.0160578121</v>
      </c>
      <c r="X223" s="214">
        <f t="shared" si="56"/>
        <v>-1810944.8517603874</v>
      </c>
      <c r="Y223" s="215">
        <f t="shared" si="57"/>
        <v>-217.32207509425027</v>
      </c>
      <c r="Z223" s="81"/>
      <c r="AA223" s="94">
        <f t="shared" si="58"/>
        <v>534017.917493213</v>
      </c>
      <c r="AB223" s="153">
        <f t="shared" si="59"/>
        <v>64.08471348772507</v>
      </c>
      <c r="AD223" s="216">
        <v>-499608.7069875039</v>
      </c>
      <c r="AE223" s="224">
        <v>-392330.9006969647</v>
      </c>
      <c r="AF223" s="224">
        <v>-274994.14305650105</v>
      </c>
      <c r="AG223" s="224">
        <v>-148410.20930497404</v>
      </c>
      <c r="AH223" s="225">
        <v>-21657.87493516624</v>
      </c>
      <c r="AJ223" s="81">
        <f t="shared" si="60"/>
        <v>14352739.825</v>
      </c>
      <c r="AK223" s="81">
        <f t="shared" si="61"/>
        <v>840404.2717933632</v>
      </c>
      <c r="AL223" s="81">
        <f t="shared" si="62"/>
        <v>11520989.26133867</v>
      </c>
      <c r="AM223" s="81">
        <f t="shared" si="63"/>
        <v>30738508.54318821</v>
      </c>
      <c r="AN223" s="81">
        <f t="shared" si="64"/>
        <v>-499608.7069875039</v>
      </c>
      <c r="AO223" s="81">
        <f t="shared" si="65"/>
        <v>-392330.9006969647</v>
      </c>
      <c r="AP223" s="81">
        <f t="shared" si="66"/>
        <v>-274994.14305650105</v>
      </c>
      <c r="AQ223" s="81">
        <f t="shared" si="67"/>
        <v>-148410.20930497404</v>
      </c>
      <c r="AR223" s="81">
        <f t="shared" si="68"/>
        <v>-21657.87493516624</v>
      </c>
      <c r="AS223" s="82">
        <v>2837</v>
      </c>
      <c r="AT223" s="82">
        <v>4</v>
      </c>
      <c r="AU223" s="82"/>
      <c r="AV223" s="82">
        <f t="shared" si="69"/>
        <v>4</v>
      </c>
      <c r="AW223" s="82">
        <v>8754.326146296353</v>
      </c>
      <c r="AX223" s="149">
        <v>-3012.921697407167</v>
      </c>
      <c r="AY223" s="81">
        <f t="shared" si="70"/>
        <v>-3036373.477257601</v>
      </c>
      <c r="AZ223" s="409"/>
      <c r="BA223" s="81"/>
      <c r="BB223" s="81"/>
      <c r="BC223" s="81"/>
      <c r="BD223" s="81"/>
      <c r="BE223" s="81"/>
      <c r="BF223" s="81"/>
      <c r="BG223" s="81"/>
    </row>
    <row r="224" spans="1:59" ht="12.75">
      <c r="A224" s="81">
        <v>638</v>
      </c>
      <c r="B224" s="81" t="s">
        <v>332</v>
      </c>
      <c r="C224" s="81">
        <v>1</v>
      </c>
      <c r="D224" s="81">
        <v>50262</v>
      </c>
      <c r="E224" s="100">
        <v>150044726.08242133</v>
      </c>
      <c r="F224" s="81">
        <v>70173096</v>
      </c>
      <c r="G224" s="81">
        <v>16143358.97608546</v>
      </c>
      <c r="H224" s="81">
        <v>22585902.386600044</v>
      </c>
      <c r="I224" s="156">
        <v>27378151.978707507</v>
      </c>
      <c r="J224" s="156">
        <v>6880138.923320839</v>
      </c>
      <c r="K224" s="81">
        <v>10289254.323591772</v>
      </c>
      <c r="L224" s="81">
        <v>-2298801</v>
      </c>
      <c r="M224" s="82">
        <v>517000</v>
      </c>
      <c r="N224" s="82">
        <v>750422.4413085984</v>
      </c>
      <c r="O224" s="214">
        <f t="shared" si="54"/>
        <v>2373797.9471928775</v>
      </c>
      <c r="P224" s="215">
        <f t="shared" si="55"/>
        <v>47.22848169975086</v>
      </c>
      <c r="Q224" s="81"/>
      <c r="R224" s="223">
        <v>311637088</v>
      </c>
      <c r="S224" s="156">
        <v>202500560.6425</v>
      </c>
      <c r="T224" s="156">
        <v>33878853.57990006</v>
      </c>
      <c r="U224" s="156">
        <v>50508143.77190139</v>
      </c>
      <c r="V224" s="156">
        <v>20108894.177412644</v>
      </c>
      <c r="W224" s="156">
        <v>14361557.97608546</v>
      </c>
      <c r="X224" s="214">
        <f t="shared" si="56"/>
        <v>9720922.147799611</v>
      </c>
      <c r="Y224" s="215">
        <f t="shared" si="57"/>
        <v>193.40500075205148</v>
      </c>
      <c r="Z224" s="81"/>
      <c r="AA224" s="94">
        <f t="shared" si="58"/>
        <v>-7347124.200606734</v>
      </c>
      <c r="AB224" s="153">
        <f t="shared" si="59"/>
        <v>-146.17651905230062</v>
      </c>
      <c r="AD224" s="216">
        <v>7554669.59103492</v>
      </c>
      <c r="AE224" s="224">
        <v>6693875.125629314</v>
      </c>
      <c r="AF224" s="224">
        <v>5893753.048649233</v>
      </c>
      <c r="AG224" s="224">
        <v>5149406.99059322</v>
      </c>
      <c r="AH224" s="225">
        <v>4406076.671391886</v>
      </c>
      <c r="AJ224" s="81">
        <f t="shared" si="60"/>
        <v>132327464.64250001</v>
      </c>
      <c r="AK224" s="81">
        <f t="shared" si="61"/>
        <v>11292951.19330002</v>
      </c>
      <c r="AL224" s="81">
        <f t="shared" si="62"/>
        <v>23129991.793193884</v>
      </c>
      <c r="AM224" s="81">
        <f t="shared" si="63"/>
        <v>161592361.91757867</v>
      </c>
      <c r="AN224" s="81">
        <f t="shared" si="64"/>
        <v>7554669.59103492</v>
      </c>
      <c r="AO224" s="81">
        <f t="shared" si="65"/>
        <v>6693875.125629314</v>
      </c>
      <c r="AP224" s="81">
        <f t="shared" si="66"/>
        <v>5893753.048649233</v>
      </c>
      <c r="AQ224" s="81">
        <f t="shared" si="67"/>
        <v>5149406.99059322</v>
      </c>
      <c r="AR224" s="81">
        <f t="shared" si="68"/>
        <v>4406076.671391886</v>
      </c>
      <c r="AS224" s="82">
        <v>26567</v>
      </c>
      <c r="AT224" s="82">
        <v>228</v>
      </c>
      <c r="AU224" s="82">
        <v>825</v>
      </c>
      <c r="AV224" s="82">
        <f t="shared" si="69"/>
        <v>1053</v>
      </c>
      <c r="AW224" s="82">
        <v>32434.82913366956</v>
      </c>
      <c r="AX224" s="149">
        <v>9383.391741076275</v>
      </c>
      <c r="AY224" s="81">
        <f t="shared" si="70"/>
        <v>-13228755.254091805</v>
      </c>
      <c r="AZ224" s="409"/>
      <c r="BA224" s="81"/>
      <c r="BB224" s="81"/>
      <c r="BC224" s="81"/>
      <c r="BD224" s="81"/>
      <c r="BE224" s="81"/>
      <c r="BF224" s="81"/>
      <c r="BG224" s="81"/>
    </row>
    <row r="225" spans="1:59" ht="12.75">
      <c r="A225" s="81">
        <v>678</v>
      </c>
      <c r="B225" s="81" t="s">
        <v>344</v>
      </c>
      <c r="C225" s="81">
        <v>17</v>
      </c>
      <c r="D225" s="81">
        <v>24811</v>
      </c>
      <c r="E225" s="100">
        <v>70498815.51393302</v>
      </c>
      <c r="F225" s="81">
        <v>32974963</v>
      </c>
      <c r="G225" s="81">
        <v>6961877.819295429</v>
      </c>
      <c r="H225" s="81">
        <v>3598620.622630387</v>
      </c>
      <c r="I225" s="156">
        <v>21266624.869868614</v>
      </c>
      <c r="J225" s="156">
        <v>3359189.1768826945</v>
      </c>
      <c r="K225" s="81">
        <v>739022.5525062662</v>
      </c>
      <c r="L225" s="81">
        <v>-1418377</v>
      </c>
      <c r="M225" s="82">
        <v>3235000</v>
      </c>
      <c r="N225" s="82">
        <v>281274.80673526274</v>
      </c>
      <c r="O225" s="214">
        <f t="shared" si="54"/>
        <v>499380.3339856416</v>
      </c>
      <c r="P225" s="215">
        <f t="shared" si="55"/>
        <v>20.12737632443842</v>
      </c>
      <c r="Q225" s="81"/>
      <c r="R225" s="223">
        <v>166859196</v>
      </c>
      <c r="S225" s="156">
        <v>85007737.77</v>
      </c>
      <c r="T225" s="156">
        <v>5397930.93394558</v>
      </c>
      <c r="U225" s="156">
        <v>58562724.383724235</v>
      </c>
      <c r="V225" s="156">
        <v>10089206.384314481</v>
      </c>
      <c r="W225" s="156">
        <v>8778500.819295429</v>
      </c>
      <c r="X225" s="214">
        <f t="shared" si="56"/>
        <v>976904.2912797332</v>
      </c>
      <c r="Y225" s="215">
        <f t="shared" si="57"/>
        <v>39.373837865452145</v>
      </c>
      <c r="Z225" s="81"/>
      <c r="AA225" s="94">
        <f t="shared" si="58"/>
        <v>-477523.9572940916</v>
      </c>
      <c r="AB225" s="153">
        <f t="shared" si="59"/>
        <v>-19.246461541013726</v>
      </c>
      <c r="AD225" s="216">
        <v>579975.2859701182</v>
      </c>
      <c r="AE225" s="224">
        <v>155058.42072045692</v>
      </c>
      <c r="AF225" s="224">
        <v>26897.513206461663</v>
      </c>
      <c r="AG225" s="224">
        <v>31628.4666816971</v>
      </c>
      <c r="AH225" s="225">
        <v>36860.82274185564</v>
      </c>
      <c r="AJ225" s="81">
        <f t="shared" si="60"/>
        <v>52032774.769999996</v>
      </c>
      <c r="AK225" s="81">
        <f t="shared" si="61"/>
        <v>1799310.3113151933</v>
      </c>
      <c r="AL225" s="81">
        <f t="shared" si="62"/>
        <v>37296099.51385562</v>
      </c>
      <c r="AM225" s="81">
        <f t="shared" si="63"/>
        <v>96360380.48606698</v>
      </c>
      <c r="AN225" s="81">
        <f t="shared" si="64"/>
        <v>579975.2859701182</v>
      </c>
      <c r="AO225" s="81">
        <f t="shared" si="65"/>
        <v>155058.42072045692</v>
      </c>
      <c r="AP225" s="81">
        <f t="shared" si="66"/>
        <v>26897.513206461663</v>
      </c>
      <c r="AQ225" s="81">
        <f t="shared" si="67"/>
        <v>31628.4666816971</v>
      </c>
      <c r="AR225" s="81">
        <f t="shared" si="68"/>
        <v>36860.82274185564</v>
      </c>
      <c r="AS225" s="82">
        <v>8190</v>
      </c>
      <c r="AT225" s="82"/>
      <c r="AU225" s="82"/>
      <c r="AV225" s="82">
        <f t="shared" si="69"/>
        <v>0</v>
      </c>
      <c r="AW225" s="82">
        <v>33657.988828604175</v>
      </c>
      <c r="AX225" s="149">
        <v>-3855.197507119352</v>
      </c>
      <c r="AY225" s="81">
        <f t="shared" si="70"/>
        <v>-6730017.207431787</v>
      </c>
      <c r="AZ225" s="409"/>
      <c r="BA225" s="81"/>
      <c r="BB225" s="81"/>
      <c r="BC225" s="81"/>
      <c r="BD225" s="81"/>
      <c r="BE225" s="81"/>
      <c r="BF225" s="81"/>
      <c r="BG225" s="81"/>
    </row>
    <row r="226" spans="1:59" ht="12.75">
      <c r="A226" s="81">
        <v>680</v>
      </c>
      <c r="B226" s="81" t="s">
        <v>345</v>
      </c>
      <c r="C226" s="81">
        <v>2</v>
      </c>
      <c r="D226" s="81">
        <v>24178</v>
      </c>
      <c r="E226" s="100">
        <v>55934049.40555668</v>
      </c>
      <c r="F226" s="81">
        <v>31138891</v>
      </c>
      <c r="G226" s="81">
        <v>7389230.492763273</v>
      </c>
      <c r="H226" s="81">
        <v>3389925.2359873825</v>
      </c>
      <c r="I226" s="156">
        <v>9077407.463465437</v>
      </c>
      <c r="J226" s="156">
        <v>3242396.186633447</v>
      </c>
      <c r="K226" s="81">
        <v>-1405285.354124812</v>
      </c>
      <c r="L226" s="81">
        <v>-1703686</v>
      </c>
      <c r="M226" s="82">
        <v>1480000</v>
      </c>
      <c r="N226" s="82">
        <v>311824.2339146733</v>
      </c>
      <c r="O226" s="214">
        <f t="shared" si="54"/>
        <v>-3013346.146917276</v>
      </c>
      <c r="P226" s="215">
        <f t="shared" si="55"/>
        <v>-124.63173740248475</v>
      </c>
      <c r="Q226" s="81"/>
      <c r="R226" s="223">
        <v>142085328</v>
      </c>
      <c r="S226" s="156">
        <v>89122748.84</v>
      </c>
      <c r="T226" s="156">
        <v>5084887.853981074</v>
      </c>
      <c r="U226" s="156">
        <v>27956810.886604846</v>
      </c>
      <c r="V226" s="156">
        <v>9650287.387096537</v>
      </c>
      <c r="W226" s="156">
        <v>7165544.492763273</v>
      </c>
      <c r="X226" s="214">
        <f t="shared" si="56"/>
        <v>-3105048.539554268</v>
      </c>
      <c r="Y226" s="215">
        <f t="shared" si="57"/>
        <v>-128.42454047292034</v>
      </c>
      <c r="Z226" s="81"/>
      <c r="AA226" s="94">
        <f t="shared" si="58"/>
        <v>91702.39263699204</v>
      </c>
      <c r="AB226" s="153">
        <f t="shared" si="59"/>
        <v>3.792803070435604</v>
      </c>
      <c r="AD226" s="216">
        <v>8135.107855900456</v>
      </c>
      <c r="AE226" s="224">
        <v>48431.48711146917</v>
      </c>
      <c r="AF226" s="224">
        <v>26211.28025093024</v>
      </c>
      <c r="AG226" s="224">
        <v>30821.53349039025</v>
      </c>
      <c r="AH226" s="225">
        <v>35920.397092119856</v>
      </c>
      <c r="AJ226" s="81">
        <f t="shared" si="60"/>
        <v>57983857.84</v>
      </c>
      <c r="AK226" s="81">
        <f t="shared" si="61"/>
        <v>1694962.6179936915</v>
      </c>
      <c r="AL226" s="81">
        <f t="shared" si="62"/>
        <v>18879403.42313941</v>
      </c>
      <c r="AM226" s="81">
        <f t="shared" si="63"/>
        <v>86151278.59444332</v>
      </c>
      <c r="AN226" s="81">
        <f t="shared" si="64"/>
        <v>8135.107855900456</v>
      </c>
      <c r="AO226" s="81">
        <f t="shared" si="65"/>
        <v>48431.48711146917</v>
      </c>
      <c r="AP226" s="81">
        <f t="shared" si="66"/>
        <v>26211.28025093024</v>
      </c>
      <c r="AQ226" s="81">
        <f t="shared" si="67"/>
        <v>30821.53349039025</v>
      </c>
      <c r="AR226" s="81">
        <f t="shared" si="68"/>
        <v>35920.397092119856</v>
      </c>
      <c r="AS226" s="82">
        <v>8053</v>
      </c>
      <c r="AT226" s="82">
        <v>257</v>
      </c>
      <c r="AU226" s="82"/>
      <c r="AV226" s="82">
        <f t="shared" si="69"/>
        <v>257</v>
      </c>
      <c r="AW226" s="82">
        <v>20792.04015624236</v>
      </c>
      <c r="AX226" s="149">
        <v>2561.0139575126796</v>
      </c>
      <c r="AY226" s="81">
        <f t="shared" si="70"/>
        <v>-6407891.20046309</v>
      </c>
      <c r="AZ226" s="409"/>
      <c r="BA226" s="81"/>
      <c r="BB226" s="81"/>
      <c r="BC226" s="81"/>
      <c r="BD226" s="81"/>
      <c r="BE226" s="81"/>
      <c r="BF226" s="81"/>
      <c r="BG226" s="81"/>
    </row>
    <row r="227" spans="1:59" ht="12.75">
      <c r="A227" s="81">
        <v>681</v>
      </c>
      <c r="B227" s="81" t="s">
        <v>346</v>
      </c>
      <c r="C227" s="81">
        <v>11</v>
      </c>
      <c r="D227" s="81">
        <v>3514</v>
      </c>
      <c r="E227" s="100">
        <v>7292299.893375175</v>
      </c>
      <c r="F227" s="81">
        <v>4119958</v>
      </c>
      <c r="G227" s="81">
        <v>1083196.9403826445</v>
      </c>
      <c r="H227" s="81">
        <v>775405.98040752</v>
      </c>
      <c r="I227" s="156">
        <v>1943890.5571369634</v>
      </c>
      <c r="J227" s="156">
        <v>713753.8299443319</v>
      </c>
      <c r="K227" s="81">
        <v>-268833.56080826325</v>
      </c>
      <c r="L227" s="81">
        <v>-163137</v>
      </c>
      <c r="M227" s="82">
        <v>201900</v>
      </c>
      <c r="N227" s="82">
        <v>30144.829086397116</v>
      </c>
      <c r="O227" s="214">
        <f t="shared" si="54"/>
        <v>1143979.682774419</v>
      </c>
      <c r="P227" s="215">
        <f t="shared" si="55"/>
        <v>325.549141370068</v>
      </c>
      <c r="Q227" s="81"/>
      <c r="R227" s="223">
        <v>23234372</v>
      </c>
      <c r="S227" s="156">
        <v>9501555.94</v>
      </c>
      <c r="T227" s="156">
        <v>1163108.97061128</v>
      </c>
      <c r="U227" s="156">
        <v>10246815.472560506</v>
      </c>
      <c r="V227" s="156">
        <v>2245965.983678725</v>
      </c>
      <c r="W227" s="156">
        <v>1121959.9403826445</v>
      </c>
      <c r="X227" s="214">
        <f t="shared" si="56"/>
        <v>1045034.3072331548</v>
      </c>
      <c r="Y227" s="215">
        <f t="shared" si="57"/>
        <v>297.39166398211574</v>
      </c>
      <c r="Z227" s="81"/>
      <c r="AA227" s="94">
        <f t="shared" si="58"/>
        <v>98945.37554126419</v>
      </c>
      <c r="AB227" s="153">
        <f t="shared" si="59"/>
        <v>28.157477387952245</v>
      </c>
      <c r="AD227" s="216">
        <v>-84435.11924495987</v>
      </c>
      <c r="AE227" s="224">
        <v>-39196.40433976908</v>
      </c>
      <c r="AF227" s="224">
        <v>3809.514385051239</v>
      </c>
      <c r="AG227" s="224">
        <v>4479.562771330604</v>
      </c>
      <c r="AH227" s="225">
        <v>5220.625170887136</v>
      </c>
      <c r="AJ227" s="81">
        <f t="shared" si="60"/>
        <v>5381597.9399999995</v>
      </c>
      <c r="AK227" s="81">
        <f t="shared" si="61"/>
        <v>387702.9902037601</v>
      </c>
      <c r="AL227" s="81">
        <f t="shared" si="62"/>
        <v>8302924.915423543</v>
      </c>
      <c r="AM227" s="81">
        <f t="shared" si="63"/>
        <v>15942072.106624825</v>
      </c>
      <c r="AN227" s="81">
        <f t="shared" si="64"/>
        <v>-84435.11924495987</v>
      </c>
      <c r="AO227" s="81">
        <f t="shared" si="65"/>
        <v>-39196.40433976908</v>
      </c>
      <c r="AP227" s="81">
        <f t="shared" si="66"/>
        <v>3809.514385051239</v>
      </c>
      <c r="AQ227" s="81">
        <f t="shared" si="67"/>
        <v>4479.562771330604</v>
      </c>
      <c r="AR227" s="81">
        <f t="shared" si="68"/>
        <v>5220.625170887136</v>
      </c>
      <c r="AS227" s="82">
        <v>1033</v>
      </c>
      <c r="AT227" s="82">
        <v>273</v>
      </c>
      <c r="AU227" s="82">
        <v>10</v>
      </c>
      <c r="AV227" s="82">
        <f t="shared" si="69"/>
        <v>283</v>
      </c>
      <c r="AW227" s="82">
        <v>6541.428976259059</v>
      </c>
      <c r="AX227" s="149">
        <v>-1709.8183031448004</v>
      </c>
      <c r="AY227" s="81">
        <f t="shared" si="70"/>
        <v>-1532212.1537343932</v>
      </c>
      <c r="AZ227" s="409"/>
      <c r="BA227" s="81"/>
      <c r="BB227" s="81"/>
      <c r="BC227" s="81"/>
      <c r="BD227" s="81"/>
      <c r="BE227" s="81"/>
      <c r="BF227" s="81"/>
      <c r="BG227" s="81"/>
    </row>
    <row r="228" spans="1:59" ht="12.75">
      <c r="A228" s="81">
        <v>683</v>
      </c>
      <c r="B228" s="81" t="s">
        <v>347</v>
      </c>
      <c r="C228" s="81">
        <v>19</v>
      </c>
      <c r="D228" s="81">
        <v>3896</v>
      </c>
      <c r="E228" s="100">
        <v>14193682.455253623</v>
      </c>
      <c r="F228" s="81">
        <v>3054607</v>
      </c>
      <c r="G228" s="81">
        <v>943976.776797566</v>
      </c>
      <c r="H228" s="81">
        <v>437130.6490926144</v>
      </c>
      <c r="I228" s="156">
        <v>7815693.76234682</v>
      </c>
      <c r="J228" s="156">
        <v>693463.092542723</v>
      </c>
      <c r="K228" s="81">
        <v>-410022.1781257617</v>
      </c>
      <c r="L228" s="81">
        <v>185939</v>
      </c>
      <c r="M228" s="82">
        <v>10000</v>
      </c>
      <c r="N228" s="82">
        <v>29175.192188961137</v>
      </c>
      <c r="O228" s="214">
        <f t="shared" si="54"/>
        <v>-1433719.1604107004</v>
      </c>
      <c r="P228" s="215">
        <f t="shared" si="55"/>
        <v>-367.99773111157606</v>
      </c>
      <c r="Q228" s="81"/>
      <c r="R228" s="223">
        <v>33007996</v>
      </c>
      <c r="S228" s="156">
        <v>8419767.592500001</v>
      </c>
      <c r="T228" s="156">
        <v>655695.9736389216</v>
      </c>
      <c r="U228" s="156">
        <v>19198360.98172181</v>
      </c>
      <c r="V228" s="156">
        <v>2198845.745585462</v>
      </c>
      <c r="W228" s="156">
        <v>1139915.776797566</v>
      </c>
      <c r="X228" s="214">
        <f t="shared" si="56"/>
        <v>-1395409.929756239</v>
      </c>
      <c r="Y228" s="215">
        <f t="shared" si="57"/>
        <v>-358.16476636453774</v>
      </c>
      <c r="Z228" s="81"/>
      <c r="AA228" s="94">
        <f t="shared" si="58"/>
        <v>-38309.23065446131</v>
      </c>
      <c r="AB228" s="153">
        <f t="shared" si="59"/>
        <v>-9.832964747038323</v>
      </c>
      <c r="AD228" s="216">
        <v>54396.86825560169</v>
      </c>
      <c r="AE228" s="224">
        <v>7804.163859139874</v>
      </c>
      <c r="AF228" s="224">
        <v>4223.639170221863</v>
      </c>
      <c r="AG228" s="224">
        <v>4966.527193256697</v>
      </c>
      <c r="AH228" s="225">
        <v>5788.149022702413</v>
      </c>
      <c r="AJ228" s="81">
        <f t="shared" si="60"/>
        <v>5365160.592500001</v>
      </c>
      <c r="AK228" s="81">
        <f t="shared" si="61"/>
        <v>218565.3245463072</v>
      </c>
      <c r="AL228" s="81">
        <f t="shared" si="62"/>
        <v>11382667.219374992</v>
      </c>
      <c r="AM228" s="81">
        <f t="shared" si="63"/>
        <v>18814313.544746377</v>
      </c>
      <c r="AN228" s="81">
        <f t="shared" si="64"/>
        <v>54396.86825560169</v>
      </c>
      <c r="AO228" s="81">
        <f t="shared" si="65"/>
        <v>7804.163859139874</v>
      </c>
      <c r="AP228" s="81">
        <f t="shared" si="66"/>
        <v>4223.639170221863</v>
      </c>
      <c r="AQ228" s="81">
        <f t="shared" si="67"/>
        <v>4966.527193256697</v>
      </c>
      <c r="AR228" s="81">
        <f t="shared" si="68"/>
        <v>5788.149022702413</v>
      </c>
      <c r="AS228" s="82">
        <v>2244</v>
      </c>
      <c r="AT228" s="82">
        <v>5</v>
      </c>
      <c r="AU228" s="82"/>
      <c r="AV228" s="82">
        <f t="shared" si="69"/>
        <v>5</v>
      </c>
      <c r="AW228" s="82">
        <v>8452.733135014254</v>
      </c>
      <c r="AX228" s="149">
        <v>-2649.9850774613283</v>
      </c>
      <c r="AY228" s="81">
        <f t="shared" si="70"/>
        <v>-1505382.653042739</v>
      </c>
      <c r="AZ228" s="409"/>
      <c r="BA228" s="81"/>
      <c r="BB228" s="81"/>
      <c r="BC228" s="81"/>
      <c r="BD228" s="81"/>
      <c r="BE228" s="81"/>
      <c r="BF228" s="81"/>
      <c r="BG228" s="81"/>
    </row>
    <row r="229" spans="1:59" ht="12.75">
      <c r="A229" s="81">
        <v>684</v>
      </c>
      <c r="B229" s="81" t="s">
        <v>348</v>
      </c>
      <c r="C229" s="81">
        <v>4</v>
      </c>
      <c r="D229" s="81">
        <v>39360</v>
      </c>
      <c r="E229" s="100">
        <v>92512657.14856139</v>
      </c>
      <c r="F229" s="81">
        <v>63269396</v>
      </c>
      <c r="G229" s="81">
        <v>8208012.510559736</v>
      </c>
      <c r="H229" s="81">
        <v>9482052.870070705</v>
      </c>
      <c r="I229" s="156">
        <v>9797351.26564173</v>
      </c>
      <c r="J229" s="156">
        <v>6725962.254227942</v>
      </c>
      <c r="K229" s="81">
        <v>-478842.7836873587</v>
      </c>
      <c r="L229" s="81">
        <v>-1941558</v>
      </c>
      <c r="M229" s="82">
        <v>2275491</v>
      </c>
      <c r="N229" s="82">
        <v>539942.7498297949</v>
      </c>
      <c r="O229" s="214">
        <f t="shared" si="54"/>
        <v>5365150.718081161</v>
      </c>
      <c r="P229" s="215">
        <f t="shared" si="55"/>
        <v>136.3097235284848</v>
      </c>
      <c r="Q229" s="81"/>
      <c r="R229" s="223">
        <v>240951844</v>
      </c>
      <c r="S229" s="156">
        <v>161865900.51999998</v>
      </c>
      <c r="T229" s="156">
        <v>14223079.305106057</v>
      </c>
      <c r="U229" s="156">
        <v>42735229.22432707</v>
      </c>
      <c r="V229" s="156">
        <v>20331936.401825022</v>
      </c>
      <c r="W229" s="156">
        <v>8541945.510559736</v>
      </c>
      <c r="X229" s="214">
        <f t="shared" si="56"/>
        <v>6746246.961817861</v>
      </c>
      <c r="Y229" s="215">
        <f t="shared" si="57"/>
        <v>171.39855085919362</v>
      </c>
      <c r="Z229" s="81"/>
      <c r="AA229" s="94">
        <f t="shared" si="58"/>
        <v>-1381096.2437366992</v>
      </c>
      <c r="AB229" s="153">
        <f t="shared" si="59"/>
        <v>-35.088827330708824</v>
      </c>
      <c r="AD229" s="216">
        <v>1543624.3279206525</v>
      </c>
      <c r="AE229" s="224">
        <v>869539.1311842579</v>
      </c>
      <c r="AF229" s="224">
        <v>242966.2739574067</v>
      </c>
      <c r="AG229" s="224">
        <v>50175.18232201837</v>
      </c>
      <c r="AH229" s="225">
        <v>58475.75604044327</v>
      </c>
      <c r="AJ229" s="81">
        <f t="shared" si="60"/>
        <v>98596504.51999998</v>
      </c>
      <c r="AK229" s="81">
        <f t="shared" si="61"/>
        <v>4741026.435035352</v>
      </c>
      <c r="AL229" s="81">
        <f t="shared" si="62"/>
        <v>32937877.958685342</v>
      </c>
      <c r="AM229" s="81">
        <f t="shared" si="63"/>
        <v>148439186.8514386</v>
      </c>
      <c r="AN229" s="81">
        <f t="shared" si="64"/>
        <v>1543624.3279206525</v>
      </c>
      <c r="AO229" s="81">
        <f t="shared" si="65"/>
        <v>869539.1311842579</v>
      </c>
      <c r="AP229" s="81">
        <f t="shared" si="66"/>
        <v>242966.2739574067</v>
      </c>
      <c r="AQ229" s="81">
        <f t="shared" si="67"/>
        <v>50175.18232201837</v>
      </c>
      <c r="AR229" s="81">
        <f t="shared" si="68"/>
        <v>58475.75604044327</v>
      </c>
      <c r="AS229" s="82">
        <v>18109</v>
      </c>
      <c r="AT229" s="82">
        <v>347</v>
      </c>
      <c r="AU229" s="82"/>
      <c r="AV229" s="82">
        <f t="shared" si="69"/>
        <v>347</v>
      </c>
      <c r="AW229" s="82">
        <v>37420.48432442755</v>
      </c>
      <c r="AX229" s="149">
        <v>5862.592230238231</v>
      </c>
      <c r="AY229" s="81">
        <f t="shared" si="70"/>
        <v>-13605974.14759708</v>
      </c>
      <c r="AZ229" s="409"/>
      <c r="BA229" s="81"/>
      <c r="BB229" s="81"/>
      <c r="BC229" s="81"/>
      <c r="BD229" s="81"/>
      <c r="BE229" s="81"/>
      <c r="BF229" s="81"/>
      <c r="BG229" s="81"/>
    </row>
    <row r="230" spans="1:59" ht="12.75">
      <c r="A230" s="81">
        <v>686</v>
      </c>
      <c r="B230" s="81" t="s">
        <v>349</v>
      </c>
      <c r="C230" s="81">
        <v>11</v>
      </c>
      <c r="D230" s="81">
        <v>3196</v>
      </c>
      <c r="E230" s="100">
        <v>8577608.913690597</v>
      </c>
      <c r="F230" s="81">
        <v>3790475</v>
      </c>
      <c r="G230" s="81">
        <v>1067810.5903396686</v>
      </c>
      <c r="H230" s="81">
        <v>516220.1012729376</v>
      </c>
      <c r="I230" s="156">
        <v>2453490.9052831107</v>
      </c>
      <c r="J230" s="156">
        <v>606580.8930608958</v>
      </c>
      <c r="K230" s="81">
        <v>-579172.948121747</v>
      </c>
      <c r="L230" s="81">
        <v>123549</v>
      </c>
      <c r="M230" s="82">
        <v>169300</v>
      </c>
      <c r="N230" s="82">
        <v>27638.225899668054</v>
      </c>
      <c r="O230" s="214">
        <f t="shared" si="54"/>
        <v>-401717.14595606364</v>
      </c>
      <c r="P230" s="215">
        <f t="shared" si="55"/>
        <v>-125.6937252678547</v>
      </c>
      <c r="Q230" s="81"/>
      <c r="R230" s="223">
        <v>24396764</v>
      </c>
      <c r="S230" s="156">
        <v>8821936.9</v>
      </c>
      <c r="T230" s="156">
        <v>774330.1519094064</v>
      </c>
      <c r="U230" s="156">
        <v>10634017.261680588</v>
      </c>
      <c r="V230" s="156">
        <v>1900465.0943970734</v>
      </c>
      <c r="W230" s="156">
        <v>1360659.5903396686</v>
      </c>
      <c r="X230" s="214">
        <f t="shared" si="56"/>
        <v>-905355.0016732626</v>
      </c>
      <c r="Y230" s="215">
        <f t="shared" si="57"/>
        <v>-283.2775349415715</v>
      </c>
      <c r="Z230" s="81"/>
      <c r="AA230" s="94">
        <f t="shared" si="58"/>
        <v>503637.8557171989</v>
      </c>
      <c r="AB230" s="153">
        <f t="shared" si="59"/>
        <v>157.58380967371681</v>
      </c>
      <c r="AD230" s="216">
        <v>-490440.7074181164</v>
      </c>
      <c r="AE230" s="224">
        <v>-449295.87735636625</v>
      </c>
      <c r="AF230" s="224">
        <v>-404293.0839543596</v>
      </c>
      <c r="AG230" s="224">
        <v>-355743.671705484</v>
      </c>
      <c r="AH230" s="225">
        <v>-307129.67186798184</v>
      </c>
      <c r="AJ230" s="81">
        <f t="shared" si="60"/>
        <v>5031461.9</v>
      </c>
      <c r="AK230" s="81">
        <f t="shared" si="61"/>
        <v>258110.0506364688</v>
      </c>
      <c r="AL230" s="81">
        <f t="shared" si="62"/>
        <v>8180526.356397478</v>
      </c>
      <c r="AM230" s="81">
        <f t="shared" si="63"/>
        <v>15819155.086309403</v>
      </c>
      <c r="AN230" s="81">
        <f t="shared" si="64"/>
        <v>-490440.7074181164</v>
      </c>
      <c r="AO230" s="81">
        <f t="shared" si="65"/>
        <v>-449295.87735636625</v>
      </c>
      <c r="AP230" s="81">
        <f t="shared" si="66"/>
        <v>-404293.0839543596</v>
      </c>
      <c r="AQ230" s="81">
        <f t="shared" si="67"/>
        <v>-355743.671705484</v>
      </c>
      <c r="AR230" s="81">
        <f t="shared" si="68"/>
        <v>-307129.67186798184</v>
      </c>
      <c r="AS230" s="82">
        <v>986</v>
      </c>
      <c r="AT230" s="82">
        <v>95</v>
      </c>
      <c r="AU230" s="82">
        <v>8</v>
      </c>
      <c r="AV230" s="82">
        <f t="shared" si="69"/>
        <v>103</v>
      </c>
      <c r="AW230" s="82">
        <v>6761.16569866793</v>
      </c>
      <c r="AX230" s="149">
        <v>-1562.8944730787364</v>
      </c>
      <c r="AY230" s="81">
        <f t="shared" si="70"/>
        <v>-1293884.2013361775</v>
      </c>
      <c r="AZ230" s="409"/>
      <c r="BA230" s="81"/>
      <c r="BB230" s="81"/>
      <c r="BC230" s="81"/>
      <c r="BD230" s="81"/>
      <c r="BE230" s="81"/>
      <c r="BF230" s="81"/>
      <c r="BG230" s="81"/>
    </row>
    <row r="231" spans="1:59" ht="12.75">
      <c r="A231" s="81">
        <v>687</v>
      </c>
      <c r="B231" s="81" t="s">
        <v>350</v>
      </c>
      <c r="C231" s="81">
        <v>11</v>
      </c>
      <c r="D231" s="81">
        <v>1651</v>
      </c>
      <c r="E231" s="100">
        <v>4524362.509507105</v>
      </c>
      <c r="F231" s="81">
        <v>1714221</v>
      </c>
      <c r="G231" s="81">
        <v>406288.61931478966</v>
      </c>
      <c r="H231" s="81">
        <v>1009706.3486383103</v>
      </c>
      <c r="I231" s="156">
        <v>1367231.9266057617</v>
      </c>
      <c r="J231" s="156">
        <v>349714.2725170824</v>
      </c>
      <c r="K231" s="81">
        <v>-257935.10972291065</v>
      </c>
      <c r="L231" s="81">
        <v>45391</v>
      </c>
      <c r="M231" s="82">
        <v>250000</v>
      </c>
      <c r="N231" s="82">
        <v>14349.40394300963</v>
      </c>
      <c r="O231" s="214">
        <f t="shared" si="54"/>
        <v>374604.9517889386</v>
      </c>
      <c r="P231" s="215">
        <f t="shared" si="55"/>
        <v>226.89579151359092</v>
      </c>
      <c r="Q231" s="81"/>
      <c r="R231" s="223">
        <v>14704984</v>
      </c>
      <c r="S231" s="156">
        <v>3955644.12</v>
      </c>
      <c r="T231" s="156">
        <v>1514559.5229574656</v>
      </c>
      <c r="U231" s="156">
        <v>7459261.265579313</v>
      </c>
      <c r="V231" s="156">
        <v>1101935.1807909647</v>
      </c>
      <c r="W231" s="156">
        <v>701679.6193147897</v>
      </c>
      <c r="X231" s="214">
        <f t="shared" si="56"/>
        <v>28095.70864253491</v>
      </c>
      <c r="Y231" s="215">
        <f t="shared" si="57"/>
        <v>17.017388638724963</v>
      </c>
      <c r="Z231" s="81"/>
      <c r="AA231" s="94">
        <f t="shared" si="58"/>
        <v>346509.2431464037</v>
      </c>
      <c r="AB231" s="153">
        <f t="shared" si="59"/>
        <v>209.87840287486597</v>
      </c>
      <c r="AD231" s="216">
        <v>-339691.81766399374</v>
      </c>
      <c r="AE231" s="224">
        <v>-318437.0884925452</v>
      </c>
      <c r="AF231" s="224">
        <v>-295189.4001612833</v>
      </c>
      <c r="AG231" s="224">
        <v>-270109.58801394486</v>
      </c>
      <c r="AH231" s="225">
        <v>-244996.41100151808</v>
      </c>
      <c r="AJ231" s="81">
        <f t="shared" si="60"/>
        <v>2241423.12</v>
      </c>
      <c r="AK231" s="81">
        <f t="shared" si="61"/>
        <v>504853.1743191553</v>
      </c>
      <c r="AL231" s="81">
        <f t="shared" si="62"/>
        <v>6092029.338973551</v>
      </c>
      <c r="AM231" s="81">
        <f t="shared" si="63"/>
        <v>10180621.490492895</v>
      </c>
      <c r="AN231" s="81">
        <f t="shared" si="64"/>
        <v>-339691.81766399374</v>
      </c>
      <c r="AO231" s="81">
        <f t="shared" si="65"/>
        <v>-318437.0884925452</v>
      </c>
      <c r="AP231" s="81">
        <f t="shared" si="66"/>
        <v>-295189.4001612833</v>
      </c>
      <c r="AQ231" s="81">
        <f t="shared" si="67"/>
        <v>-270109.58801394486</v>
      </c>
      <c r="AR231" s="81">
        <f t="shared" si="68"/>
        <v>-244996.41100151808</v>
      </c>
      <c r="AS231" s="82">
        <v>880</v>
      </c>
      <c r="AT231" s="82">
        <v>3</v>
      </c>
      <c r="AU231" s="82">
        <v>88</v>
      </c>
      <c r="AV231" s="82">
        <f t="shared" si="69"/>
        <v>91</v>
      </c>
      <c r="AW231" s="82">
        <v>5408.070264714915</v>
      </c>
      <c r="AX231" s="149">
        <v>-871.948557434913</v>
      </c>
      <c r="AY231" s="81">
        <f t="shared" si="70"/>
        <v>-752220.9082738823</v>
      </c>
      <c r="AZ231" s="409"/>
      <c r="BA231" s="81"/>
      <c r="BB231" s="81"/>
      <c r="BC231" s="81"/>
      <c r="BD231" s="81"/>
      <c r="BE231" s="81"/>
      <c r="BF231" s="81"/>
      <c r="BG231" s="81"/>
    </row>
    <row r="232" spans="1:59" ht="12.75">
      <c r="A232" s="81">
        <v>689</v>
      </c>
      <c r="B232" s="81" t="s">
        <v>351</v>
      </c>
      <c r="C232" s="81">
        <v>9</v>
      </c>
      <c r="D232" s="81">
        <v>3335</v>
      </c>
      <c r="E232" s="100">
        <v>9173999.931399804</v>
      </c>
      <c r="F232" s="81">
        <v>3843461</v>
      </c>
      <c r="G232" s="81">
        <v>726904.4993139029</v>
      </c>
      <c r="H232" s="81">
        <v>938292.8151510145</v>
      </c>
      <c r="I232" s="156">
        <v>585597.9242897979</v>
      </c>
      <c r="J232" s="156">
        <v>567936.5184088652</v>
      </c>
      <c r="K232" s="81">
        <v>599861.1846886812</v>
      </c>
      <c r="L232" s="81">
        <v>-419979</v>
      </c>
      <c r="M232" s="82">
        <v>17800</v>
      </c>
      <c r="N232" s="82">
        <v>36128.83581740134</v>
      </c>
      <c r="O232" s="214">
        <f t="shared" si="54"/>
        <v>-2277996.153730141</v>
      </c>
      <c r="P232" s="215">
        <f t="shared" si="55"/>
        <v>-683.0573174603121</v>
      </c>
      <c r="Q232" s="81"/>
      <c r="R232" s="223">
        <v>24809092</v>
      </c>
      <c r="S232" s="156">
        <v>10288871.165</v>
      </c>
      <c r="T232" s="156">
        <v>1407439.2227265218</v>
      </c>
      <c r="U232" s="156">
        <v>9162904.064511597</v>
      </c>
      <c r="V232" s="156">
        <v>1751276.0141221008</v>
      </c>
      <c r="W232" s="156">
        <v>324725.4993139029</v>
      </c>
      <c r="X232" s="214">
        <f t="shared" si="56"/>
        <v>-1873876.0343258753</v>
      </c>
      <c r="Y232" s="215">
        <f t="shared" si="57"/>
        <v>-561.881869363081</v>
      </c>
      <c r="Z232" s="81"/>
      <c r="AA232" s="94">
        <f t="shared" si="58"/>
        <v>-404120.11940426566</v>
      </c>
      <c r="AB232" s="153">
        <f t="shared" si="59"/>
        <v>-121.17544809723108</v>
      </c>
      <c r="AD232" s="216">
        <v>417891.2362933288</v>
      </c>
      <c r="AE232" s="224">
        <v>360775.5317426208</v>
      </c>
      <c r="AF232" s="224">
        <v>307685.5805522867</v>
      </c>
      <c r="AG232" s="224">
        <v>258296.49727631678</v>
      </c>
      <c r="AH232" s="225">
        <v>208974.81062364773</v>
      </c>
      <c r="AJ232" s="81">
        <f t="shared" si="60"/>
        <v>6445410.164999999</v>
      </c>
      <c r="AK232" s="81">
        <f t="shared" si="61"/>
        <v>469146.4075755073</v>
      </c>
      <c r="AL232" s="81">
        <f t="shared" si="62"/>
        <v>8577306.140221799</v>
      </c>
      <c r="AM232" s="81">
        <f t="shared" si="63"/>
        <v>15635092.068600196</v>
      </c>
      <c r="AN232" s="81">
        <f t="shared" si="64"/>
        <v>417891.2362933288</v>
      </c>
      <c r="AO232" s="81">
        <f t="shared" si="65"/>
        <v>360775.5317426208</v>
      </c>
      <c r="AP232" s="81">
        <f t="shared" si="66"/>
        <v>307685.5805522867</v>
      </c>
      <c r="AQ232" s="81">
        <f t="shared" si="67"/>
        <v>258296.49727631678</v>
      </c>
      <c r="AR232" s="81">
        <f t="shared" si="68"/>
        <v>208974.81062364773</v>
      </c>
      <c r="AS232" s="82">
        <v>1710</v>
      </c>
      <c r="AT232" s="82">
        <v>11</v>
      </c>
      <c r="AU232" s="82"/>
      <c r="AV232" s="82">
        <f t="shared" si="69"/>
        <v>11</v>
      </c>
      <c r="AW232" s="82">
        <v>8001.6887396383245</v>
      </c>
      <c r="AX232" s="149">
        <v>-598.5472741516945</v>
      </c>
      <c r="AY232" s="81">
        <f t="shared" si="70"/>
        <v>-1183339.4957132356</v>
      </c>
      <c r="AZ232" s="409"/>
      <c r="BA232" s="81"/>
      <c r="BB232" s="81"/>
      <c r="BC232" s="81"/>
      <c r="BD232" s="81"/>
      <c r="BE232" s="81"/>
      <c r="BF232" s="81"/>
      <c r="BG232" s="81"/>
    </row>
    <row r="233" spans="1:59" ht="12.75">
      <c r="A233" s="81">
        <v>691</v>
      </c>
      <c r="B233" s="81" t="s">
        <v>352</v>
      </c>
      <c r="C233" s="81">
        <v>17</v>
      </c>
      <c r="D233" s="81">
        <v>2743</v>
      </c>
      <c r="E233" s="100">
        <v>8457418.637018379</v>
      </c>
      <c r="F233" s="81">
        <v>3197579</v>
      </c>
      <c r="G233" s="81">
        <v>556233.5578362488</v>
      </c>
      <c r="H233" s="81">
        <v>243766.26220605118</v>
      </c>
      <c r="I233" s="156">
        <v>3586895.7154368097</v>
      </c>
      <c r="J233" s="156">
        <v>528914.9025605791</v>
      </c>
      <c r="K233" s="81">
        <v>-446890.4564855969</v>
      </c>
      <c r="L233" s="81">
        <v>-151537</v>
      </c>
      <c r="M233" s="82">
        <v>-683000</v>
      </c>
      <c r="N233" s="82">
        <v>21085.36994894753</v>
      </c>
      <c r="O233" s="214">
        <f t="shared" si="54"/>
        <v>-1604371.285515339</v>
      </c>
      <c r="P233" s="215">
        <f t="shared" si="55"/>
        <v>-584.8965678145604</v>
      </c>
      <c r="Q233" s="81"/>
      <c r="R233" s="223">
        <v>21140616</v>
      </c>
      <c r="S233" s="156">
        <v>7111142.350000001</v>
      </c>
      <c r="T233" s="156">
        <v>365649.3933090768</v>
      </c>
      <c r="U233" s="156">
        <v>10055152.515936797</v>
      </c>
      <c r="V233" s="156">
        <v>1666123.13786671</v>
      </c>
      <c r="W233" s="156">
        <v>-278303.4421637512</v>
      </c>
      <c r="X233" s="214">
        <f t="shared" si="56"/>
        <v>-2220852.045051165</v>
      </c>
      <c r="Y233" s="215">
        <f t="shared" si="57"/>
        <v>-809.6434724940448</v>
      </c>
      <c r="Z233" s="81"/>
      <c r="AA233" s="94">
        <f t="shared" si="58"/>
        <v>616480.7595358258</v>
      </c>
      <c r="AB233" s="153">
        <f t="shared" si="59"/>
        <v>224.74690467948443</v>
      </c>
      <c r="AD233" s="216">
        <v>-605154.1707422162</v>
      </c>
      <c r="AE233" s="224">
        <v>-569841.1955046125</v>
      </c>
      <c r="AF233" s="224">
        <v>-531217.0833951932</v>
      </c>
      <c r="AG233" s="224">
        <v>-489549.04904016637</v>
      </c>
      <c r="AH233" s="225">
        <v>-447825.58172030764</v>
      </c>
      <c r="AJ233" s="81">
        <f t="shared" si="60"/>
        <v>3913563.3500000006</v>
      </c>
      <c r="AK233" s="81">
        <f t="shared" si="61"/>
        <v>121883.1311030256</v>
      </c>
      <c r="AL233" s="81">
        <f t="shared" si="62"/>
        <v>6468256.800499988</v>
      </c>
      <c r="AM233" s="81">
        <f t="shared" si="63"/>
        <v>12683197.362981621</v>
      </c>
      <c r="AN233" s="81">
        <f t="shared" si="64"/>
        <v>-605154.1707422162</v>
      </c>
      <c r="AO233" s="81">
        <f t="shared" si="65"/>
        <v>-569841.1955046125</v>
      </c>
      <c r="AP233" s="81">
        <f t="shared" si="66"/>
        <v>-531217.0833951932</v>
      </c>
      <c r="AQ233" s="81">
        <f t="shared" si="67"/>
        <v>-489549.04904016637</v>
      </c>
      <c r="AR233" s="81">
        <f t="shared" si="68"/>
        <v>-447825.58172030764</v>
      </c>
      <c r="AS233" s="82">
        <v>1166</v>
      </c>
      <c r="AT233" s="82"/>
      <c r="AU233" s="82"/>
      <c r="AV233" s="82">
        <f t="shared" si="69"/>
        <v>0</v>
      </c>
      <c r="AW233" s="82">
        <v>5206.846706373775</v>
      </c>
      <c r="AX233" s="149">
        <v>-1602.2883137529448</v>
      </c>
      <c r="AY233" s="81">
        <f t="shared" si="70"/>
        <v>-1137208.235306131</v>
      </c>
      <c r="AZ233" s="409"/>
      <c r="BA233" s="81"/>
      <c r="BB233" s="81"/>
      <c r="BC233" s="81"/>
      <c r="BD233" s="81"/>
      <c r="BE233" s="81"/>
      <c r="BF233" s="81"/>
      <c r="BG233" s="81"/>
    </row>
    <row r="234" spans="1:59" ht="12.75">
      <c r="A234" s="81">
        <v>694</v>
      </c>
      <c r="B234" s="81" t="s">
        <v>353</v>
      </c>
      <c r="C234" s="81">
        <v>5</v>
      </c>
      <c r="D234" s="81">
        <v>28736</v>
      </c>
      <c r="E234" s="100">
        <v>49355578.98805694</v>
      </c>
      <c r="F234" s="81">
        <v>39799030</v>
      </c>
      <c r="G234" s="81">
        <v>9413135.0126094</v>
      </c>
      <c r="H234" s="81">
        <v>4736621.737960359</v>
      </c>
      <c r="I234" s="156">
        <v>10562815.953350695</v>
      </c>
      <c r="J234" s="156">
        <v>3961371.9199354323</v>
      </c>
      <c r="K234" s="81">
        <v>-2461779.740005063</v>
      </c>
      <c r="L234" s="81">
        <v>-847776</v>
      </c>
      <c r="M234" s="82">
        <v>786600</v>
      </c>
      <c r="N234" s="82">
        <v>359711.6990814407</v>
      </c>
      <c r="O234" s="214">
        <f t="shared" si="54"/>
        <v>16954151.59487532</v>
      </c>
      <c r="P234" s="215">
        <f t="shared" si="55"/>
        <v>589.9969235410398</v>
      </c>
      <c r="Q234" s="81"/>
      <c r="R234" s="223">
        <v>150524584</v>
      </c>
      <c r="S234" s="156">
        <v>106274534.24</v>
      </c>
      <c r="T234" s="156">
        <v>7104932.606940539</v>
      </c>
      <c r="U234" s="156">
        <v>33386220.28358916</v>
      </c>
      <c r="V234" s="156">
        <v>11780177.953590354</v>
      </c>
      <c r="W234" s="156">
        <v>9351959.0126094</v>
      </c>
      <c r="X234" s="214">
        <f t="shared" si="56"/>
        <v>17373240.096729457</v>
      </c>
      <c r="Y234" s="215">
        <f t="shared" si="57"/>
        <v>604.581016729171</v>
      </c>
      <c r="Z234" s="81"/>
      <c r="AA234" s="94">
        <f t="shared" si="58"/>
        <v>-419088.5018541366</v>
      </c>
      <c r="AB234" s="153">
        <f t="shared" si="59"/>
        <v>-14.584093188131146</v>
      </c>
      <c r="AD234" s="216">
        <v>537747.2169738037</v>
      </c>
      <c r="AE234" s="224">
        <v>57561.71782757788</v>
      </c>
      <c r="AF234" s="224">
        <v>31152.591169275012</v>
      </c>
      <c r="AG234" s="224">
        <v>36631.962378189026</v>
      </c>
      <c r="AH234" s="225">
        <v>42692.05603603094</v>
      </c>
      <c r="AJ234" s="81">
        <f t="shared" si="60"/>
        <v>66475504.239999995</v>
      </c>
      <c r="AK234" s="81">
        <f t="shared" si="61"/>
        <v>2368310.8689801795</v>
      </c>
      <c r="AL234" s="81">
        <f t="shared" si="62"/>
        <v>22823404.33023846</v>
      </c>
      <c r="AM234" s="81">
        <f t="shared" si="63"/>
        <v>101169005.01194306</v>
      </c>
      <c r="AN234" s="81">
        <f t="shared" si="64"/>
        <v>537747.2169738037</v>
      </c>
      <c r="AO234" s="81">
        <f t="shared" si="65"/>
        <v>57561.71782757788</v>
      </c>
      <c r="AP234" s="81">
        <f t="shared" si="66"/>
        <v>31152.591169275012</v>
      </c>
      <c r="AQ234" s="81">
        <f t="shared" si="67"/>
        <v>36631.962378189026</v>
      </c>
      <c r="AR234" s="81">
        <f t="shared" si="68"/>
        <v>42692.05603603094</v>
      </c>
      <c r="AS234" s="82">
        <v>-932</v>
      </c>
      <c r="AT234" s="82">
        <v>49</v>
      </c>
      <c r="AU234" s="82">
        <v>2</v>
      </c>
      <c r="AV234" s="82">
        <f t="shared" si="69"/>
        <v>51</v>
      </c>
      <c r="AW234" s="82">
        <v>23048.662832860682</v>
      </c>
      <c r="AX234" s="149">
        <v>2051.6600557597103</v>
      </c>
      <c r="AY234" s="81">
        <f t="shared" si="70"/>
        <v>-7818806.033654922</v>
      </c>
      <c r="AZ234" s="409"/>
      <c r="BA234" s="81"/>
      <c r="BB234" s="81"/>
      <c r="BC234" s="81"/>
      <c r="BD234" s="81"/>
      <c r="BE234" s="81"/>
      <c r="BF234" s="81"/>
      <c r="BG234" s="81"/>
    </row>
    <row r="235" spans="1:59" ht="12.75">
      <c r="A235" s="81">
        <v>697</v>
      </c>
      <c r="B235" s="81" t="s">
        <v>354</v>
      </c>
      <c r="C235" s="81">
        <v>18</v>
      </c>
      <c r="D235" s="81">
        <v>1288</v>
      </c>
      <c r="E235" s="100">
        <v>3473587.0286289146</v>
      </c>
      <c r="F235" s="81">
        <v>1507176</v>
      </c>
      <c r="G235" s="81">
        <v>806963.7412389286</v>
      </c>
      <c r="H235" s="81">
        <v>298764.09427233605</v>
      </c>
      <c r="I235" s="156">
        <v>992670.1643305199</v>
      </c>
      <c r="J235" s="156">
        <v>268623.0418062309</v>
      </c>
      <c r="K235" s="81">
        <v>-282156.09964659024</v>
      </c>
      <c r="L235" s="81">
        <v>-246955</v>
      </c>
      <c r="M235" s="82">
        <v>-26000</v>
      </c>
      <c r="N235" s="82">
        <v>11977.003208365188</v>
      </c>
      <c r="O235" s="214">
        <f t="shared" si="54"/>
        <v>-142524.0834191246</v>
      </c>
      <c r="P235" s="215">
        <f t="shared" si="55"/>
        <v>-110.65534426950667</v>
      </c>
      <c r="Q235" s="81"/>
      <c r="R235" s="223">
        <v>11523428</v>
      </c>
      <c r="S235" s="156">
        <v>3650025.75</v>
      </c>
      <c r="T235" s="156">
        <v>448146.14140850405</v>
      </c>
      <c r="U235" s="156">
        <v>5731414.334777547</v>
      </c>
      <c r="V235" s="156">
        <v>838738.6798334493</v>
      </c>
      <c r="W235" s="156">
        <v>534008.7412389286</v>
      </c>
      <c r="X235" s="214">
        <f t="shared" si="56"/>
        <v>-321094.35274157114</v>
      </c>
      <c r="Y235" s="215">
        <f t="shared" si="57"/>
        <v>-249.29685771861114</v>
      </c>
      <c r="Z235" s="81"/>
      <c r="AA235" s="94">
        <f t="shared" si="58"/>
        <v>178570.26932244655</v>
      </c>
      <c r="AB235" s="153">
        <f t="shared" si="59"/>
        <v>138.64151344910445</v>
      </c>
      <c r="AD235" s="216">
        <v>-173251.76900666856</v>
      </c>
      <c r="AE235" s="224">
        <v>-156670.2480055627</v>
      </c>
      <c r="AF235" s="224">
        <v>-138533.95329286414</v>
      </c>
      <c r="AG235" s="224">
        <v>-118968.35786841113</v>
      </c>
      <c r="AH235" s="225">
        <v>-99376.73340323503</v>
      </c>
      <c r="AJ235" s="81">
        <f t="shared" si="60"/>
        <v>2142849.75</v>
      </c>
      <c r="AK235" s="81">
        <f t="shared" si="61"/>
        <v>149382.047136168</v>
      </c>
      <c r="AL235" s="81">
        <f t="shared" si="62"/>
        <v>4738744.170447027</v>
      </c>
      <c r="AM235" s="81">
        <f t="shared" si="63"/>
        <v>8049840.971371085</v>
      </c>
      <c r="AN235" s="81">
        <f t="shared" si="64"/>
        <v>-173251.76900666856</v>
      </c>
      <c r="AO235" s="81">
        <f t="shared" si="65"/>
        <v>-156670.2480055627</v>
      </c>
      <c r="AP235" s="81">
        <f t="shared" si="66"/>
        <v>-138533.95329286414</v>
      </c>
      <c r="AQ235" s="81">
        <f t="shared" si="67"/>
        <v>-118968.35786841113</v>
      </c>
      <c r="AR235" s="81">
        <f t="shared" si="68"/>
        <v>-99376.73340323503</v>
      </c>
      <c r="AS235" s="82">
        <v>468</v>
      </c>
      <c r="AT235" s="82"/>
      <c r="AU235" s="82"/>
      <c r="AV235" s="82">
        <f t="shared" si="69"/>
        <v>0</v>
      </c>
      <c r="AW235" s="82">
        <v>4246.532438705923</v>
      </c>
      <c r="AX235" s="149">
        <v>-493.1605694238576</v>
      </c>
      <c r="AY235" s="81">
        <f t="shared" si="70"/>
        <v>-570115.6380272184</v>
      </c>
      <c r="AZ235" s="409"/>
      <c r="BA235" s="81"/>
      <c r="BB235" s="81"/>
      <c r="BC235" s="81"/>
      <c r="BD235" s="81"/>
      <c r="BE235" s="81"/>
      <c r="BF235" s="81"/>
      <c r="BG235" s="81"/>
    </row>
    <row r="236" spans="1:59" ht="12.75">
      <c r="A236" s="81">
        <v>698</v>
      </c>
      <c r="B236" s="81" t="s">
        <v>355</v>
      </c>
      <c r="C236" s="81">
        <v>19</v>
      </c>
      <c r="D236" s="81">
        <v>62922</v>
      </c>
      <c r="E236" s="100">
        <v>167774358.00140578</v>
      </c>
      <c r="F236" s="81">
        <v>92674754</v>
      </c>
      <c r="G236" s="81">
        <v>30670843.56140678</v>
      </c>
      <c r="H236" s="81">
        <v>6446296.466661744</v>
      </c>
      <c r="I236" s="156">
        <v>38727139.29686215</v>
      </c>
      <c r="J236" s="156">
        <v>9090952.296747975</v>
      </c>
      <c r="K236" s="81">
        <v>-18311274.854237188</v>
      </c>
      <c r="L236" s="81">
        <v>-4352919</v>
      </c>
      <c r="M236" s="82">
        <v>10044951</v>
      </c>
      <c r="N236" s="82">
        <v>717713.3537075478</v>
      </c>
      <c r="O236" s="214">
        <f t="shared" si="54"/>
        <v>-2065901.880256772</v>
      </c>
      <c r="P236" s="215">
        <f t="shared" si="55"/>
        <v>-32.83274340066705</v>
      </c>
      <c r="Q236" s="81"/>
      <c r="R236" s="223">
        <v>405566028</v>
      </c>
      <c r="S236" s="156">
        <v>226811957.265</v>
      </c>
      <c r="T236" s="156">
        <v>9669444.699992616</v>
      </c>
      <c r="U236" s="156">
        <v>92234543.71363275</v>
      </c>
      <c r="V236" s="156">
        <v>27296605.614635114</v>
      </c>
      <c r="W236" s="156">
        <v>36362875.56140678</v>
      </c>
      <c r="X236" s="214">
        <f t="shared" si="56"/>
        <v>-13190601.145332754</v>
      </c>
      <c r="Y236" s="215">
        <f t="shared" si="57"/>
        <v>-209.63416842015118</v>
      </c>
      <c r="Z236" s="81"/>
      <c r="AA236" s="94">
        <f t="shared" si="58"/>
        <v>11124699.265075982</v>
      </c>
      <c r="AB236" s="153">
        <f t="shared" si="59"/>
        <v>176.80142501948416</v>
      </c>
      <c r="AD236" s="216">
        <v>-10864877.310984934</v>
      </c>
      <c r="AE236" s="224">
        <v>-10054828.813755447</v>
      </c>
      <c r="AF236" s="224">
        <v>-9168825.757922824</v>
      </c>
      <c r="AG236" s="224">
        <v>-8212997.811263327</v>
      </c>
      <c r="AH236" s="225">
        <v>-7255898.281296083</v>
      </c>
      <c r="AJ236" s="81">
        <f t="shared" si="60"/>
        <v>134137203.26499999</v>
      </c>
      <c r="AK236" s="81">
        <f t="shared" si="61"/>
        <v>3223148.233330872</v>
      </c>
      <c r="AL236" s="81">
        <f t="shared" si="62"/>
        <v>53507404.4167706</v>
      </c>
      <c r="AM236" s="81">
        <f t="shared" si="63"/>
        <v>237791669.99859422</v>
      </c>
      <c r="AN236" s="81">
        <f t="shared" si="64"/>
        <v>-10864877.310984934</v>
      </c>
      <c r="AO236" s="81">
        <f t="shared" si="65"/>
        <v>-10054828.813755447</v>
      </c>
      <c r="AP236" s="81">
        <f t="shared" si="66"/>
        <v>-9168825.757922824</v>
      </c>
      <c r="AQ236" s="81">
        <f t="shared" si="67"/>
        <v>-8212997.811263327</v>
      </c>
      <c r="AR236" s="81">
        <f t="shared" si="68"/>
        <v>-7255898.281296083</v>
      </c>
      <c r="AS236" s="82">
        <v>19214</v>
      </c>
      <c r="AT236" s="82"/>
      <c r="AU236" s="82"/>
      <c r="AV236" s="82">
        <f t="shared" si="69"/>
        <v>0</v>
      </c>
      <c r="AW236" s="82">
        <v>45839.821784477266</v>
      </c>
      <c r="AX236" s="149">
        <v>-7096.868081249282</v>
      </c>
      <c r="AY236" s="81">
        <f t="shared" si="70"/>
        <v>-18205653.31788714</v>
      </c>
      <c r="AZ236" s="409"/>
      <c r="BA236" s="81"/>
      <c r="BB236" s="81"/>
      <c r="BC236" s="81"/>
      <c r="BD236" s="81"/>
      <c r="BE236" s="81"/>
      <c r="BF236" s="81"/>
      <c r="BG236" s="81"/>
    </row>
    <row r="237" spans="1:59" ht="12.75">
      <c r="A237" s="81">
        <v>700</v>
      </c>
      <c r="B237" s="81" t="s">
        <v>356</v>
      </c>
      <c r="C237" s="81">
        <v>9</v>
      </c>
      <c r="D237" s="81">
        <v>5099</v>
      </c>
      <c r="E237" s="100">
        <v>11568671.97572118</v>
      </c>
      <c r="F237" s="81">
        <v>6479172</v>
      </c>
      <c r="G237" s="81">
        <v>1725824.0836670015</v>
      </c>
      <c r="H237" s="81">
        <v>1296463.503047328</v>
      </c>
      <c r="I237" s="156">
        <v>1409779.717475119</v>
      </c>
      <c r="J237" s="156">
        <v>791288.6190307376</v>
      </c>
      <c r="K237" s="81">
        <v>1019407.538527998</v>
      </c>
      <c r="L237" s="81">
        <v>-1098005</v>
      </c>
      <c r="M237" s="82">
        <v>-163300</v>
      </c>
      <c r="N237" s="82">
        <v>60412.73107369884</v>
      </c>
      <c r="O237" s="214">
        <f t="shared" si="54"/>
        <v>-47628.782899297774</v>
      </c>
      <c r="P237" s="215">
        <f t="shared" si="55"/>
        <v>-9.340808570170186</v>
      </c>
      <c r="Q237" s="81"/>
      <c r="R237" s="223">
        <v>32657828</v>
      </c>
      <c r="S237" s="156">
        <v>17393096.55</v>
      </c>
      <c r="T237" s="156">
        <v>1944695.2545709922</v>
      </c>
      <c r="U237" s="156">
        <v>11480785.34892085</v>
      </c>
      <c r="V237" s="156">
        <v>2396424.0923224855</v>
      </c>
      <c r="W237" s="156">
        <v>464519.08366700145</v>
      </c>
      <c r="X237" s="214">
        <f t="shared" si="56"/>
        <v>1021692.3294813335</v>
      </c>
      <c r="Y237" s="215">
        <f t="shared" si="57"/>
        <v>200.37111776452903</v>
      </c>
      <c r="Z237" s="81"/>
      <c r="AA237" s="94">
        <f t="shared" si="58"/>
        <v>-1069321.1123806313</v>
      </c>
      <c r="AB237" s="153">
        <f t="shared" si="59"/>
        <v>-209.7119263346992</v>
      </c>
      <c r="AD237" s="216">
        <v>1090376.2623108604</v>
      </c>
      <c r="AE237" s="224">
        <v>1003050.0321747103</v>
      </c>
      <c r="AF237" s="224">
        <v>921878.919395246</v>
      </c>
      <c r="AG237" s="224">
        <v>846366.1950701574</v>
      </c>
      <c r="AH237" s="225">
        <v>770956.515837186</v>
      </c>
      <c r="AJ237" s="81">
        <f t="shared" si="60"/>
        <v>10913924.55</v>
      </c>
      <c r="AK237" s="81">
        <f t="shared" si="61"/>
        <v>648231.7515236642</v>
      </c>
      <c r="AL237" s="81">
        <f t="shared" si="62"/>
        <v>10071005.631445732</v>
      </c>
      <c r="AM237" s="81">
        <f t="shared" si="63"/>
        <v>21089156.02427882</v>
      </c>
      <c r="AN237" s="81">
        <f t="shared" si="64"/>
        <v>1090376.2623108604</v>
      </c>
      <c r="AO237" s="81">
        <f t="shared" si="65"/>
        <v>1003050.0321747103</v>
      </c>
      <c r="AP237" s="81">
        <f t="shared" si="66"/>
        <v>921878.919395246</v>
      </c>
      <c r="AQ237" s="81">
        <f t="shared" si="67"/>
        <v>846366.1950701574</v>
      </c>
      <c r="AR237" s="81">
        <f t="shared" si="68"/>
        <v>770956.515837186</v>
      </c>
      <c r="AS237" s="82">
        <v>2050</v>
      </c>
      <c r="AT237" s="82"/>
      <c r="AU237" s="82"/>
      <c r="AV237" s="82">
        <f t="shared" si="69"/>
        <v>0</v>
      </c>
      <c r="AW237" s="82">
        <v>9549.349600157606</v>
      </c>
      <c r="AX237" s="149">
        <v>-173.43913310306093</v>
      </c>
      <c r="AY237" s="81">
        <f t="shared" si="70"/>
        <v>-1605135.473291748</v>
      </c>
      <c r="AZ237" s="409"/>
      <c r="BA237" s="81"/>
      <c r="BB237" s="81"/>
      <c r="BC237" s="81"/>
      <c r="BD237" s="81"/>
      <c r="BE237" s="81"/>
      <c r="BF237" s="81"/>
      <c r="BG237" s="81"/>
    </row>
    <row r="238" spans="1:59" ht="12.75">
      <c r="A238" s="81">
        <v>702</v>
      </c>
      <c r="B238" s="81" t="s">
        <v>357</v>
      </c>
      <c r="C238" s="81">
        <v>6</v>
      </c>
      <c r="D238" s="81">
        <v>4398</v>
      </c>
      <c r="E238" s="100">
        <v>9566080.582833357</v>
      </c>
      <c r="F238" s="81">
        <v>5652549</v>
      </c>
      <c r="G238" s="81">
        <v>1522278.5062990873</v>
      </c>
      <c r="H238" s="81">
        <v>1103729.8551801983</v>
      </c>
      <c r="I238" s="156">
        <v>1849934.435716877</v>
      </c>
      <c r="J238" s="156">
        <v>834687.7602788033</v>
      </c>
      <c r="K238" s="81">
        <v>-992330.5980207331</v>
      </c>
      <c r="L238" s="81">
        <v>-834863</v>
      </c>
      <c r="M238" s="82">
        <v>-151650</v>
      </c>
      <c r="N238" s="82">
        <v>42703.5381076957</v>
      </c>
      <c r="O238" s="214">
        <f t="shared" si="54"/>
        <v>-539041.0852714293</v>
      </c>
      <c r="P238" s="215">
        <f t="shared" si="55"/>
        <v>-122.56504894757373</v>
      </c>
      <c r="Q238" s="81"/>
      <c r="R238" s="223">
        <v>31701600</v>
      </c>
      <c r="S238" s="156">
        <v>13273547.2</v>
      </c>
      <c r="T238" s="156">
        <v>1655594.7827702975</v>
      </c>
      <c r="U238" s="156">
        <v>12271043.244948383</v>
      </c>
      <c r="V238" s="156">
        <v>2597024.25263458</v>
      </c>
      <c r="W238" s="156">
        <v>535765.5062990873</v>
      </c>
      <c r="X238" s="214">
        <f t="shared" si="56"/>
        <v>-1368625.0133476518</v>
      </c>
      <c r="Y238" s="215">
        <f t="shared" si="57"/>
        <v>-311.19259057472755</v>
      </c>
      <c r="Z238" s="81"/>
      <c r="AA238" s="94">
        <f t="shared" si="58"/>
        <v>829583.9280762225</v>
      </c>
      <c r="AB238" s="153">
        <f t="shared" si="59"/>
        <v>188.62754162715382</v>
      </c>
      <c r="AD238" s="216">
        <v>-811423.396718473</v>
      </c>
      <c r="AE238" s="224">
        <v>-754804.1969025854</v>
      </c>
      <c r="AF238" s="224">
        <v>-692876.072565281</v>
      </c>
      <c r="AG238" s="224">
        <v>-626067.4633442061</v>
      </c>
      <c r="AH238" s="225">
        <v>-559169.9754576809</v>
      </c>
      <c r="AJ238" s="81">
        <f t="shared" si="60"/>
        <v>7620998.199999999</v>
      </c>
      <c r="AK238" s="81">
        <f t="shared" si="61"/>
        <v>551864.9275900992</v>
      </c>
      <c r="AL238" s="81">
        <f t="shared" si="62"/>
        <v>10421108.809231507</v>
      </c>
      <c r="AM238" s="81">
        <f t="shared" si="63"/>
        <v>22135519.417166643</v>
      </c>
      <c r="AN238" s="81">
        <f t="shared" si="64"/>
        <v>-811423.396718473</v>
      </c>
      <c r="AO238" s="81">
        <f t="shared" si="65"/>
        <v>-754804.1969025854</v>
      </c>
      <c r="AP238" s="81">
        <f t="shared" si="66"/>
        <v>-692876.072565281</v>
      </c>
      <c r="AQ238" s="81">
        <f t="shared" si="67"/>
        <v>-626067.4633442061</v>
      </c>
      <c r="AR238" s="81">
        <f t="shared" si="68"/>
        <v>-559169.9754576809</v>
      </c>
      <c r="AS238" s="82">
        <v>1226</v>
      </c>
      <c r="AT238" s="82"/>
      <c r="AU238" s="82"/>
      <c r="AV238" s="82">
        <f t="shared" si="69"/>
        <v>0</v>
      </c>
      <c r="AW238" s="82">
        <v>9176.435878647286</v>
      </c>
      <c r="AX238" s="149">
        <v>-1448.4970923395033</v>
      </c>
      <c r="AY238" s="81">
        <f t="shared" si="70"/>
        <v>-1762336.4923557765</v>
      </c>
      <c r="AZ238" s="409"/>
      <c r="BA238" s="81"/>
      <c r="BB238" s="81"/>
      <c r="BC238" s="81"/>
      <c r="BD238" s="81"/>
      <c r="BE238" s="81"/>
      <c r="BF238" s="81"/>
      <c r="BG238" s="81"/>
    </row>
    <row r="239" spans="1:59" ht="12.75">
      <c r="A239" s="81">
        <v>704</v>
      </c>
      <c r="B239" s="81" t="s">
        <v>358</v>
      </c>
      <c r="C239" s="81">
        <v>2</v>
      </c>
      <c r="D239" s="81">
        <v>6251</v>
      </c>
      <c r="E239" s="100">
        <v>15626350.883707523</v>
      </c>
      <c r="F239" s="81">
        <v>8042250</v>
      </c>
      <c r="G239" s="81">
        <v>1114518.2832239198</v>
      </c>
      <c r="H239" s="81">
        <v>829289.8007368128</v>
      </c>
      <c r="I239" s="156">
        <v>4344676.373979813</v>
      </c>
      <c r="J239" s="156">
        <v>808635.600667835</v>
      </c>
      <c r="K239" s="81">
        <v>998313.6675288618</v>
      </c>
      <c r="L239" s="81">
        <v>-1188832</v>
      </c>
      <c r="M239" s="82">
        <v>-9000</v>
      </c>
      <c r="N239" s="82">
        <v>80102.47719899523</v>
      </c>
      <c r="O239" s="214">
        <f t="shared" si="54"/>
        <v>-606396.6803712845</v>
      </c>
      <c r="P239" s="215">
        <f t="shared" si="55"/>
        <v>-97.00794758779148</v>
      </c>
      <c r="Q239" s="81"/>
      <c r="R239" s="223">
        <v>32431980</v>
      </c>
      <c r="S239" s="156">
        <v>22958104.8975</v>
      </c>
      <c r="T239" s="156">
        <v>1243934.7011052193</v>
      </c>
      <c r="U239" s="156">
        <v>5750991.215756841</v>
      </c>
      <c r="V239" s="156">
        <v>2401005.5509644463</v>
      </c>
      <c r="W239" s="156">
        <v>-83313.7167760802</v>
      </c>
      <c r="X239" s="214">
        <f t="shared" si="56"/>
        <v>-161257.35144957155</v>
      </c>
      <c r="Y239" s="215">
        <f t="shared" si="57"/>
        <v>-25.797048704138785</v>
      </c>
      <c r="Z239" s="81"/>
      <c r="AA239" s="94">
        <f t="shared" si="58"/>
        <v>-445139.32892171293</v>
      </c>
      <c r="AB239" s="153">
        <f t="shared" si="59"/>
        <v>-71.21089888365269</v>
      </c>
      <c r="AD239" s="216">
        <v>470951.39838903776</v>
      </c>
      <c r="AE239" s="224">
        <v>363895.84542157844</v>
      </c>
      <c r="AF239" s="224">
        <v>264386.01486962097</v>
      </c>
      <c r="AG239" s="224">
        <v>171812.95353286294</v>
      </c>
      <c r="AH239" s="225">
        <v>79366.21792091869</v>
      </c>
      <c r="AJ239" s="81">
        <f t="shared" si="60"/>
        <v>14915854.8975</v>
      </c>
      <c r="AK239" s="81">
        <f t="shared" si="61"/>
        <v>414644.90036840655</v>
      </c>
      <c r="AL239" s="81">
        <f t="shared" si="62"/>
        <v>1406314.8417770276</v>
      </c>
      <c r="AM239" s="81">
        <f t="shared" si="63"/>
        <v>16805629.116292477</v>
      </c>
      <c r="AN239" s="81">
        <f t="shared" si="64"/>
        <v>470951.39838903776</v>
      </c>
      <c r="AO239" s="81">
        <f t="shared" si="65"/>
        <v>363895.84542157844</v>
      </c>
      <c r="AP239" s="81">
        <f t="shared" si="66"/>
        <v>264386.01486962097</v>
      </c>
      <c r="AQ239" s="81">
        <f t="shared" si="67"/>
        <v>171812.95353286294</v>
      </c>
      <c r="AR239" s="81">
        <f t="shared" si="68"/>
        <v>79366.21792091869</v>
      </c>
      <c r="AS239" s="82">
        <v>1687</v>
      </c>
      <c r="AT239" s="82"/>
      <c r="AU239" s="82"/>
      <c r="AV239" s="82">
        <f t="shared" si="69"/>
        <v>0</v>
      </c>
      <c r="AW239" s="82">
        <v>2315.2570965373925</v>
      </c>
      <c r="AX239" s="149">
        <v>637.6641774199536</v>
      </c>
      <c r="AY239" s="81">
        <f t="shared" si="70"/>
        <v>-1592369.9502966113</v>
      </c>
      <c r="AZ239" s="409"/>
      <c r="BA239" s="81"/>
      <c r="BB239" s="81"/>
      <c r="BC239" s="81"/>
      <c r="BD239" s="81"/>
      <c r="BE239" s="81"/>
      <c r="BF239" s="81"/>
      <c r="BG239" s="81"/>
    </row>
    <row r="240" spans="1:59" ht="12.75">
      <c r="A240" s="81">
        <v>707</v>
      </c>
      <c r="B240" s="81" t="s">
        <v>359</v>
      </c>
      <c r="C240" s="81">
        <v>12</v>
      </c>
      <c r="D240" s="81">
        <v>2181</v>
      </c>
      <c r="E240" s="100">
        <v>4742196.826770518</v>
      </c>
      <c r="F240" s="81">
        <v>2046417</v>
      </c>
      <c r="G240" s="81">
        <v>593866.838142322</v>
      </c>
      <c r="H240" s="81">
        <v>331462.8003411648</v>
      </c>
      <c r="I240" s="156">
        <v>1611091.705321601</v>
      </c>
      <c r="J240" s="156">
        <v>474704.2926937834</v>
      </c>
      <c r="K240" s="81">
        <v>-309183.82414962986</v>
      </c>
      <c r="L240" s="81">
        <v>-528502</v>
      </c>
      <c r="M240" s="82">
        <v>118350</v>
      </c>
      <c r="N240" s="82">
        <v>15743.05868986096</v>
      </c>
      <c r="O240" s="214">
        <f t="shared" si="54"/>
        <v>-388246.9557314161</v>
      </c>
      <c r="P240" s="215">
        <f t="shared" si="55"/>
        <v>-178.01327635553238</v>
      </c>
      <c r="Q240" s="81"/>
      <c r="R240" s="223">
        <v>16158492</v>
      </c>
      <c r="S240" s="156">
        <v>4893688.025</v>
      </c>
      <c r="T240" s="156">
        <v>497194.20051174716</v>
      </c>
      <c r="U240" s="156">
        <v>8643522.017514272</v>
      </c>
      <c r="V240" s="156">
        <v>1514641.0442033815</v>
      </c>
      <c r="W240" s="156">
        <v>183714.83814232203</v>
      </c>
      <c r="X240" s="214">
        <f t="shared" si="56"/>
        <v>-425731.87462827563</v>
      </c>
      <c r="Y240" s="215">
        <f t="shared" si="57"/>
        <v>-195.20030932062156</v>
      </c>
      <c r="Z240" s="81"/>
      <c r="AA240" s="94">
        <f t="shared" si="58"/>
        <v>37484.91889685951</v>
      </c>
      <c r="AB240" s="153">
        <f t="shared" si="59"/>
        <v>17.187032965089184</v>
      </c>
      <c r="AD240" s="216">
        <v>-28478.980085752773</v>
      </c>
      <c r="AE240" s="224">
        <v>-401.10950856974875</v>
      </c>
      <c r="AF240" s="224">
        <v>2364.414022139087</v>
      </c>
      <c r="AG240" s="224">
        <v>2780.2863984837923</v>
      </c>
      <c r="AH240" s="225">
        <v>3240.234347667855</v>
      </c>
      <c r="AJ240" s="81">
        <f t="shared" si="60"/>
        <v>2847271.0250000004</v>
      </c>
      <c r="AK240" s="81">
        <f t="shared" si="61"/>
        <v>165731.40017058235</v>
      </c>
      <c r="AL240" s="81">
        <f t="shared" si="62"/>
        <v>7032430.312192671</v>
      </c>
      <c r="AM240" s="81">
        <f t="shared" si="63"/>
        <v>11416295.173229482</v>
      </c>
      <c r="AN240" s="81">
        <f t="shared" si="64"/>
        <v>-28478.980085752773</v>
      </c>
      <c r="AO240" s="81">
        <f t="shared" si="65"/>
        <v>-401.10950856974875</v>
      </c>
      <c r="AP240" s="81">
        <f t="shared" si="66"/>
        <v>2364.414022139087</v>
      </c>
      <c r="AQ240" s="81">
        <f t="shared" si="67"/>
        <v>2780.2863984837923</v>
      </c>
      <c r="AR240" s="81">
        <f t="shared" si="68"/>
        <v>3240.234347667855</v>
      </c>
      <c r="AS240" s="82">
        <v>399</v>
      </c>
      <c r="AT240" s="82">
        <v>1</v>
      </c>
      <c r="AU240" s="82"/>
      <c r="AV240" s="82">
        <f t="shared" si="69"/>
        <v>1</v>
      </c>
      <c r="AW240" s="82">
        <v>5312.199976511717</v>
      </c>
      <c r="AX240" s="149">
        <v>-1569.3431915422204</v>
      </c>
      <c r="AY240" s="81">
        <f t="shared" si="70"/>
        <v>-1039936.7515095981</v>
      </c>
      <c r="AZ240" s="409"/>
      <c r="BA240" s="81"/>
      <c r="BB240" s="81"/>
      <c r="BC240" s="81"/>
      <c r="BD240" s="81"/>
      <c r="BE240" s="81"/>
      <c r="BF240" s="81"/>
      <c r="BG240" s="81"/>
    </row>
    <row r="241" spans="1:59" ht="12.75">
      <c r="A241" s="81">
        <v>710</v>
      </c>
      <c r="B241" s="81" t="s">
        <v>134</v>
      </c>
      <c r="C241" s="81">
        <v>1</v>
      </c>
      <c r="D241" s="81">
        <v>27592</v>
      </c>
      <c r="E241" s="100">
        <v>69994309.67555358</v>
      </c>
      <c r="F241" s="81">
        <v>42958376</v>
      </c>
      <c r="G241" s="81">
        <v>10925156.48213375</v>
      </c>
      <c r="H241" s="81">
        <v>2413127.3436236735</v>
      </c>
      <c r="I241" s="156">
        <v>17748604.75267777</v>
      </c>
      <c r="J241" s="156">
        <v>4483890.798009098</v>
      </c>
      <c r="K241" s="81">
        <v>-6868366.043856548</v>
      </c>
      <c r="L241" s="81">
        <v>-982980</v>
      </c>
      <c r="M241" s="82">
        <v>974700</v>
      </c>
      <c r="N241" s="82">
        <v>313033.54079542664</v>
      </c>
      <c r="O241" s="214">
        <f t="shared" si="54"/>
        <v>1971233.1978295892</v>
      </c>
      <c r="P241" s="215">
        <f t="shared" si="55"/>
        <v>71.44220055920518</v>
      </c>
      <c r="Q241" s="81"/>
      <c r="R241" s="223">
        <v>181871872</v>
      </c>
      <c r="S241" s="156">
        <v>101662077.3</v>
      </c>
      <c r="T241" s="156">
        <v>3619691.015435511</v>
      </c>
      <c r="U241" s="156">
        <v>51420019.51961002</v>
      </c>
      <c r="V241" s="156">
        <v>13604305.203596035</v>
      </c>
      <c r="W241" s="156">
        <v>10916876.48213375</v>
      </c>
      <c r="X241" s="214">
        <f t="shared" si="56"/>
        <v>-648902.4792246819</v>
      </c>
      <c r="Y241" s="215">
        <f t="shared" si="57"/>
        <v>-23.517776138905546</v>
      </c>
      <c r="Z241" s="81"/>
      <c r="AA241" s="94">
        <f t="shared" si="58"/>
        <v>2620135.677054271</v>
      </c>
      <c r="AB241" s="153">
        <f t="shared" si="59"/>
        <v>94.95997669811072</v>
      </c>
      <c r="AD241" s="216">
        <v>-2506200.8473082636</v>
      </c>
      <c r="AE241" s="224">
        <v>-2150985.530955382</v>
      </c>
      <c r="AF241" s="224">
        <v>-1762463.292047945</v>
      </c>
      <c r="AG241" s="224">
        <v>-1343322.0583899429</v>
      </c>
      <c r="AH241" s="225">
        <v>-923623.2212446487</v>
      </c>
      <c r="AJ241" s="81">
        <f t="shared" si="60"/>
        <v>58703701.3</v>
      </c>
      <c r="AK241" s="81">
        <f t="shared" si="61"/>
        <v>1206563.6718118372</v>
      </c>
      <c r="AL241" s="81">
        <f t="shared" si="62"/>
        <v>33671414.76693225</v>
      </c>
      <c r="AM241" s="81">
        <f t="shared" si="63"/>
        <v>111877562.32444642</v>
      </c>
      <c r="AN241" s="81">
        <f t="shared" si="64"/>
        <v>-2506200.8473082636</v>
      </c>
      <c r="AO241" s="81">
        <f t="shared" si="65"/>
        <v>-2150985.530955382</v>
      </c>
      <c r="AP241" s="81">
        <f t="shared" si="66"/>
        <v>-1762463.292047945</v>
      </c>
      <c r="AQ241" s="81">
        <f t="shared" si="67"/>
        <v>-1343322.0583899429</v>
      </c>
      <c r="AR241" s="81">
        <f t="shared" si="68"/>
        <v>-923623.2212446487</v>
      </c>
      <c r="AS241" s="82">
        <v>6680</v>
      </c>
      <c r="AT241" s="82"/>
      <c r="AU241" s="82"/>
      <c r="AV241" s="82">
        <f t="shared" si="69"/>
        <v>0</v>
      </c>
      <c r="AW241" s="82">
        <v>29216.678011643573</v>
      </c>
      <c r="AX241" s="149">
        <v>-2720.524515292155</v>
      </c>
      <c r="AY241" s="81">
        <f t="shared" si="70"/>
        <v>-9120414.405586937</v>
      </c>
      <c r="AZ241" s="409"/>
      <c r="BA241" s="81"/>
      <c r="BB241" s="81"/>
      <c r="BC241" s="81"/>
      <c r="BD241" s="81"/>
      <c r="BE241" s="81"/>
      <c r="BF241" s="81"/>
      <c r="BG241" s="81"/>
    </row>
    <row r="242" spans="1:59" ht="12.75">
      <c r="A242" s="81">
        <v>729</v>
      </c>
      <c r="B242" s="81" t="s">
        <v>360</v>
      </c>
      <c r="C242" s="81">
        <v>13</v>
      </c>
      <c r="D242" s="81">
        <v>9415</v>
      </c>
      <c r="E242" s="100">
        <v>23631676.155481093</v>
      </c>
      <c r="F242" s="81">
        <v>10725442</v>
      </c>
      <c r="G242" s="81">
        <v>2225826.832673008</v>
      </c>
      <c r="H242" s="81">
        <v>1443168.8879642496</v>
      </c>
      <c r="I242" s="156">
        <v>7051771.676062021</v>
      </c>
      <c r="J242" s="156">
        <v>1731664.3956197067</v>
      </c>
      <c r="K242" s="81">
        <v>-673762.7809816953</v>
      </c>
      <c r="L242" s="81">
        <v>-60232</v>
      </c>
      <c r="M242" s="82">
        <v>-45350</v>
      </c>
      <c r="N242" s="82">
        <v>82342.7335533717</v>
      </c>
      <c r="O242" s="214">
        <f t="shared" si="54"/>
        <v>-1150804.4105904326</v>
      </c>
      <c r="P242" s="215">
        <f t="shared" si="55"/>
        <v>-122.23095173557437</v>
      </c>
      <c r="Q242" s="81"/>
      <c r="R242" s="223">
        <v>64879500</v>
      </c>
      <c r="S242" s="156">
        <v>25763111.255</v>
      </c>
      <c r="T242" s="156">
        <v>2164753.3319463744</v>
      </c>
      <c r="U242" s="156">
        <v>28069776.031128764</v>
      </c>
      <c r="V242" s="156">
        <v>5426100.631300942</v>
      </c>
      <c r="W242" s="156">
        <v>2120244.832673008</v>
      </c>
      <c r="X242" s="214">
        <f t="shared" si="56"/>
        <v>-1335513.9179509133</v>
      </c>
      <c r="Y242" s="215">
        <f t="shared" si="57"/>
        <v>-141.84959298469605</v>
      </c>
      <c r="Z242" s="81"/>
      <c r="AA242" s="94">
        <f t="shared" si="58"/>
        <v>184709.50736048073</v>
      </c>
      <c r="AB242" s="153">
        <f t="shared" si="59"/>
        <v>19.61864124912169</v>
      </c>
      <c r="AD242" s="216">
        <v>-145832.42624788533</v>
      </c>
      <c r="AE242" s="224">
        <v>-24625.112408280227</v>
      </c>
      <c r="AF242" s="224">
        <v>10206.766629270749</v>
      </c>
      <c r="AG242" s="224">
        <v>12002.015791712474</v>
      </c>
      <c r="AH242" s="225">
        <v>13987.531583352982</v>
      </c>
      <c r="AJ242" s="81">
        <f t="shared" si="60"/>
        <v>15037669.254999999</v>
      </c>
      <c r="AK242" s="81">
        <f t="shared" si="61"/>
        <v>721584.4439821248</v>
      </c>
      <c r="AL242" s="81">
        <f t="shared" si="62"/>
        <v>21018004.355066743</v>
      </c>
      <c r="AM242" s="81">
        <f t="shared" si="63"/>
        <v>41247823.84451891</v>
      </c>
      <c r="AN242" s="81">
        <f t="shared" si="64"/>
        <v>-145832.42624788533</v>
      </c>
      <c r="AO242" s="81">
        <f t="shared" si="65"/>
        <v>-24625.112408280227</v>
      </c>
      <c r="AP242" s="81">
        <f t="shared" si="66"/>
        <v>10206.766629270749</v>
      </c>
      <c r="AQ242" s="81">
        <f t="shared" si="67"/>
        <v>12002.015791712474</v>
      </c>
      <c r="AR242" s="81">
        <f t="shared" si="68"/>
        <v>13987.531583352982</v>
      </c>
      <c r="AS242" s="82">
        <v>3558</v>
      </c>
      <c r="AT242" s="82"/>
      <c r="AU242" s="82"/>
      <c r="AV242" s="82">
        <f t="shared" si="69"/>
        <v>0</v>
      </c>
      <c r="AW242" s="82">
        <v>16392.63058017678</v>
      </c>
      <c r="AX242" s="149">
        <v>-4437.533876420556</v>
      </c>
      <c r="AY242" s="81">
        <f t="shared" si="70"/>
        <v>-3694436.2356812353</v>
      </c>
      <c r="AZ242" s="409"/>
      <c r="BA242" s="81"/>
      <c r="BB242" s="81"/>
      <c r="BC242" s="81"/>
      <c r="BD242" s="81"/>
      <c r="BE242" s="81"/>
      <c r="BF242" s="81"/>
      <c r="BG242" s="81"/>
    </row>
    <row r="243" spans="1:59" ht="12.75">
      <c r="A243" s="81">
        <v>732</v>
      </c>
      <c r="B243" s="81" t="s">
        <v>361</v>
      </c>
      <c r="C243" s="81">
        <v>19</v>
      </c>
      <c r="D243" s="81">
        <v>3491</v>
      </c>
      <c r="E243" s="100">
        <v>9840167.23241014</v>
      </c>
      <c r="F243" s="81">
        <v>3350368</v>
      </c>
      <c r="G243" s="81">
        <v>1212799.506602439</v>
      </c>
      <c r="H243" s="81">
        <v>703481.9249947104</v>
      </c>
      <c r="I243" s="156">
        <v>4490973.247273541</v>
      </c>
      <c r="J243" s="156">
        <v>691578.6592464929</v>
      </c>
      <c r="K243" s="81">
        <v>-755405.3483069855</v>
      </c>
      <c r="L243" s="81">
        <v>-39012</v>
      </c>
      <c r="M243" s="82">
        <v>-265000</v>
      </c>
      <c r="N243" s="82">
        <v>31104.712475218326</v>
      </c>
      <c r="O243" s="214">
        <f t="shared" si="54"/>
        <v>-419278.5301247239</v>
      </c>
      <c r="P243" s="215">
        <f t="shared" si="55"/>
        <v>-120.10270126746603</v>
      </c>
      <c r="Q243" s="81"/>
      <c r="R243" s="223">
        <v>32069380</v>
      </c>
      <c r="S243" s="156">
        <v>8951636.295</v>
      </c>
      <c r="T243" s="156">
        <v>1055222.8874920656</v>
      </c>
      <c r="U243" s="156">
        <v>19030987.32664942</v>
      </c>
      <c r="V243" s="156">
        <v>2179342.327782238</v>
      </c>
      <c r="W243" s="156">
        <v>908787.5066024391</v>
      </c>
      <c r="X243" s="214">
        <f t="shared" si="56"/>
        <v>56596.34352616221</v>
      </c>
      <c r="Y243" s="215">
        <f t="shared" si="57"/>
        <v>16.212072049888917</v>
      </c>
      <c r="Z243" s="81"/>
      <c r="AA243" s="94">
        <f t="shared" si="58"/>
        <v>-475874.8736508861</v>
      </c>
      <c r="AB243" s="153">
        <f t="shared" si="59"/>
        <v>-136.31477331735493</v>
      </c>
      <c r="AD243" s="216">
        <v>490290.15672726947</v>
      </c>
      <c r="AE243" s="224">
        <v>430502.7730431548</v>
      </c>
      <c r="AF243" s="224">
        <v>374929.45382112893</v>
      </c>
      <c r="AG243" s="224">
        <v>323230.1165748288</v>
      </c>
      <c r="AH243" s="225">
        <v>271601.32853750716</v>
      </c>
      <c r="AJ243" s="81">
        <f t="shared" si="60"/>
        <v>5601268.295</v>
      </c>
      <c r="AK243" s="81">
        <f t="shared" si="61"/>
        <v>351740.9624973552</v>
      </c>
      <c r="AL243" s="81">
        <f t="shared" si="62"/>
        <v>14540014.079375878</v>
      </c>
      <c r="AM243" s="81">
        <f t="shared" si="63"/>
        <v>22229212.76758986</v>
      </c>
      <c r="AN243" s="81">
        <f t="shared" si="64"/>
        <v>490290.15672726947</v>
      </c>
      <c r="AO243" s="81">
        <f t="shared" si="65"/>
        <v>430502.7730431548</v>
      </c>
      <c r="AP243" s="81">
        <f t="shared" si="66"/>
        <v>374929.45382112893</v>
      </c>
      <c r="AQ243" s="81">
        <f t="shared" si="67"/>
        <v>323230.1165748288</v>
      </c>
      <c r="AR243" s="81">
        <f t="shared" si="68"/>
        <v>271601.32853750716</v>
      </c>
      <c r="AS243" s="82">
        <v>1240</v>
      </c>
      <c r="AT243" s="82">
        <v>123</v>
      </c>
      <c r="AU243" s="82"/>
      <c r="AV243" s="82">
        <f t="shared" si="69"/>
        <v>123</v>
      </c>
      <c r="AW243" s="82">
        <v>11922.59985181716</v>
      </c>
      <c r="AX243" s="149">
        <v>-1666.347960774085</v>
      </c>
      <c r="AY243" s="81">
        <f t="shared" si="70"/>
        <v>-1487763.668535745</v>
      </c>
      <c r="AZ243" s="409"/>
      <c r="BA243" s="81"/>
      <c r="BB243" s="81"/>
      <c r="BC243" s="81"/>
      <c r="BD243" s="81"/>
      <c r="BE243" s="81"/>
      <c r="BF243" s="81"/>
      <c r="BG243" s="81"/>
    </row>
    <row r="244" spans="1:59" ht="12.75">
      <c r="A244" s="81">
        <v>734</v>
      </c>
      <c r="B244" s="81" t="s">
        <v>362</v>
      </c>
      <c r="C244" s="81">
        <v>2</v>
      </c>
      <c r="D244" s="81">
        <v>52321</v>
      </c>
      <c r="E244" s="100">
        <v>125836163.07196581</v>
      </c>
      <c r="F244" s="81">
        <v>64826233</v>
      </c>
      <c r="G244" s="81">
        <v>13835780.897670602</v>
      </c>
      <c r="H244" s="81">
        <v>6875997.355872691</v>
      </c>
      <c r="I244" s="156">
        <v>29735838.009769462</v>
      </c>
      <c r="J244" s="156">
        <v>8202005.963065751</v>
      </c>
      <c r="K244" s="81">
        <v>-6781236.6208599685</v>
      </c>
      <c r="L244" s="81">
        <v>-2437999</v>
      </c>
      <c r="M244" s="82">
        <v>-778000</v>
      </c>
      <c r="N244" s="82">
        <v>550305.308806587</v>
      </c>
      <c r="O244" s="214">
        <f t="shared" si="54"/>
        <v>-11807238.157640696</v>
      </c>
      <c r="P244" s="215">
        <f t="shared" si="55"/>
        <v>-225.66919893810697</v>
      </c>
      <c r="Q244" s="81"/>
      <c r="R244" s="223">
        <v>328491772</v>
      </c>
      <c r="S244" s="156">
        <v>166709014.9075</v>
      </c>
      <c r="T244" s="156">
        <v>10313996.033809036</v>
      </c>
      <c r="U244" s="156">
        <v>101637054.50587304</v>
      </c>
      <c r="V244" s="156">
        <v>25145963.7805323</v>
      </c>
      <c r="W244" s="156">
        <v>10619781.897670602</v>
      </c>
      <c r="X244" s="214">
        <f t="shared" si="56"/>
        <v>-14065960.874615014</v>
      </c>
      <c r="Y244" s="215">
        <f t="shared" si="57"/>
        <v>-268.839679566809</v>
      </c>
      <c r="Z244" s="81"/>
      <c r="AA244" s="94">
        <f t="shared" si="58"/>
        <v>2258722.716974318</v>
      </c>
      <c r="AB244" s="153">
        <f t="shared" si="59"/>
        <v>43.170480628702016</v>
      </c>
      <c r="AD244" s="216">
        <v>-2042675.158727639</v>
      </c>
      <c r="AE244" s="224">
        <v>-1369102.3634645517</v>
      </c>
      <c r="AF244" s="224">
        <v>-632371.714657796</v>
      </c>
      <c r="AG244" s="224">
        <v>66697.55371621756</v>
      </c>
      <c r="AH244" s="225">
        <v>77731.45405975691</v>
      </c>
      <c r="AJ244" s="81">
        <f t="shared" si="60"/>
        <v>101882781.9075</v>
      </c>
      <c r="AK244" s="81">
        <f t="shared" si="61"/>
        <v>3437998.6779363453</v>
      </c>
      <c r="AL244" s="81">
        <f t="shared" si="62"/>
        <v>71901216.49610358</v>
      </c>
      <c r="AM244" s="81">
        <f t="shared" si="63"/>
        <v>202655608.9280342</v>
      </c>
      <c r="AN244" s="81">
        <f t="shared" si="64"/>
        <v>-2042675.158727639</v>
      </c>
      <c r="AO244" s="81">
        <f t="shared" si="65"/>
        <v>-1369102.3634645517</v>
      </c>
      <c r="AP244" s="81">
        <f t="shared" si="66"/>
        <v>-632371.714657796</v>
      </c>
      <c r="AQ244" s="81">
        <f t="shared" si="67"/>
        <v>66697.55371621756</v>
      </c>
      <c r="AR244" s="81">
        <f t="shared" si="68"/>
        <v>77731.45405975691</v>
      </c>
      <c r="AS244" s="82">
        <v>16164</v>
      </c>
      <c r="AT244" s="82">
        <v>454</v>
      </c>
      <c r="AU244" s="82"/>
      <c r="AV244" s="82">
        <f t="shared" si="69"/>
        <v>454</v>
      </c>
      <c r="AW244" s="82">
        <v>58908.327819666054</v>
      </c>
      <c r="AX244" s="149">
        <v>-11156.61146313804</v>
      </c>
      <c r="AY244" s="81">
        <f t="shared" si="70"/>
        <v>-16943957.81746655</v>
      </c>
      <c r="AZ244" s="409"/>
      <c r="BA244" s="81"/>
      <c r="BB244" s="81"/>
      <c r="BC244" s="81"/>
      <c r="BD244" s="81"/>
      <c r="BE244" s="81"/>
      <c r="BF244" s="81"/>
      <c r="BG244" s="81"/>
    </row>
    <row r="245" spans="1:59" ht="12.75">
      <c r="A245" s="81">
        <v>738</v>
      </c>
      <c r="B245" s="81" t="s">
        <v>363</v>
      </c>
      <c r="C245" s="81">
        <v>2</v>
      </c>
      <c r="D245" s="81">
        <v>2994</v>
      </c>
      <c r="E245" s="100">
        <v>7289422.295463242</v>
      </c>
      <c r="F245" s="81">
        <v>4253240</v>
      </c>
      <c r="G245" s="81">
        <v>1075117.905305336</v>
      </c>
      <c r="H245" s="81">
        <v>302602.3398500256</v>
      </c>
      <c r="I245" s="156">
        <v>1974196.03634681</v>
      </c>
      <c r="J245" s="156">
        <v>511338.0704847141</v>
      </c>
      <c r="K245" s="81">
        <v>-170997.29203884237</v>
      </c>
      <c r="L245" s="81">
        <v>-631098</v>
      </c>
      <c r="M245" s="82">
        <v>42000</v>
      </c>
      <c r="N245" s="82">
        <v>32441.225746928663</v>
      </c>
      <c r="O245" s="214">
        <f t="shared" si="54"/>
        <v>99417.99023173004</v>
      </c>
      <c r="P245" s="215">
        <f t="shared" si="55"/>
        <v>33.205741560364075</v>
      </c>
      <c r="Q245" s="81"/>
      <c r="R245" s="223">
        <v>17409980</v>
      </c>
      <c r="S245" s="156">
        <v>10310738.135</v>
      </c>
      <c r="T245" s="156">
        <v>453903.50977503834</v>
      </c>
      <c r="U245" s="156">
        <v>4552588.481390462</v>
      </c>
      <c r="V245" s="156">
        <v>1571343.6891971058</v>
      </c>
      <c r="W245" s="156">
        <v>486019.905305336</v>
      </c>
      <c r="X245" s="214">
        <f t="shared" si="56"/>
        <v>-35386.27933205664</v>
      </c>
      <c r="Y245" s="215">
        <f t="shared" si="57"/>
        <v>-11.81906457316521</v>
      </c>
      <c r="Z245" s="81"/>
      <c r="AA245" s="94">
        <f t="shared" si="58"/>
        <v>134804.2695637867</v>
      </c>
      <c r="AB245" s="153">
        <f t="shared" si="59"/>
        <v>45.02480613352929</v>
      </c>
      <c r="AD245" s="216">
        <v>-122441.233891866</v>
      </c>
      <c r="AE245" s="224">
        <v>-83896.92187532036</v>
      </c>
      <c r="AF245" s="224">
        <v>-41738.48525278969</v>
      </c>
      <c r="AG245" s="224">
        <v>3742.409701257106</v>
      </c>
      <c r="AH245" s="225">
        <v>4448.079613442255</v>
      </c>
      <c r="AJ245" s="81">
        <f t="shared" si="60"/>
        <v>6057498.135</v>
      </c>
      <c r="AK245" s="81">
        <f t="shared" si="61"/>
        <v>151301.16992501274</v>
      </c>
      <c r="AL245" s="81">
        <f t="shared" si="62"/>
        <v>2578392.4450436523</v>
      </c>
      <c r="AM245" s="81">
        <f t="shared" si="63"/>
        <v>10120557.704536758</v>
      </c>
      <c r="AN245" s="81">
        <f t="shared" si="64"/>
        <v>-122441.233891866</v>
      </c>
      <c r="AO245" s="81">
        <f t="shared" si="65"/>
        <v>-83896.92187532036</v>
      </c>
      <c r="AP245" s="81">
        <f t="shared" si="66"/>
        <v>-41738.48525278969</v>
      </c>
      <c r="AQ245" s="81">
        <f t="shared" si="67"/>
        <v>3742.409701257106</v>
      </c>
      <c r="AR245" s="81">
        <f t="shared" si="68"/>
        <v>4448.079613442255</v>
      </c>
      <c r="AS245" s="82">
        <v>422</v>
      </c>
      <c r="AT245" s="82"/>
      <c r="AU245" s="82">
        <v>2</v>
      </c>
      <c r="AV245" s="82">
        <f t="shared" si="69"/>
        <v>2</v>
      </c>
      <c r="AW245" s="82">
        <v>2058.3250758344157</v>
      </c>
      <c r="AX245" s="149">
        <v>-565.2406867554249</v>
      </c>
      <c r="AY245" s="81">
        <f t="shared" si="70"/>
        <v>-1060005.6187123917</v>
      </c>
      <c r="AZ245" s="409"/>
      <c r="BA245" s="81"/>
      <c r="BB245" s="81"/>
      <c r="BC245" s="81"/>
      <c r="BD245" s="81"/>
      <c r="BE245" s="81"/>
      <c r="BF245" s="81"/>
      <c r="BG245" s="81"/>
    </row>
    <row r="246" spans="1:59" ht="12.75">
      <c r="A246" s="81">
        <v>739</v>
      </c>
      <c r="B246" s="81" t="s">
        <v>364</v>
      </c>
      <c r="C246" s="81">
        <v>9</v>
      </c>
      <c r="D246" s="81">
        <v>3429</v>
      </c>
      <c r="E246" s="100">
        <v>7177838.999126321</v>
      </c>
      <c r="F246" s="81">
        <v>4075020</v>
      </c>
      <c r="G246" s="81">
        <v>1293868.4664224775</v>
      </c>
      <c r="H246" s="81">
        <v>735276.9419946721</v>
      </c>
      <c r="I246" s="156">
        <v>1163868.0681854745</v>
      </c>
      <c r="J246" s="156">
        <v>673282.1544835286</v>
      </c>
      <c r="K246" s="81">
        <v>1161562.9285421232</v>
      </c>
      <c r="L246" s="81">
        <v>249235</v>
      </c>
      <c r="M246" s="82">
        <v>-35000</v>
      </c>
      <c r="N246" s="82">
        <v>32471.404853021133</v>
      </c>
      <c r="O246" s="214">
        <f t="shared" si="54"/>
        <v>2171745.965354977</v>
      </c>
      <c r="P246" s="215">
        <f t="shared" si="55"/>
        <v>633.3467382195909</v>
      </c>
      <c r="Q246" s="81"/>
      <c r="R246" s="223">
        <v>22122744</v>
      </c>
      <c r="S246" s="156">
        <v>9921956.695</v>
      </c>
      <c r="T246" s="156">
        <v>1102915.412992008</v>
      </c>
      <c r="U246" s="156">
        <v>10675891.867525782</v>
      </c>
      <c r="V246" s="156">
        <v>2103632.922568871</v>
      </c>
      <c r="W246" s="156">
        <v>1508103.4664224775</v>
      </c>
      <c r="X246" s="214">
        <f t="shared" si="56"/>
        <v>3189756.364509139</v>
      </c>
      <c r="Y246" s="215">
        <f t="shared" si="57"/>
        <v>930.2293276492095</v>
      </c>
      <c r="Z246" s="81"/>
      <c r="AA246" s="94">
        <f t="shared" si="58"/>
        <v>-1018010.399154162</v>
      </c>
      <c r="AB246" s="153">
        <f t="shared" si="59"/>
        <v>-296.8825894296186</v>
      </c>
      <c r="AD246" s="216">
        <v>1032169.6674637867</v>
      </c>
      <c r="AE246" s="224">
        <v>973444.1049737183</v>
      </c>
      <c r="AF246" s="224">
        <v>918857.7653540316</v>
      </c>
      <c r="AG246" s="224">
        <v>868076.6059677345</v>
      </c>
      <c r="AH246" s="225">
        <v>817364.7428396979</v>
      </c>
      <c r="AJ246" s="81">
        <f t="shared" si="60"/>
        <v>5846936.695</v>
      </c>
      <c r="AK246" s="81">
        <f t="shared" si="61"/>
        <v>367638.470997336</v>
      </c>
      <c r="AL246" s="81">
        <f t="shared" si="62"/>
        <v>9512023.799340308</v>
      </c>
      <c r="AM246" s="81">
        <f t="shared" si="63"/>
        <v>14944905.00087368</v>
      </c>
      <c r="AN246" s="81">
        <f t="shared" si="64"/>
        <v>1032169.6674637867</v>
      </c>
      <c r="AO246" s="81">
        <f t="shared" si="65"/>
        <v>973444.1049737183</v>
      </c>
      <c r="AP246" s="81">
        <f t="shared" si="66"/>
        <v>918857.7653540316</v>
      </c>
      <c r="AQ246" s="81">
        <f t="shared" si="67"/>
        <v>868076.6059677345</v>
      </c>
      <c r="AR246" s="81">
        <f t="shared" si="68"/>
        <v>817364.7428396979</v>
      </c>
      <c r="AS246" s="82">
        <v>1191</v>
      </c>
      <c r="AT246" s="82"/>
      <c r="AU246" s="82"/>
      <c r="AV246" s="82">
        <f t="shared" si="69"/>
        <v>0</v>
      </c>
      <c r="AW246" s="82">
        <v>8031.777052039837</v>
      </c>
      <c r="AX246" s="149">
        <v>-1264.5192073655892</v>
      </c>
      <c r="AY246" s="81">
        <f t="shared" si="70"/>
        <v>-1430350.7680853426</v>
      </c>
      <c r="AZ246" s="409"/>
      <c r="BA246" s="81"/>
      <c r="BB246" s="81"/>
      <c r="BC246" s="81"/>
      <c r="BD246" s="81"/>
      <c r="BE246" s="81"/>
      <c r="BF246" s="81"/>
      <c r="BG246" s="81"/>
    </row>
    <row r="247" spans="1:59" ht="12.75">
      <c r="A247" s="81">
        <v>740</v>
      </c>
      <c r="B247" s="81" t="s">
        <v>365</v>
      </c>
      <c r="C247" s="81">
        <v>11</v>
      </c>
      <c r="D247" s="81">
        <v>33611</v>
      </c>
      <c r="E247" s="100">
        <v>67246795.1454558</v>
      </c>
      <c r="F247" s="81">
        <v>51171058</v>
      </c>
      <c r="G247" s="81">
        <v>12613830.162798228</v>
      </c>
      <c r="H247" s="81">
        <v>6517413.464650704</v>
      </c>
      <c r="I247" s="156">
        <v>13471583.411874723</v>
      </c>
      <c r="J247" s="156">
        <v>5829268.617269166</v>
      </c>
      <c r="K247" s="81">
        <v>-11319348.20957295</v>
      </c>
      <c r="L247" s="81">
        <v>-2052326</v>
      </c>
      <c r="M247" s="82">
        <v>-900000</v>
      </c>
      <c r="N247" s="82">
        <v>350357.810145212</v>
      </c>
      <c r="O247" s="214">
        <f t="shared" si="54"/>
        <v>8435042.111709267</v>
      </c>
      <c r="P247" s="215">
        <f t="shared" si="55"/>
        <v>250.9607602186566</v>
      </c>
      <c r="Q247" s="81"/>
      <c r="R247" s="223">
        <v>228175892</v>
      </c>
      <c r="S247" s="156">
        <v>114965962.16000001</v>
      </c>
      <c r="T247" s="156">
        <v>9776120.196976056</v>
      </c>
      <c r="U247" s="156">
        <v>78582803.2967019</v>
      </c>
      <c r="V247" s="156">
        <v>17858711.969501395</v>
      </c>
      <c r="W247" s="156">
        <v>9661504.162798228</v>
      </c>
      <c r="X247" s="214">
        <f t="shared" si="56"/>
        <v>2669209.785977572</v>
      </c>
      <c r="Y247" s="215">
        <f t="shared" si="57"/>
        <v>79.41476855724531</v>
      </c>
      <c r="Z247" s="81"/>
      <c r="AA247" s="94">
        <f t="shared" si="58"/>
        <v>5765832.325731695</v>
      </c>
      <c r="AB247" s="153">
        <f t="shared" si="59"/>
        <v>171.54599166141128</v>
      </c>
      <c r="AD247" s="216">
        <v>-5627043.417258439</v>
      </c>
      <c r="AE247" s="224">
        <v>-5194340.387469489</v>
      </c>
      <c r="AF247" s="224">
        <v>-4721064.765118161</v>
      </c>
      <c r="AG247" s="224">
        <v>-4210490.830482067</v>
      </c>
      <c r="AH247" s="225">
        <v>-3699237.655094618</v>
      </c>
      <c r="AJ247" s="81">
        <f t="shared" si="60"/>
        <v>63794904.16000001</v>
      </c>
      <c r="AK247" s="81">
        <f t="shared" si="61"/>
        <v>3258706.7323253527</v>
      </c>
      <c r="AL247" s="81">
        <f t="shared" si="62"/>
        <v>65111219.88482717</v>
      </c>
      <c r="AM247" s="81">
        <f t="shared" si="63"/>
        <v>160929096.8545442</v>
      </c>
      <c r="AN247" s="81">
        <f t="shared" si="64"/>
        <v>-5627043.417258439</v>
      </c>
      <c r="AO247" s="81">
        <f t="shared" si="65"/>
        <v>-5194340.387469489</v>
      </c>
      <c r="AP247" s="81">
        <f t="shared" si="66"/>
        <v>-4721064.765118161</v>
      </c>
      <c r="AQ247" s="81">
        <f t="shared" si="67"/>
        <v>-4210490.830482067</v>
      </c>
      <c r="AR247" s="81">
        <f t="shared" si="68"/>
        <v>-3699237.655094618</v>
      </c>
      <c r="AS247" s="82">
        <v>9627</v>
      </c>
      <c r="AT247" s="82"/>
      <c r="AU247" s="82"/>
      <c r="AV247" s="82">
        <f t="shared" si="69"/>
        <v>0</v>
      </c>
      <c r="AW247" s="82">
        <v>55271.82238262077</v>
      </c>
      <c r="AX247" s="149">
        <v>-8332.547251866139</v>
      </c>
      <c r="AY247" s="81">
        <f t="shared" si="70"/>
        <v>-12029443.352232229</v>
      </c>
      <c r="AZ247" s="409"/>
      <c r="BA247" s="81"/>
      <c r="BB247" s="81"/>
      <c r="BC247" s="81"/>
      <c r="BD247" s="81"/>
      <c r="BE247" s="81"/>
      <c r="BF247" s="81"/>
      <c r="BG247" s="81"/>
    </row>
    <row r="248" spans="1:59" ht="12.75">
      <c r="A248" s="81">
        <v>742</v>
      </c>
      <c r="B248" s="81" t="s">
        <v>366</v>
      </c>
      <c r="C248" s="81">
        <v>19</v>
      </c>
      <c r="D248" s="81">
        <v>1015</v>
      </c>
      <c r="E248" s="100">
        <v>3760968.138268492</v>
      </c>
      <c r="F248" s="81">
        <v>1214933</v>
      </c>
      <c r="G248" s="81">
        <v>381952.2675281614</v>
      </c>
      <c r="H248" s="81">
        <v>639117.1204475904</v>
      </c>
      <c r="I248" s="156">
        <v>971899.3662632447</v>
      </c>
      <c r="J248" s="156">
        <v>212983.13900933176</v>
      </c>
      <c r="K248" s="81">
        <v>-297452.654461361</v>
      </c>
      <c r="L248" s="81">
        <v>68926</v>
      </c>
      <c r="M248" s="82">
        <v>-14000</v>
      </c>
      <c r="N248" s="82">
        <v>10388.673334734753</v>
      </c>
      <c r="O248" s="214">
        <f t="shared" si="54"/>
        <v>-572221.2261467902</v>
      </c>
      <c r="P248" s="215">
        <f t="shared" si="55"/>
        <v>-563.7647548244238</v>
      </c>
      <c r="Q248" s="81"/>
      <c r="R248" s="223">
        <v>9473184</v>
      </c>
      <c r="S248" s="156">
        <v>2883621.995</v>
      </c>
      <c r="T248" s="156">
        <v>958675.6806713855</v>
      </c>
      <c r="U248" s="156">
        <v>4039127.946495267</v>
      </c>
      <c r="V248" s="156">
        <v>662724.6340777036</v>
      </c>
      <c r="W248" s="156">
        <v>436878.2675281614</v>
      </c>
      <c r="X248" s="214">
        <f t="shared" si="56"/>
        <v>-492155.4762274828</v>
      </c>
      <c r="Y248" s="215">
        <f t="shared" si="57"/>
        <v>-484.882242588653</v>
      </c>
      <c r="Z248" s="81"/>
      <c r="AA248" s="94">
        <f t="shared" si="58"/>
        <v>-80065.74991930742</v>
      </c>
      <c r="AB248" s="153">
        <f t="shared" si="59"/>
        <v>-78.88251223577086</v>
      </c>
      <c r="AD248" s="216">
        <v>84256.95940728267</v>
      </c>
      <c r="AE248" s="224">
        <v>66873.91889184974</v>
      </c>
      <c r="AF248" s="224">
        <v>50716.10766000893</v>
      </c>
      <c r="AG248" s="224">
        <v>35684.64753253982</v>
      </c>
      <c r="AH248" s="225">
        <v>20673.69942085794</v>
      </c>
      <c r="AJ248" s="81">
        <f t="shared" si="60"/>
        <v>1668688.995</v>
      </c>
      <c r="AK248" s="81">
        <f t="shared" si="61"/>
        <v>319558.5602237951</v>
      </c>
      <c r="AL248" s="81">
        <f t="shared" si="62"/>
        <v>3067228.5802320223</v>
      </c>
      <c r="AM248" s="81">
        <f t="shared" si="63"/>
        <v>5712215.861731508</v>
      </c>
      <c r="AN248" s="81">
        <f t="shared" si="64"/>
        <v>84256.95940728267</v>
      </c>
      <c r="AO248" s="81">
        <f t="shared" si="65"/>
        <v>66873.91889184974</v>
      </c>
      <c r="AP248" s="81">
        <f t="shared" si="66"/>
        <v>50716.10766000893</v>
      </c>
      <c r="AQ248" s="81">
        <f t="shared" si="67"/>
        <v>35684.64753253982</v>
      </c>
      <c r="AR248" s="81">
        <f t="shared" si="68"/>
        <v>20673.69942085794</v>
      </c>
      <c r="AS248" s="82">
        <v>289</v>
      </c>
      <c r="AT248" s="82">
        <v>1</v>
      </c>
      <c r="AU248" s="82"/>
      <c r="AV248" s="82">
        <f t="shared" si="69"/>
        <v>1</v>
      </c>
      <c r="AW248" s="82">
        <v>2616.786798599081</v>
      </c>
      <c r="AX248" s="149">
        <v>-180.33503405505283</v>
      </c>
      <c r="AY248" s="81">
        <f t="shared" si="70"/>
        <v>-449741.4950683718</v>
      </c>
      <c r="AZ248" s="409"/>
      <c r="BA248" s="81"/>
      <c r="BB248" s="81"/>
      <c r="BC248" s="81"/>
      <c r="BD248" s="81"/>
      <c r="BE248" s="81"/>
      <c r="BF248" s="81"/>
      <c r="BG248" s="81"/>
    </row>
    <row r="249" spans="1:59" ht="12.75">
      <c r="A249" s="81">
        <v>743</v>
      </c>
      <c r="B249" s="81" t="s">
        <v>367</v>
      </c>
      <c r="C249" s="81">
        <v>14</v>
      </c>
      <c r="D249" s="81">
        <v>63288</v>
      </c>
      <c r="E249" s="100">
        <v>179484756.12218234</v>
      </c>
      <c r="F249" s="81">
        <v>88378257</v>
      </c>
      <c r="G249" s="81">
        <v>24544147.2535296</v>
      </c>
      <c r="H249" s="81">
        <v>9635303.21705804</v>
      </c>
      <c r="I249" s="156">
        <v>34885671.39359131</v>
      </c>
      <c r="J249" s="156">
        <v>9065803.93437764</v>
      </c>
      <c r="K249" s="81">
        <v>-3946760.198658894</v>
      </c>
      <c r="L249" s="81">
        <v>-2978503</v>
      </c>
      <c r="M249" s="82">
        <v>8265100</v>
      </c>
      <c r="N249" s="82">
        <v>732116.152053223</v>
      </c>
      <c r="O249" s="214">
        <f t="shared" si="54"/>
        <v>-10903620.37023142</v>
      </c>
      <c r="P249" s="215">
        <f t="shared" si="55"/>
        <v>-172.28574722271867</v>
      </c>
      <c r="Q249" s="81"/>
      <c r="R249" s="223">
        <v>399637000</v>
      </c>
      <c r="S249" s="156">
        <v>223677452.13</v>
      </c>
      <c r="T249" s="156">
        <v>14452954.825587062</v>
      </c>
      <c r="U249" s="156">
        <v>92455491.35608281</v>
      </c>
      <c r="V249" s="156">
        <v>27232114.057407886</v>
      </c>
      <c r="W249" s="156">
        <v>29830744.2535296</v>
      </c>
      <c r="X249" s="214">
        <f t="shared" si="56"/>
        <v>-11988243.37739265</v>
      </c>
      <c r="Y249" s="215">
        <f t="shared" si="57"/>
        <v>-189.42364077538633</v>
      </c>
      <c r="Z249" s="81"/>
      <c r="AA249" s="94">
        <f t="shared" si="58"/>
        <v>1084623.0071612298</v>
      </c>
      <c r="AB249" s="153">
        <f t="shared" si="59"/>
        <v>17.137893552667645</v>
      </c>
      <c r="AD249" s="216">
        <v>-823289.740092225</v>
      </c>
      <c r="AE249" s="224">
        <v>-8529.413137267109</v>
      </c>
      <c r="AF249" s="224">
        <v>68610.2863975876</v>
      </c>
      <c r="AG249" s="224">
        <v>80678.0218190015</v>
      </c>
      <c r="AH249" s="225">
        <v>94024.73699917617</v>
      </c>
      <c r="AJ249" s="81">
        <f t="shared" si="60"/>
        <v>135299195.13</v>
      </c>
      <c r="AK249" s="81">
        <f t="shared" si="61"/>
        <v>4817651.608529022</v>
      </c>
      <c r="AL249" s="81">
        <f t="shared" si="62"/>
        <v>57569819.962491505</v>
      </c>
      <c r="AM249" s="81">
        <f t="shared" si="63"/>
        <v>220152243.87781766</v>
      </c>
      <c r="AN249" s="81">
        <f t="shared" si="64"/>
        <v>-823289.740092225</v>
      </c>
      <c r="AO249" s="81">
        <f t="shared" si="65"/>
        <v>-8529.413137267109</v>
      </c>
      <c r="AP249" s="81">
        <f t="shared" si="66"/>
        <v>68610.2863975876</v>
      </c>
      <c r="AQ249" s="81">
        <f t="shared" si="67"/>
        <v>80678.0218190015</v>
      </c>
      <c r="AR249" s="81">
        <f t="shared" si="68"/>
        <v>94024.73699917617</v>
      </c>
      <c r="AS249" s="82">
        <v>22197</v>
      </c>
      <c r="AT249" s="82">
        <v>263</v>
      </c>
      <c r="AU249" s="82">
        <v>781</v>
      </c>
      <c r="AV249" s="82">
        <f t="shared" si="69"/>
        <v>1044</v>
      </c>
      <c r="AW249" s="82">
        <v>51840.9102727965</v>
      </c>
      <c r="AX249" s="149">
        <v>-4697.440745583653</v>
      </c>
      <c r="AY249" s="81">
        <f t="shared" si="70"/>
        <v>-18166310.123030245</v>
      </c>
      <c r="AZ249" s="409"/>
      <c r="BA249" s="81"/>
      <c r="BB249" s="81"/>
      <c r="BC249" s="81"/>
      <c r="BD249" s="81"/>
      <c r="BE249" s="81"/>
      <c r="BF249" s="81"/>
      <c r="BG249" s="81"/>
    </row>
    <row r="250" spans="1:59" ht="12.75">
      <c r="A250" s="81">
        <v>746</v>
      </c>
      <c r="B250" s="81" t="s">
        <v>368</v>
      </c>
      <c r="C250" s="81">
        <v>17</v>
      </c>
      <c r="D250" s="81">
        <v>4980</v>
      </c>
      <c r="E250" s="100">
        <v>14991139.028259605</v>
      </c>
      <c r="F250" s="81">
        <v>5275331</v>
      </c>
      <c r="G250" s="81">
        <v>921418.3510362123</v>
      </c>
      <c r="H250" s="81">
        <v>1219011.2931937247</v>
      </c>
      <c r="I250" s="156">
        <v>8173084.001330996</v>
      </c>
      <c r="J250" s="156">
        <v>815985.1029387971</v>
      </c>
      <c r="K250" s="81">
        <v>-660250.8675100915</v>
      </c>
      <c r="L250" s="81">
        <v>161620</v>
      </c>
      <c r="M250" s="82">
        <v>-51570</v>
      </c>
      <c r="N250" s="82">
        <v>40220.19892153609</v>
      </c>
      <c r="O250" s="214">
        <f t="shared" si="54"/>
        <v>903710.0516515672</v>
      </c>
      <c r="P250" s="215">
        <f t="shared" si="55"/>
        <v>181.46788185774443</v>
      </c>
      <c r="Q250" s="81"/>
      <c r="R250" s="223">
        <v>35444668</v>
      </c>
      <c r="S250" s="156">
        <v>12363411.9075</v>
      </c>
      <c r="T250" s="156">
        <v>1828516.9397905872</v>
      </c>
      <c r="U250" s="156">
        <v>17615716.253387928</v>
      </c>
      <c r="V250" s="156">
        <v>2544787.603518237</v>
      </c>
      <c r="W250" s="156">
        <v>1031468.3510362124</v>
      </c>
      <c r="X250" s="214">
        <f t="shared" si="56"/>
        <v>-60766.944767035544</v>
      </c>
      <c r="Y250" s="215">
        <f t="shared" si="57"/>
        <v>-12.202197744384648</v>
      </c>
      <c r="Z250" s="81"/>
      <c r="AA250" s="94">
        <f t="shared" si="58"/>
        <v>964476.9964186028</v>
      </c>
      <c r="AB250" s="153">
        <f t="shared" si="59"/>
        <v>193.67007960212908</v>
      </c>
      <c r="AD250" s="216">
        <v>-943913.2296697111</v>
      </c>
      <c r="AE250" s="224">
        <v>-879801.4481592242</v>
      </c>
      <c r="AF250" s="224">
        <v>-809678.1968632315</v>
      </c>
      <c r="AG250" s="224">
        <v>-734028.6120699272</v>
      </c>
      <c r="AH250" s="225">
        <v>-658278.387041529</v>
      </c>
      <c r="AJ250" s="81">
        <f t="shared" si="60"/>
        <v>7088080.907500001</v>
      </c>
      <c r="AK250" s="81">
        <f t="shared" si="61"/>
        <v>609505.6465968625</v>
      </c>
      <c r="AL250" s="81">
        <f t="shared" si="62"/>
        <v>9442632.252056932</v>
      </c>
      <c r="AM250" s="81">
        <f t="shared" si="63"/>
        <v>20453528.971740395</v>
      </c>
      <c r="AN250" s="81">
        <f t="shared" si="64"/>
        <v>-943913.2296697111</v>
      </c>
      <c r="AO250" s="81">
        <f t="shared" si="65"/>
        <v>-879801.4481592242</v>
      </c>
      <c r="AP250" s="81">
        <f t="shared" si="66"/>
        <v>-809678.1968632315</v>
      </c>
      <c r="AQ250" s="81">
        <f t="shared" si="67"/>
        <v>-734028.6120699272</v>
      </c>
      <c r="AR250" s="81">
        <f t="shared" si="68"/>
        <v>-658278.387041529</v>
      </c>
      <c r="AS250" s="82">
        <v>924</v>
      </c>
      <c r="AT250" s="82"/>
      <c r="AU250" s="82"/>
      <c r="AV250" s="82">
        <f t="shared" si="69"/>
        <v>0</v>
      </c>
      <c r="AW250" s="82">
        <v>7394.657311664395</v>
      </c>
      <c r="AX250" s="149">
        <v>-2612.8153760132686</v>
      </c>
      <c r="AY250" s="81">
        <f t="shared" si="70"/>
        <v>-1728802.5005794398</v>
      </c>
      <c r="AZ250" s="409"/>
      <c r="BA250" s="81"/>
      <c r="BB250" s="81"/>
      <c r="BC250" s="81"/>
      <c r="BD250" s="81"/>
      <c r="BE250" s="81"/>
      <c r="BF250" s="81"/>
      <c r="BG250" s="81"/>
    </row>
    <row r="251" spans="1:59" ht="12.75">
      <c r="A251" s="81">
        <v>747</v>
      </c>
      <c r="B251" s="81" t="s">
        <v>369</v>
      </c>
      <c r="C251" s="81">
        <v>4</v>
      </c>
      <c r="D251" s="81">
        <v>1458</v>
      </c>
      <c r="E251" s="100">
        <v>3353609.7028185213</v>
      </c>
      <c r="F251" s="81">
        <v>1499526</v>
      </c>
      <c r="G251" s="81">
        <v>719320.2912555524</v>
      </c>
      <c r="H251" s="81">
        <v>399963.988858896</v>
      </c>
      <c r="I251" s="156">
        <v>1123278.3933593754</v>
      </c>
      <c r="J251" s="156">
        <v>309823.8009397214</v>
      </c>
      <c r="K251" s="81">
        <v>306634.436806743</v>
      </c>
      <c r="L251" s="81">
        <v>-199558</v>
      </c>
      <c r="M251" s="82">
        <v>-3041</v>
      </c>
      <c r="N251" s="82">
        <v>11347.619727093686</v>
      </c>
      <c r="O251" s="214">
        <f t="shared" si="54"/>
        <v>813685.8281288608</v>
      </c>
      <c r="P251" s="215">
        <f t="shared" si="55"/>
        <v>558.0835583874217</v>
      </c>
      <c r="Q251" s="81"/>
      <c r="R251" s="223">
        <v>9085720</v>
      </c>
      <c r="S251" s="156">
        <v>3471320.56</v>
      </c>
      <c r="T251" s="156">
        <v>599945.983288344</v>
      </c>
      <c r="U251" s="156">
        <v>4608968.354629582</v>
      </c>
      <c r="V251" s="156">
        <v>978428.8184880107</v>
      </c>
      <c r="W251" s="156">
        <v>516721.29125555244</v>
      </c>
      <c r="X251" s="214">
        <f t="shared" si="56"/>
        <v>1089665.0076614898</v>
      </c>
      <c r="Y251" s="215">
        <f t="shared" si="57"/>
        <v>747.3696897541082</v>
      </c>
      <c r="Z251" s="81"/>
      <c r="AA251" s="94">
        <f t="shared" si="58"/>
        <v>-275979.179532629</v>
      </c>
      <c r="AB251" s="153">
        <f t="shared" si="59"/>
        <v>-189.28613136668653</v>
      </c>
      <c r="AD251" s="216">
        <v>281999.65582176106</v>
      </c>
      <c r="AE251" s="224">
        <v>257029.73161338558</v>
      </c>
      <c r="AF251" s="224">
        <v>233819.79193257383</v>
      </c>
      <c r="AG251" s="224">
        <v>212227.8029021798</v>
      </c>
      <c r="AH251" s="225">
        <v>190665.27842254215</v>
      </c>
      <c r="AJ251" s="81">
        <f t="shared" si="60"/>
        <v>1971794.56</v>
      </c>
      <c r="AK251" s="81">
        <f t="shared" si="61"/>
        <v>199981.99442944798</v>
      </c>
      <c r="AL251" s="81">
        <f t="shared" si="62"/>
        <v>3485689.9612702066</v>
      </c>
      <c r="AM251" s="81">
        <f t="shared" si="63"/>
        <v>5732110.297181479</v>
      </c>
      <c r="AN251" s="81">
        <f t="shared" si="64"/>
        <v>281999.65582176106</v>
      </c>
      <c r="AO251" s="81">
        <f t="shared" si="65"/>
        <v>257029.73161338558</v>
      </c>
      <c r="AP251" s="81">
        <f t="shared" si="66"/>
        <v>233819.79193257383</v>
      </c>
      <c r="AQ251" s="81">
        <f t="shared" si="67"/>
        <v>212227.8029021798</v>
      </c>
      <c r="AR251" s="81">
        <f t="shared" si="68"/>
        <v>190665.27842254215</v>
      </c>
      <c r="AS251" s="82">
        <v>537</v>
      </c>
      <c r="AT251" s="82"/>
      <c r="AU251" s="82"/>
      <c r="AV251" s="82">
        <f t="shared" si="69"/>
        <v>0</v>
      </c>
      <c r="AW251" s="82">
        <v>2537.808255650726</v>
      </c>
      <c r="AX251" s="149">
        <v>-888.1916963227757</v>
      </c>
      <c r="AY251" s="81">
        <f t="shared" si="70"/>
        <v>-668605.0175482893</v>
      </c>
      <c r="AZ251" s="409"/>
      <c r="BA251" s="81"/>
      <c r="BB251" s="81"/>
      <c r="BC251" s="81"/>
      <c r="BD251" s="81"/>
      <c r="BE251" s="81"/>
      <c r="BF251" s="81"/>
      <c r="BG251" s="81"/>
    </row>
    <row r="252" spans="1:59" ht="12.75">
      <c r="A252" s="81">
        <v>748</v>
      </c>
      <c r="B252" s="81" t="s">
        <v>370</v>
      </c>
      <c r="C252" s="81">
        <v>17</v>
      </c>
      <c r="D252" s="81">
        <v>5249</v>
      </c>
      <c r="E252" s="100">
        <v>15368273.27076602</v>
      </c>
      <c r="F252" s="81">
        <v>6250443</v>
      </c>
      <c r="G252" s="81">
        <v>1212303.1611233416</v>
      </c>
      <c r="H252" s="81">
        <v>660392.1112973184</v>
      </c>
      <c r="I252" s="156">
        <v>7333435.401602708</v>
      </c>
      <c r="J252" s="156">
        <v>880031.3221576731</v>
      </c>
      <c r="K252" s="81">
        <v>109611.31793491892</v>
      </c>
      <c r="L252" s="81">
        <v>57154</v>
      </c>
      <c r="M252" s="82">
        <v>-5000</v>
      </c>
      <c r="N252" s="82">
        <v>45368.99426390907</v>
      </c>
      <c r="O252" s="214">
        <f t="shared" si="54"/>
        <v>1175466.0376138482</v>
      </c>
      <c r="P252" s="215">
        <f t="shared" si="55"/>
        <v>223.94094829755159</v>
      </c>
      <c r="Q252" s="81"/>
      <c r="R252" s="223">
        <v>35079996</v>
      </c>
      <c r="S252" s="156">
        <v>14603241.3</v>
      </c>
      <c r="T252" s="156">
        <v>990588.1669459776</v>
      </c>
      <c r="U252" s="156">
        <v>16332657.238538988</v>
      </c>
      <c r="V252" s="156">
        <v>2734353.9448708207</v>
      </c>
      <c r="W252" s="156">
        <v>1264457.1611233416</v>
      </c>
      <c r="X252" s="214">
        <f t="shared" si="56"/>
        <v>845301.8114791289</v>
      </c>
      <c r="Y252" s="215">
        <f t="shared" si="57"/>
        <v>161.04054324235642</v>
      </c>
      <c r="Z252" s="81"/>
      <c r="AA252" s="94">
        <f t="shared" si="58"/>
        <v>330164.2261347193</v>
      </c>
      <c r="AB252" s="153">
        <f t="shared" si="59"/>
        <v>62.900405055195144</v>
      </c>
      <c r="AD252" s="216">
        <v>-308489.6856397607</v>
      </c>
      <c r="AE252" s="224">
        <v>-240914.838019571</v>
      </c>
      <c r="AF252" s="224">
        <v>-167003.80467566205</v>
      </c>
      <c r="AG252" s="224">
        <v>-87267.92704914513</v>
      </c>
      <c r="AH252" s="225">
        <v>-7425.972998128561</v>
      </c>
      <c r="AJ252" s="81">
        <f t="shared" si="60"/>
        <v>8352798.300000001</v>
      </c>
      <c r="AK252" s="81">
        <f t="shared" si="61"/>
        <v>330196.05564865924</v>
      </c>
      <c r="AL252" s="81">
        <f t="shared" si="62"/>
        <v>8999221.83693628</v>
      </c>
      <c r="AM252" s="81">
        <f t="shared" si="63"/>
        <v>19711722.72923398</v>
      </c>
      <c r="AN252" s="81">
        <f t="shared" si="64"/>
        <v>-308489.6856397607</v>
      </c>
      <c r="AO252" s="81">
        <f t="shared" si="65"/>
        <v>-240914.838019571</v>
      </c>
      <c r="AP252" s="81">
        <f t="shared" si="66"/>
        <v>-167003.80467566205</v>
      </c>
      <c r="AQ252" s="81">
        <f t="shared" si="67"/>
        <v>-87267.92704914513</v>
      </c>
      <c r="AR252" s="81">
        <f t="shared" si="68"/>
        <v>-7425.972998128561</v>
      </c>
      <c r="AS252" s="82">
        <v>1289</v>
      </c>
      <c r="AT252" s="82"/>
      <c r="AU252" s="82"/>
      <c r="AV252" s="82">
        <f t="shared" si="69"/>
        <v>0</v>
      </c>
      <c r="AW252" s="82">
        <v>7057.103611195673</v>
      </c>
      <c r="AX252" s="149">
        <v>-2388.0766560834036</v>
      </c>
      <c r="AY252" s="81">
        <f t="shared" si="70"/>
        <v>-1854322.6227131477</v>
      </c>
      <c r="AZ252" s="409"/>
      <c r="BA252" s="81"/>
      <c r="BB252" s="81"/>
      <c r="BC252" s="81"/>
      <c r="BD252" s="81"/>
      <c r="BE252" s="81"/>
      <c r="BF252" s="81"/>
      <c r="BG252" s="81"/>
    </row>
    <row r="253" spans="1:59" ht="12.75">
      <c r="A253" s="81">
        <v>749</v>
      </c>
      <c r="B253" s="81" t="s">
        <v>371</v>
      </c>
      <c r="C253" s="81">
        <v>11</v>
      </c>
      <c r="D253" s="81">
        <v>21674</v>
      </c>
      <c r="E253" s="100">
        <v>57507794.31735183</v>
      </c>
      <c r="F253" s="81">
        <v>34985778</v>
      </c>
      <c r="G253" s="81">
        <v>5009271.378823224</v>
      </c>
      <c r="H253" s="81">
        <v>2901889.975137754</v>
      </c>
      <c r="I253" s="156">
        <v>16702600.677514624</v>
      </c>
      <c r="J253" s="156">
        <v>2855131.563455222</v>
      </c>
      <c r="K253" s="81">
        <v>-1434976.6531255934</v>
      </c>
      <c r="L253" s="81">
        <v>-1711257</v>
      </c>
      <c r="M253" s="82">
        <v>805800</v>
      </c>
      <c r="N253" s="82">
        <v>257980.57074099695</v>
      </c>
      <c r="O253" s="214">
        <f t="shared" si="54"/>
        <v>2864424.1951943934</v>
      </c>
      <c r="P253" s="215">
        <f t="shared" si="55"/>
        <v>132.15946272927903</v>
      </c>
      <c r="Q253" s="81"/>
      <c r="R253" s="223">
        <v>133064876</v>
      </c>
      <c r="S253" s="156">
        <v>82908725.38</v>
      </c>
      <c r="T253" s="156">
        <v>4352834.962706631</v>
      </c>
      <c r="U253" s="156">
        <v>34311810.906469226</v>
      </c>
      <c r="V253" s="156">
        <v>8483986.98408834</v>
      </c>
      <c r="W253" s="156">
        <v>4103814.3788232245</v>
      </c>
      <c r="X253" s="214">
        <f t="shared" si="56"/>
        <v>1096296.6120874286</v>
      </c>
      <c r="Y253" s="215">
        <f t="shared" si="57"/>
        <v>50.58118538744249</v>
      </c>
      <c r="Z253" s="81"/>
      <c r="AA253" s="94">
        <f t="shared" si="58"/>
        <v>1768127.5831069648</v>
      </c>
      <c r="AB253" s="153">
        <f t="shared" si="59"/>
        <v>81.57827734183653</v>
      </c>
      <c r="AD253" s="216">
        <v>-1678629.7757745862</v>
      </c>
      <c r="AE253" s="224">
        <v>-1399601.9138351707</v>
      </c>
      <c r="AF253" s="224">
        <v>-1094410.8799818875</v>
      </c>
      <c r="AG253" s="224">
        <v>-765168.088654563</v>
      </c>
      <c r="AH253" s="225">
        <v>-435487.2900068713</v>
      </c>
      <c r="AJ253" s="81">
        <f t="shared" si="60"/>
        <v>47922947.379999995</v>
      </c>
      <c r="AK253" s="81">
        <f t="shared" si="61"/>
        <v>1450944.9875688772</v>
      </c>
      <c r="AL253" s="81">
        <f t="shared" si="62"/>
        <v>17609210.228954602</v>
      </c>
      <c r="AM253" s="81">
        <f t="shared" si="63"/>
        <v>75557081.68264817</v>
      </c>
      <c r="AN253" s="81">
        <f t="shared" si="64"/>
        <v>-1678629.7757745862</v>
      </c>
      <c r="AO253" s="81">
        <f t="shared" si="65"/>
        <v>-1399601.9138351707</v>
      </c>
      <c r="AP253" s="81">
        <f t="shared" si="66"/>
        <v>-1094410.8799818875</v>
      </c>
      <c r="AQ253" s="81">
        <f t="shared" si="67"/>
        <v>-765168.088654563</v>
      </c>
      <c r="AR253" s="81">
        <f t="shared" si="68"/>
        <v>-435487.2900068713</v>
      </c>
      <c r="AS253" s="82">
        <v>7420</v>
      </c>
      <c r="AT253" s="82">
        <v>11</v>
      </c>
      <c r="AU253" s="82"/>
      <c r="AV253" s="82">
        <f t="shared" si="69"/>
        <v>11</v>
      </c>
      <c r="AW253" s="82">
        <v>17493.10107764364</v>
      </c>
      <c r="AX253" s="149">
        <v>-1103.9836342504336</v>
      </c>
      <c r="AY253" s="81">
        <f t="shared" si="70"/>
        <v>-5628855.420633119</v>
      </c>
      <c r="AZ253" s="409"/>
      <c r="BA253" s="81"/>
      <c r="BB253" s="81"/>
      <c r="BC253" s="81"/>
      <c r="BD253" s="81"/>
      <c r="BE253" s="81"/>
      <c r="BF253" s="81"/>
      <c r="BG253" s="81"/>
    </row>
    <row r="254" spans="1:59" ht="12.75">
      <c r="A254" s="81">
        <v>751</v>
      </c>
      <c r="B254" s="81" t="s">
        <v>372</v>
      </c>
      <c r="C254" s="81">
        <v>19</v>
      </c>
      <c r="D254" s="81">
        <v>3045</v>
      </c>
      <c r="E254" s="100">
        <v>8387780.609897139</v>
      </c>
      <c r="F254" s="81">
        <v>4378540</v>
      </c>
      <c r="G254" s="81">
        <v>1555695.010537534</v>
      </c>
      <c r="H254" s="81">
        <v>195037.35086404803</v>
      </c>
      <c r="I254" s="156">
        <v>2729606.525390377</v>
      </c>
      <c r="J254" s="156">
        <v>494185.08917806705</v>
      </c>
      <c r="K254" s="81">
        <v>-1425169.1759074403</v>
      </c>
      <c r="L254" s="81">
        <v>128052</v>
      </c>
      <c r="M254" s="82">
        <v>-70000</v>
      </c>
      <c r="N254" s="82">
        <v>32098.65158192858</v>
      </c>
      <c r="O254" s="214">
        <f t="shared" si="54"/>
        <v>-369735.1582526248</v>
      </c>
      <c r="P254" s="215">
        <f t="shared" si="55"/>
        <v>-121.42369729150239</v>
      </c>
      <c r="Q254" s="81"/>
      <c r="R254" s="223">
        <v>22867628</v>
      </c>
      <c r="S254" s="156">
        <v>10424256.7</v>
      </c>
      <c r="T254" s="156">
        <v>292556.026296072</v>
      </c>
      <c r="U254" s="156">
        <v>7494123.795659095</v>
      </c>
      <c r="V254" s="156">
        <v>1504572.4139828328</v>
      </c>
      <c r="W254" s="156">
        <v>1613747.010537534</v>
      </c>
      <c r="X254" s="214">
        <f t="shared" si="56"/>
        <v>-1538372.053524468</v>
      </c>
      <c r="Y254" s="215">
        <f t="shared" si="57"/>
        <v>-505.21249705237045</v>
      </c>
      <c r="Z254" s="81"/>
      <c r="AA254" s="94">
        <f t="shared" si="58"/>
        <v>1168636.8952718433</v>
      </c>
      <c r="AB254" s="153">
        <f t="shared" si="59"/>
        <v>383.7887997608681</v>
      </c>
      <c r="AD254" s="216">
        <v>-1156063.2668079124</v>
      </c>
      <c r="AE254" s="224">
        <v>-1116862.388354211</v>
      </c>
      <c r="AF254" s="224">
        <v>-1073985.8220497335</v>
      </c>
      <c r="AG254" s="224">
        <v>-1027730.2024321409</v>
      </c>
      <c r="AH254" s="225">
        <v>-981413.0467671865</v>
      </c>
      <c r="AJ254" s="81">
        <f t="shared" si="60"/>
        <v>6045716.699999999</v>
      </c>
      <c r="AK254" s="81">
        <f t="shared" si="61"/>
        <v>97518.67543202397</v>
      </c>
      <c r="AL254" s="81">
        <f t="shared" si="62"/>
        <v>4764517.270268718</v>
      </c>
      <c r="AM254" s="81">
        <f t="shared" si="63"/>
        <v>14479847.390102861</v>
      </c>
      <c r="AN254" s="81">
        <f t="shared" si="64"/>
        <v>-1156063.2668079124</v>
      </c>
      <c r="AO254" s="81">
        <f t="shared" si="65"/>
        <v>-1116862.388354211</v>
      </c>
      <c r="AP254" s="81">
        <f t="shared" si="66"/>
        <v>-1073985.8220497335</v>
      </c>
      <c r="AQ254" s="81">
        <f t="shared" si="67"/>
        <v>-1027730.2024321409</v>
      </c>
      <c r="AR254" s="81">
        <f t="shared" si="68"/>
        <v>-981413.0467671865</v>
      </c>
      <c r="AS254" s="82">
        <v>914</v>
      </c>
      <c r="AT254" s="82"/>
      <c r="AU254" s="82">
        <v>26</v>
      </c>
      <c r="AV254" s="82">
        <f t="shared" si="69"/>
        <v>26</v>
      </c>
      <c r="AW254" s="82">
        <v>4369.925362961314</v>
      </c>
      <c r="AX254" s="149">
        <v>-637.898334587933</v>
      </c>
      <c r="AY254" s="81">
        <f t="shared" si="70"/>
        <v>-1010387.3248047658</v>
      </c>
      <c r="AZ254" s="409"/>
      <c r="BA254" s="81"/>
      <c r="BB254" s="81"/>
      <c r="BC254" s="81"/>
      <c r="BD254" s="81"/>
      <c r="BE254" s="81"/>
      <c r="BF254" s="81"/>
      <c r="BG254" s="81"/>
    </row>
    <row r="255" spans="1:59" ht="12.75">
      <c r="A255" s="81">
        <v>753</v>
      </c>
      <c r="B255" s="81" t="s">
        <v>373</v>
      </c>
      <c r="C255" s="81">
        <v>1</v>
      </c>
      <c r="D255" s="81">
        <v>20666</v>
      </c>
      <c r="E255" s="100">
        <v>70941910.55829936</v>
      </c>
      <c r="F255" s="81">
        <v>29494805</v>
      </c>
      <c r="G255" s="81">
        <v>10313268.138322439</v>
      </c>
      <c r="H255" s="81">
        <v>3175618.687862544</v>
      </c>
      <c r="I255" s="156">
        <v>13384710.86938567</v>
      </c>
      <c r="J255" s="156">
        <v>2392152.1526237633</v>
      </c>
      <c r="K255" s="81">
        <v>4923545.870353155</v>
      </c>
      <c r="L255" s="81">
        <v>-1869307</v>
      </c>
      <c r="M255" s="82">
        <v>-700000</v>
      </c>
      <c r="N255" s="82">
        <v>326352.7202004492</v>
      </c>
      <c r="O255" s="214">
        <f t="shared" si="54"/>
        <v>-9500764.119551346</v>
      </c>
      <c r="P255" s="215">
        <f t="shared" si="55"/>
        <v>-459.72922285644756</v>
      </c>
      <c r="Q255" s="81"/>
      <c r="R255" s="223">
        <v>131240480</v>
      </c>
      <c r="S255" s="156">
        <v>90366366.2775</v>
      </c>
      <c r="T255" s="156">
        <v>4763428.031793816</v>
      </c>
      <c r="U255" s="156">
        <v>15200807.302026441</v>
      </c>
      <c r="V255" s="156">
        <v>6763007.639198448</v>
      </c>
      <c r="W255" s="156">
        <v>7743961.138322439</v>
      </c>
      <c r="X255" s="214">
        <f t="shared" si="56"/>
        <v>-6402909.611158848</v>
      </c>
      <c r="Y255" s="215">
        <f t="shared" si="57"/>
        <v>-309.8282014496684</v>
      </c>
      <c r="Z255" s="81"/>
      <c r="AA255" s="94">
        <f t="shared" si="58"/>
        <v>-3097854.508392498</v>
      </c>
      <c r="AB255" s="153">
        <f t="shared" si="59"/>
        <v>-149.90102140677914</v>
      </c>
      <c r="AD255" s="216">
        <v>3183190.0111299297</v>
      </c>
      <c r="AE255" s="224">
        <v>2829261.0305467406</v>
      </c>
      <c r="AF255" s="224">
        <v>2500278.442450955</v>
      </c>
      <c r="AG255" s="224">
        <v>2194229.0286634904</v>
      </c>
      <c r="AH255" s="225">
        <v>1888597.2516427834</v>
      </c>
      <c r="AJ255" s="81">
        <f t="shared" si="60"/>
        <v>60871561.2775</v>
      </c>
      <c r="AK255" s="81">
        <f t="shared" si="61"/>
        <v>1587809.3439312722</v>
      </c>
      <c r="AL255" s="81">
        <f t="shared" si="62"/>
        <v>1816096.4326407705</v>
      </c>
      <c r="AM255" s="81">
        <f t="shared" si="63"/>
        <v>60298569.44170064</v>
      </c>
      <c r="AN255" s="81">
        <f t="shared" si="64"/>
        <v>3183190.0111299297</v>
      </c>
      <c r="AO255" s="81">
        <f t="shared" si="65"/>
        <v>2829261.0305467406</v>
      </c>
      <c r="AP255" s="81">
        <f t="shared" si="66"/>
        <v>2500278.442450955</v>
      </c>
      <c r="AQ255" s="81">
        <f t="shared" si="67"/>
        <v>2194229.0286634904</v>
      </c>
      <c r="AR255" s="81">
        <f t="shared" si="68"/>
        <v>1888597.2516427834</v>
      </c>
      <c r="AS255" s="82">
        <v>13969</v>
      </c>
      <c r="AT255" s="82">
        <v>4</v>
      </c>
      <c r="AU255" s="82">
        <v>4</v>
      </c>
      <c r="AV255" s="82">
        <f t="shared" si="69"/>
        <v>8</v>
      </c>
      <c r="AW255" s="82">
        <v>7858.714217974081</v>
      </c>
      <c r="AX255" s="149">
        <v>5689.914179381889</v>
      </c>
      <c r="AY255" s="81">
        <f t="shared" si="70"/>
        <v>-4370855.486574684</v>
      </c>
      <c r="AZ255" s="409"/>
      <c r="BA255" s="81"/>
      <c r="BB255" s="81"/>
      <c r="BC255" s="81"/>
      <c r="BD255" s="81"/>
      <c r="BE255" s="81"/>
      <c r="BF255" s="81"/>
      <c r="BG255" s="81"/>
    </row>
    <row r="256" spans="1:59" ht="12.75">
      <c r="A256" s="81">
        <v>755</v>
      </c>
      <c r="B256" s="81" t="s">
        <v>374</v>
      </c>
      <c r="C256" s="81">
        <v>1</v>
      </c>
      <c r="D256" s="81">
        <v>6134</v>
      </c>
      <c r="E256" s="100">
        <v>18899202.51618642</v>
      </c>
      <c r="F256" s="81">
        <v>10973860</v>
      </c>
      <c r="G256" s="81">
        <v>2109176.0769000347</v>
      </c>
      <c r="H256" s="81">
        <v>406568.7159988608</v>
      </c>
      <c r="I256" s="156">
        <v>4229472.940935682</v>
      </c>
      <c r="J256" s="156">
        <v>837688.6127890903</v>
      </c>
      <c r="K256" s="81">
        <v>202372.6275527206</v>
      </c>
      <c r="L256" s="81">
        <v>-1415630</v>
      </c>
      <c r="M256" s="82">
        <v>-220000</v>
      </c>
      <c r="N256" s="82">
        <v>86118.50494994022</v>
      </c>
      <c r="O256" s="214">
        <f t="shared" si="54"/>
        <v>-1689575.0370600931</v>
      </c>
      <c r="P256" s="215">
        <f t="shared" si="55"/>
        <v>-275.44425123248993</v>
      </c>
      <c r="Q256" s="81"/>
      <c r="R256" s="223">
        <v>36981056</v>
      </c>
      <c r="S256" s="156">
        <v>27252459.46</v>
      </c>
      <c r="T256" s="156">
        <v>609853.0739982912</v>
      </c>
      <c r="U256" s="156">
        <v>5160027.3058324205</v>
      </c>
      <c r="V256" s="156">
        <v>2444045.2600310873</v>
      </c>
      <c r="W256" s="156">
        <v>473546.0769000347</v>
      </c>
      <c r="X256" s="214">
        <f t="shared" si="56"/>
        <v>-1041124.8232381642</v>
      </c>
      <c r="Y256" s="215">
        <f t="shared" si="57"/>
        <v>-169.73016355366224</v>
      </c>
      <c r="Z256" s="81"/>
      <c r="AA256" s="94">
        <f t="shared" si="58"/>
        <v>-648450.213821929</v>
      </c>
      <c r="AB256" s="153">
        <f t="shared" si="59"/>
        <v>-105.71408767882767</v>
      </c>
      <c r="AD256" s="216">
        <v>673779.15864877</v>
      </c>
      <c r="AE256" s="224">
        <v>568727.3650313654</v>
      </c>
      <c r="AF256" s="224">
        <v>471080.06050317676</v>
      </c>
      <c r="AG256" s="224">
        <v>380239.6896441664</v>
      </c>
      <c r="AH256" s="225">
        <v>289523.28007071157</v>
      </c>
      <c r="AJ256" s="81">
        <f t="shared" si="60"/>
        <v>16278599.46</v>
      </c>
      <c r="AK256" s="81">
        <f t="shared" si="61"/>
        <v>203284.3579994304</v>
      </c>
      <c r="AL256" s="81">
        <f t="shared" si="62"/>
        <v>930554.3648967389</v>
      </c>
      <c r="AM256" s="81">
        <f t="shared" si="63"/>
        <v>18081853.48381358</v>
      </c>
      <c r="AN256" s="81">
        <f t="shared" si="64"/>
        <v>673779.15864877</v>
      </c>
      <c r="AO256" s="81">
        <f t="shared" si="65"/>
        <v>568727.3650313654</v>
      </c>
      <c r="AP256" s="81">
        <f t="shared" si="66"/>
        <v>471080.06050317676</v>
      </c>
      <c r="AQ256" s="81">
        <f t="shared" si="67"/>
        <v>380239.6896441664</v>
      </c>
      <c r="AR256" s="81">
        <f t="shared" si="68"/>
        <v>289523.28007071157</v>
      </c>
      <c r="AS256" s="82">
        <v>2268</v>
      </c>
      <c r="AT256" s="82">
        <v>28</v>
      </c>
      <c r="AU256" s="82">
        <v>1</v>
      </c>
      <c r="AV256" s="82">
        <f t="shared" si="69"/>
        <v>29</v>
      </c>
      <c r="AW256" s="82">
        <v>1510.8133622305836</v>
      </c>
      <c r="AX256" s="149">
        <v>1043.8713917958994</v>
      </c>
      <c r="AY256" s="81">
        <f t="shared" si="70"/>
        <v>-1606356.647241997</v>
      </c>
      <c r="AZ256" s="409"/>
      <c r="BA256" s="81"/>
      <c r="BB256" s="81"/>
      <c r="BC256" s="81"/>
      <c r="BD256" s="81"/>
      <c r="BE256" s="81"/>
      <c r="BF256" s="81"/>
      <c r="BG256" s="81"/>
    </row>
    <row r="257" spans="1:59" ht="12.75">
      <c r="A257" s="81">
        <v>758</v>
      </c>
      <c r="B257" s="81" t="s">
        <v>375</v>
      </c>
      <c r="C257" s="81">
        <v>19</v>
      </c>
      <c r="D257" s="81">
        <v>8444</v>
      </c>
      <c r="E257" s="100">
        <v>28238176.846853077</v>
      </c>
      <c r="F257" s="81">
        <v>11289832</v>
      </c>
      <c r="G257" s="81">
        <v>7559940.864029346</v>
      </c>
      <c r="H257" s="81">
        <v>2578500.038884493</v>
      </c>
      <c r="I257" s="156">
        <v>8653724.886688786</v>
      </c>
      <c r="J257" s="156">
        <v>1438785.1934379544</v>
      </c>
      <c r="K257" s="81">
        <v>-3220356.8530562622</v>
      </c>
      <c r="L257" s="81">
        <v>-881735</v>
      </c>
      <c r="M257" s="82">
        <v>1042700</v>
      </c>
      <c r="N257" s="82">
        <v>97419.12155861143</v>
      </c>
      <c r="O257" s="214">
        <f t="shared" si="54"/>
        <v>320633.4046898484</v>
      </c>
      <c r="P257" s="215">
        <f t="shared" si="55"/>
        <v>37.971743805050735</v>
      </c>
      <c r="Q257" s="81"/>
      <c r="R257" s="223">
        <v>70316428</v>
      </c>
      <c r="S257" s="156">
        <v>28645246.61</v>
      </c>
      <c r="T257" s="156">
        <v>3867750.0583267394</v>
      </c>
      <c r="U257" s="156">
        <v>24791501.949291337</v>
      </c>
      <c r="V257" s="156">
        <v>4342958.709508486</v>
      </c>
      <c r="W257" s="156">
        <v>7720905.864029346</v>
      </c>
      <c r="X257" s="214">
        <f t="shared" si="56"/>
        <v>-948064.8088440895</v>
      </c>
      <c r="Y257" s="215">
        <f t="shared" si="57"/>
        <v>-112.27674192848052</v>
      </c>
      <c r="Z257" s="81"/>
      <c r="AA257" s="94">
        <f t="shared" si="58"/>
        <v>1268698.213533938</v>
      </c>
      <c r="AB257" s="153">
        <f t="shared" si="59"/>
        <v>150.24848573353125</v>
      </c>
      <c r="AD257" s="216">
        <v>-1233830.6540103322</v>
      </c>
      <c r="AE257" s="224">
        <v>-1125123.850180101</v>
      </c>
      <c r="AF257" s="224">
        <v>-1006224.1044083412</v>
      </c>
      <c r="AG257" s="224">
        <v>-877954.0052126261</v>
      </c>
      <c r="AH257" s="225">
        <v>-749513.2622126674</v>
      </c>
      <c r="AJ257" s="81">
        <f t="shared" si="60"/>
        <v>17355414.61</v>
      </c>
      <c r="AK257" s="81">
        <f t="shared" si="61"/>
        <v>1289250.0194422463</v>
      </c>
      <c r="AL257" s="81">
        <f t="shared" si="62"/>
        <v>16137777.062602552</v>
      </c>
      <c r="AM257" s="81">
        <f t="shared" si="63"/>
        <v>42078251.15314692</v>
      </c>
      <c r="AN257" s="81">
        <f t="shared" si="64"/>
        <v>-1233830.6540103322</v>
      </c>
      <c r="AO257" s="81">
        <f t="shared" si="65"/>
        <v>-1125123.850180101</v>
      </c>
      <c r="AP257" s="81">
        <f t="shared" si="66"/>
        <v>-1006224.1044083412</v>
      </c>
      <c r="AQ257" s="81">
        <f t="shared" si="67"/>
        <v>-877954.0052126261</v>
      </c>
      <c r="AR257" s="81">
        <f t="shared" si="68"/>
        <v>-749513.2622126674</v>
      </c>
      <c r="AS257" s="82">
        <v>4377</v>
      </c>
      <c r="AT257" s="82">
        <v>154</v>
      </c>
      <c r="AU257" s="82">
        <v>102</v>
      </c>
      <c r="AV257" s="82">
        <f t="shared" si="69"/>
        <v>256</v>
      </c>
      <c r="AW257" s="82">
        <v>14272.153468709183</v>
      </c>
      <c r="AX257" s="149">
        <v>-1056.140350662811</v>
      </c>
      <c r="AY257" s="81">
        <f t="shared" si="70"/>
        <v>-2904173.5160705317</v>
      </c>
      <c r="AZ257" s="409"/>
      <c r="BA257" s="81"/>
      <c r="BB257" s="81"/>
      <c r="BC257" s="81"/>
      <c r="BD257" s="81"/>
      <c r="BE257" s="81"/>
      <c r="BF257" s="81"/>
      <c r="BG257" s="81"/>
    </row>
    <row r="258" spans="1:59" ht="12.75">
      <c r="A258" s="81">
        <v>759</v>
      </c>
      <c r="B258" s="81" t="s">
        <v>376</v>
      </c>
      <c r="C258" s="81">
        <v>14</v>
      </c>
      <c r="D258" s="81">
        <v>2085</v>
      </c>
      <c r="E258" s="100">
        <v>5052243.810800815</v>
      </c>
      <c r="F258" s="81">
        <v>2104370</v>
      </c>
      <c r="G258" s="81">
        <v>522369.3096893058</v>
      </c>
      <c r="H258" s="81">
        <v>428285.6477843328</v>
      </c>
      <c r="I258" s="156">
        <v>2197324.367231674</v>
      </c>
      <c r="J258" s="156">
        <v>427058.4528567259</v>
      </c>
      <c r="K258" s="81">
        <v>-187106.76282646094</v>
      </c>
      <c r="L258" s="81">
        <v>-485087</v>
      </c>
      <c r="M258" s="82">
        <v>-34900</v>
      </c>
      <c r="N258" s="82">
        <v>15818.110363297872</v>
      </c>
      <c r="O258" s="214">
        <f t="shared" si="54"/>
        <v>-64111.68570194021</v>
      </c>
      <c r="P258" s="215">
        <f t="shared" si="55"/>
        <v>-30.74900992898811</v>
      </c>
      <c r="Q258" s="81"/>
      <c r="R258" s="223">
        <v>14433552</v>
      </c>
      <c r="S258" s="156">
        <v>4917593.4475</v>
      </c>
      <c r="T258" s="156">
        <v>642428.4716764992</v>
      </c>
      <c r="U258" s="156">
        <v>7123350.067702209</v>
      </c>
      <c r="V258" s="156">
        <v>1353365.7547547244</v>
      </c>
      <c r="W258" s="156">
        <v>2382.309689305781</v>
      </c>
      <c r="X258" s="214">
        <f t="shared" si="56"/>
        <v>-394431.9486772623</v>
      </c>
      <c r="Y258" s="215">
        <f t="shared" si="57"/>
        <v>-189.17599456943034</v>
      </c>
      <c r="Z258" s="81"/>
      <c r="AA258" s="94">
        <f t="shared" si="58"/>
        <v>330320.2629753221</v>
      </c>
      <c r="AB258" s="153">
        <f t="shared" si="59"/>
        <v>158.42698464044224</v>
      </c>
      <c r="AD258" s="216">
        <v>-321710.73412563786</v>
      </c>
      <c r="AE258" s="224">
        <v>-294868.75331251236</v>
      </c>
      <c r="AF258" s="224">
        <v>-265509.92219762376</v>
      </c>
      <c r="AG258" s="224">
        <v>-233837.3550703066</v>
      </c>
      <c r="AH258" s="225">
        <v>-202122.65242287482</v>
      </c>
      <c r="AJ258" s="81">
        <f t="shared" si="60"/>
        <v>2813223.4475</v>
      </c>
      <c r="AK258" s="81">
        <f t="shared" si="61"/>
        <v>214142.82389216643</v>
      </c>
      <c r="AL258" s="81">
        <f t="shared" si="62"/>
        <v>4926025.700470535</v>
      </c>
      <c r="AM258" s="81">
        <f t="shared" si="63"/>
        <v>9381308.189199185</v>
      </c>
      <c r="AN258" s="81">
        <f t="shared" si="64"/>
        <v>-321710.73412563786</v>
      </c>
      <c r="AO258" s="81">
        <f t="shared" si="65"/>
        <v>-294868.75331251236</v>
      </c>
      <c r="AP258" s="81">
        <f t="shared" si="66"/>
        <v>-265509.92219762376</v>
      </c>
      <c r="AQ258" s="81">
        <f t="shared" si="67"/>
        <v>-233837.3550703066</v>
      </c>
      <c r="AR258" s="81">
        <f t="shared" si="68"/>
        <v>-202122.65242287482</v>
      </c>
      <c r="AS258" s="82">
        <v>490</v>
      </c>
      <c r="AT258" s="82"/>
      <c r="AU258" s="82"/>
      <c r="AV258" s="82">
        <f t="shared" si="69"/>
        <v>0</v>
      </c>
      <c r="AW258" s="82">
        <v>3846.5474232333895</v>
      </c>
      <c r="AX258" s="149">
        <v>-1302.0298703312646</v>
      </c>
      <c r="AY258" s="81">
        <f t="shared" si="70"/>
        <v>-926307.3018979985</v>
      </c>
      <c r="AZ258" s="409"/>
      <c r="BA258" s="81"/>
      <c r="BB258" s="81"/>
      <c r="BC258" s="81"/>
      <c r="BD258" s="81"/>
      <c r="BE258" s="81"/>
      <c r="BF258" s="81"/>
      <c r="BG258" s="81"/>
    </row>
    <row r="259" spans="1:59" ht="12.75">
      <c r="A259" s="81">
        <v>761</v>
      </c>
      <c r="B259" s="81" t="s">
        <v>377</v>
      </c>
      <c r="C259" s="81">
        <v>2</v>
      </c>
      <c r="D259" s="81">
        <v>8828</v>
      </c>
      <c r="E259" s="100">
        <v>20906852.05908104</v>
      </c>
      <c r="F259" s="81">
        <v>9722833</v>
      </c>
      <c r="G259" s="81">
        <v>1641354.9767740099</v>
      </c>
      <c r="H259" s="81">
        <v>889748.3511788256</v>
      </c>
      <c r="I259" s="156">
        <v>5625359.915163936</v>
      </c>
      <c r="J259" s="156">
        <v>1616982.507079822</v>
      </c>
      <c r="K259" s="81">
        <v>391326.5878037789</v>
      </c>
      <c r="L259" s="81">
        <v>-264496</v>
      </c>
      <c r="M259" s="82">
        <v>900</v>
      </c>
      <c r="N259" s="82">
        <v>84160.73066675631</v>
      </c>
      <c r="O259" s="214">
        <f t="shared" si="54"/>
        <v>-1198681.9904139116</v>
      </c>
      <c r="P259" s="215">
        <f t="shared" si="55"/>
        <v>-135.7818294533203</v>
      </c>
      <c r="Q259" s="81"/>
      <c r="R259" s="223">
        <v>57364356</v>
      </c>
      <c r="S259" s="156">
        <v>25385151.88</v>
      </c>
      <c r="T259" s="156">
        <v>1334622.5267682383</v>
      </c>
      <c r="U259" s="156">
        <v>23375686.553684186</v>
      </c>
      <c r="V259" s="156">
        <v>5063880.989517564</v>
      </c>
      <c r="W259" s="156">
        <v>1377758.9767740099</v>
      </c>
      <c r="X259" s="214">
        <f t="shared" si="56"/>
        <v>-827255.0732560009</v>
      </c>
      <c r="Y259" s="215">
        <f t="shared" si="57"/>
        <v>-93.70809620027197</v>
      </c>
      <c r="Z259" s="81"/>
      <c r="AA259" s="94">
        <f t="shared" si="58"/>
        <v>-371426.91715791076</v>
      </c>
      <c r="AB259" s="153">
        <f t="shared" si="59"/>
        <v>-42.073733253048346</v>
      </c>
      <c r="AD259" s="216">
        <v>407880.1165272139</v>
      </c>
      <c r="AE259" s="224">
        <v>256690.47941367514</v>
      </c>
      <c r="AF259" s="224">
        <v>116157.31926127059</v>
      </c>
      <c r="AG259" s="224">
        <v>11253.722295192536</v>
      </c>
      <c r="AH259" s="225">
        <v>13115.446502160396</v>
      </c>
      <c r="AJ259" s="81">
        <f t="shared" si="60"/>
        <v>15662318.879999999</v>
      </c>
      <c r="AK259" s="81">
        <f t="shared" si="61"/>
        <v>444874.1755894127</v>
      </c>
      <c r="AL259" s="81">
        <f t="shared" si="62"/>
        <v>17750326.63852025</v>
      </c>
      <c r="AM259" s="81">
        <f t="shared" si="63"/>
        <v>36457503.94091896</v>
      </c>
      <c r="AN259" s="81">
        <f t="shared" si="64"/>
        <v>407880.1165272139</v>
      </c>
      <c r="AO259" s="81">
        <f t="shared" si="65"/>
        <v>256690.47941367514</v>
      </c>
      <c r="AP259" s="81">
        <f t="shared" si="66"/>
        <v>116157.31926127059</v>
      </c>
      <c r="AQ259" s="81">
        <f t="shared" si="67"/>
        <v>11253.722295192536</v>
      </c>
      <c r="AR259" s="81">
        <f t="shared" si="68"/>
        <v>13115.446502160396</v>
      </c>
      <c r="AS259" s="82">
        <v>3283</v>
      </c>
      <c r="AT259" s="82">
        <v>186</v>
      </c>
      <c r="AU259" s="82"/>
      <c r="AV259" s="82">
        <f t="shared" si="69"/>
        <v>186</v>
      </c>
      <c r="AW259" s="82">
        <v>14537.857854769587</v>
      </c>
      <c r="AX259" s="149">
        <v>-3173.7746279791654</v>
      </c>
      <c r="AY259" s="81">
        <f t="shared" si="70"/>
        <v>-3446898.482437742</v>
      </c>
      <c r="AZ259" s="409"/>
      <c r="BA259" s="81"/>
      <c r="BB259" s="81"/>
      <c r="BC259" s="81"/>
      <c r="BD259" s="81"/>
      <c r="BE259" s="81"/>
      <c r="BF259" s="81"/>
      <c r="BG259" s="81"/>
    </row>
    <row r="260" spans="1:59" ht="12.75">
      <c r="A260" s="81">
        <v>762</v>
      </c>
      <c r="B260" s="81" t="s">
        <v>378</v>
      </c>
      <c r="C260" s="81">
        <v>11</v>
      </c>
      <c r="D260" s="81">
        <v>3967</v>
      </c>
      <c r="E260" s="100">
        <v>9985783.190651976</v>
      </c>
      <c r="F260" s="81">
        <v>4133416</v>
      </c>
      <c r="G260" s="81">
        <v>841659.0623317844</v>
      </c>
      <c r="H260" s="81">
        <v>1638342.026898192</v>
      </c>
      <c r="I260" s="156">
        <v>2749355.3471969175</v>
      </c>
      <c r="J260" s="156">
        <v>783833.9397759924</v>
      </c>
      <c r="K260" s="81">
        <v>550536.2026004193</v>
      </c>
      <c r="L260" s="81">
        <v>-40628</v>
      </c>
      <c r="M260" s="82">
        <v>-26890</v>
      </c>
      <c r="N260" s="82">
        <v>35380.62229687948</v>
      </c>
      <c r="O260" s="214">
        <f t="shared" si="54"/>
        <v>679222.0104482099</v>
      </c>
      <c r="P260" s="215">
        <f t="shared" si="55"/>
        <v>171.21805153723466</v>
      </c>
      <c r="Q260" s="81"/>
      <c r="R260" s="223">
        <v>28626752</v>
      </c>
      <c r="S260" s="156">
        <v>10085603.9</v>
      </c>
      <c r="T260" s="156">
        <v>2457513.040347288</v>
      </c>
      <c r="U260" s="156">
        <v>13752990.05315273</v>
      </c>
      <c r="V260" s="156">
        <v>2460549.499628583</v>
      </c>
      <c r="W260" s="156">
        <v>774141.0623317844</v>
      </c>
      <c r="X260" s="214">
        <f t="shared" si="56"/>
        <v>904045.555460386</v>
      </c>
      <c r="Y260" s="215">
        <f t="shared" si="57"/>
        <v>227.89149368802268</v>
      </c>
      <c r="Z260" s="81"/>
      <c r="AA260" s="94">
        <f t="shared" si="58"/>
        <v>-224823.54501217604</v>
      </c>
      <c r="AB260" s="153">
        <f t="shared" si="59"/>
        <v>-56.67344215078801</v>
      </c>
      <c r="AD260" s="216">
        <v>241204.36081394574</v>
      </c>
      <c r="AE260" s="224">
        <v>173264.9305432832</v>
      </c>
      <c r="AF260" s="224">
        <v>110114.15501942855</v>
      </c>
      <c r="AG260" s="224">
        <v>51365.581299556674</v>
      </c>
      <c r="AH260" s="225">
        <v>5893.631204584311</v>
      </c>
      <c r="AJ260" s="81">
        <f t="shared" si="60"/>
        <v>5952187.9</v>
      </c>
      <c r="AK260" s="81">
        <f t="shared" si="61"/>
        <v>819171.0134490959</v>
      </c>
      <c r="AL260" s="81">
        <f t="shared" si="62"/>
        <v>11003634.705955813</v>
      </c>
      <c r="AM260" s="81">
        <f t="shared" si="63"/>
        <v>18640968.809348024</v>
      </c>
      <c r="AN260" s="81">
        <f t="shared" si="64"/>
        <v>241204.36081394574</v>
      </c>
      <c r="AO260" s="81">
        <f t="shared" si="65"/>
        <v>173264.9305432832</v>
      </c>
      <c r="AP260" s="81">
        <f t="shared" si="66"/>
        <v>110114.15501942855</v>
      </c>
      <c r="AQ260" s="81">
        <f t="shared" si="67"/>
        <v>51365.581299556674</v>
      </c>
      <c r="AR260" s="81">
        <f t="shared" si="68"/>
        <v>5893.631204584311</v>
      </c>
      <c r="AS260" s="82">
        <v>1279</v>
      </c>
      <c r="AT260" s="82"/>
      <c r="AU260" s="82"/>
      <c r="AV260" s="82">
        <f t="shared" si="69"/>
        <v>0</v>
      </c>
      <c r="AW260" s="82">
        <v>9327.319886317793</v>
      </c>
      <c r="AX260" s="149">
        <v>-1850.8015993025351</v>
      </c>
      <c r="AY260" s="81">
        <f t="shared" si="70"/>
        <v>-1676715.5598525906</v>
      </c>
      <c r="AZ260" s="409"/>
      <c r="BA260" s="81"/>
      <c r="BB260" s="81"/>
      <c r="BC260" s="81"/>
      <c r="BD260" s="81"/>
      <c r="BE260" s="81"/>
      <c r="BF260" s="81"/>
      <c r="BG260" s="81"/>
    </row>
    <row r="261" spans="1:59" ht="12.75">
      <c r="A261" s="81">
        <v>765</v>
      </c>
      <c r="B261" s="81" t="s">
        <v>379</v>
      </c>
      <c r="C261" s="81">
        <v>18</v>
      </c>
      <c r="D261" s="81">
        <v>10389</v>
      </c>
      <c r="E261" s="100">
        <v>30576285.138314873</v>
      </c>
      <c r="F261" s="81">
        <v>11097078</v>
      </c>
      <c r="G261" s="81">
        <v>3896094.8013195074</v>
      </c>
      <c r="H261" s="81">
        <v>2042022.0978688607</v>
      </c>
      <c r="I261" s="156">
        <v>7313930.697751099</v>
      </c>
      <c r="J261" s="156">
        <v>1719499.1338885715</v>
      </c>
      <c r="K261" s="81">
        <v>-2820687.5986599997</v>
      </c>
      <c r="L261" s="81">
        <v>671330</v>
      </c>
      <c r="M261" s="82">
        <v>1367000</v>
      </c>
      <c r="N261" s="82">
        <v>110272.59040294653</v>
      </c>
      <c r="O261" s="214">
        <f t="shared" si="54"/>
        <v>-5179745.415743887</v>
      </c>
      <c r="P261" s="215">
        <f t="shared" si="55"/>
        <v>-498.57978782788405</v>
      </c>
      <c r="Q261" s="81"/>
      <c r="R261" s="223">
        <v>75779256</v>
      </c>
      <c r="S261" s="156">
        <v>31180706.707500003</v>
      </c>
      <c r="T261" s="156">
        <v>3063033.146803291</v>
      </c>
      <c r="U261" s="156">
        <v>23898101.029724903</v>
      </c>
      <c r="V261" s="156">
        <v>5289899.317198232</v>
      </c>
      <c r="W261" s="156">
        <v>5934424.801319508</v>
      </c>
      <c r="X261" s="214">
        <f t="shared" si="56"/>
        <v>-6413090.997454062</v>
      </c>
      <c r="Y261" s="215">
        <f t="shared" si="57"/>
        <v>-617.2962746610898</v>
      </c>
      <c r="Z261" s="81"/>
      <c r="AA261" s="94">
        <f t="shared" si="58"/>
        <v>1233345.5817101747</v>
      </c>
      <c r="AB261" s="153">
        <f t="shared" si="59"/>
        <v>118.71648683320576</v>
      </c>
      <c r="AD261" s="216">
        <v>-1190446.591197288</v>
      </c>
      <c r="AE261" s="224">
        <v>-1056700.1457931816</v>
      </c>
      <c r="AF261" s="224">
        <v>-910412.9052883483</v>
      </c>
      <c r="AG261" s="224">
        <v>-752596.9341201478</v>
      </c>
      <c r="AH261" s="225">
        <v>-594571.012871146</v>
      </c>
      <c r="AJ261" s="81">
        <f t="shared" si="60"/>
        <v>20083628.707500003</v>
      </c>
      <c r="AK261" s="81">
        <f t="shared" si="61"/>
        <v>1021011.0489344303</v>
      </c>
      <c r="AL261" s="81">
        <f t="shared" si="62"/>
        <v>16584170.331973804</v>
      </c>
      <c r="AM261" s="81">
        <f t="shared" si="63"/>
        <v>45202970.86168513</v>
      </c>
      <c r="AN261" s="81">
        <f t="shared" si="64"/>
        <v>-1190446.591197288</v>
      </c>
      <c r="AO261" s="81">
        <f t="shared" si="65"/>
        <v>-1056700.1457931816</v>
      </c>
      <c r="AP261" s="81">
        <f t="shared" si="66"/>
        <v>-910412.9052883483</v>
      </c>
      <c r="AQ261" s="81">
        <f t="shared" si="67"/>
        <v>-752596.9341201478</v>
      </c>
      <c r="AR261" s="81">
        <f t="shared" si="68"/>
        <v>-594571.012871146</v>
      </c>
      <c r="AS261" s="82">
        <v>2781</v>
      </c>
      <c r="AT261" s="82"/>
      <c r="AU261" s="82"/>
      <c r="AV261" s="82">
        <f t="shared" si="69"/>
        <v>0</v>
      </c>
      <c r="AW261" s="82">
        <v>14000.095648225635</v>
      </c>
      <c r="AX261" s="149">
        <v>-2021.5147334693113</v>
      </c>
      <c r="AY261" s="81">
        <f t="shared" si="70"/>
        <v>-3570400.1833096603</v>
      </c>
      <c r="AZ261" s="409"/>
      <c r="BA261" s="81"/>
      <c r="BB261" s="81"/>
      <c r="BC261" s="81"/>
      <c r="BD261" s="81"/>
      <c r="BE261" s="81"/>
      <c r="BF261" s="81"/>
      <c r="BG261" s="81"/>
    </row>
    <row r="262" spans="1:59" ht="12.75">
      <c r="A262" s="81">
        <v>768</v>
      </c>
      <c r="B262" s="81" t="s">
        <v>380</v>
      </c>
      <c r="C262" s="81">
        <v>11</v>
      </c>
      <c r="D262" s="81">
        <v>2530</v>
      </c>
      <c r="E262" s="100">
        <v>6717652.874978354</v>
      </c>
      <c r="F262" s="81">
        <v>2655666</v>
      </c>
      <c r="G262" s="81">
        <v>909122.5488511345</v>
      </c>
      <c r="H262" s="81">
        <v>895949.1488832192</v>
      </c>
      <c r="I262" s="156">
        <v>1826913.2430950499</v>
      </c>
      <c r="J262" s="156">
        <v>525646.0579532401</v>
      </c>
      <c r="K262" s="81">
        <v>21925.328396808225</v>
      </c>
      <c r="L262" s="81">
        <v>375004</v>
      </c>
      <c r="M262" s="82">
        <v>138020</v>
      </c>
      <c r="N262" s="82">
        <v>21759.52021914695</v>
      </c>
      <c r="O262" s="214">
        <f t="shared" si="54"/>
        <v>652352.9724202454</v>
      </c>
      <c r="P262" s="215">
        <f t="shared" si="55"/>
        <v>257.84702467203374</v>
      </c>
      <c r="Q262" s="81"/>
      <c r="R262" s="223">
        <v>19603192</v>
      </c>
      <c r="S262" s="156">
        <v>6372160.89</v>
      </c>
      <c r="T262" s="156">
        <v>1343923.7233248288</v>
      </c>
      <c r="U262" s="156">
        <v>9808651.041477965</v>
      </c>
      <c r="V262" s="156">
        <v>1654526.0600110865</v>
      </c>
      <c r="W262" s="156">
        <v>1422146.5488511345</v>
      </c>
      <c r="X262" s="214">
        <f t="shared" si="56"/>
        <v>998216.2636650167</v>
      </c>
      <c r="Y262" s="215">
        <f t="shared" si="57"/>
        <v>394.5518828715481</v>
      </c>
      <c r="Z262" s="81"/>
      <c r="AA262" s="94">
        <f t="shared" si="58"/>
        <v>-345863.29124477133</v>
      </c>
      <c r="AB262" s="153">
        <f t="shared" si="59"/>
        <v>-136.70485819951435</v>
      </c>
      <c r="AD262" s="216">
        <v>356310.3454364717</v>
      </c>
      <c r="AE262" s="224">
        <v>312981.19026007236</v>
      </c>
      <c r="AF262" s="224">
        <v>272706.0548743017</v>
      </c>
      <c r="AG262" s="224">
        <v>235238.47445804864</v>
      </c>
      <c r="AH262" s="225">
        <v>197822.02251464454</v>
      </c>
      <c r="AJ262" s="81">
        <f t="shared" si="60"/>
        <v>3716494.8899999997</v>
      </c>
      <c r="AK262" s="81">
        <f t="shared" si="61"/>
        <v>447974.57444160955</v>
      </c>
      <c r="AL262" s="81">
        <f t="shared" si="62"/>
        <v>7981737.798382916</v>
      </c>
      <c r="AM262" s="81">
        <f t="shared" si="63"/>
        <v>12885539.125021646</v>
      </c>
      <c r="AN262" s="81">
        <f t="shared" si="64"/>
        <v>356310.3454364717</v>
      </c>
      <c r="AO262" s="81">
        <f t="shared" si="65"/>
        <v>312981.19026007236</v>
      </c>
      <c r="AP262" s="81">
        <f t="shared" si="66"/>
        <v>272706.0548743017</v>
      </c>
      <c r="AQ262" s="81">
        <f t="shared" si="67"/>
        <v>235238.47445804864</v>
      </c>
      <c r="AR262" s="81">
        <f t="shared" si="68"/>
        <v>197822.02251464454</v>
      </c>
      <c r="AS262" s="82">
        <v>560</v>
      </c>
      <c r="AT262" s="82">
        <v>112</v>
      </c>
      <c r="AU262" s="82">
        <v>33</v>
      </c>
      <c r="AV262" s="82">
        <f t="shared" si="69"/>
        <v>145</v>
      </c>
      <c r="AW262" s="82">
        <v>6361.181217993387</v>
      </c>
      <c r="AX262" s="149">
        <v>-1309.901064511386</v>
      </c>
      <c r="AY262" s="81">
        <f t="shared" si="70"/>
        <v>-1128880.0020578464</v>
      </c>
      <c r="AZ262" s="409"/>
      <c r="BA262" s="81"/>
      <c r="BB262" s="81"/>
      <c r="BC262" s="81"/>
      <c r="BD262" s="81"/>
      <c r="BE262" s="81"/>
      <c r="BF262" s="81"/>
      <c r="BG262" s="81"/>
    </row>
    <row r="263" spans="1:59" ht="12.75">
      <c r="A263" s="81">
        <v>777</v>
      </c>
      <c r="B263" s="81" t="s">
        <v>381</v>
      </c>
      <c r="C263" s="81">
        <v>18</v>
      </c>
      <c r="D263" s="81">
        <v>7862</v>
      </c>
      <c r="E263" s="100">
        <v>20512473.8002102</v>
      </c>
      <c r="F263" s="81">
        <v>9146968</v>
      </c>
      <c r="G263" s="81">
        <v>2909443.6150014885</v>
      </c>
      <c r="H263" s="81">
        <v>1760753.369013408</v>
      </c>
      <c r="I263" s="156">
        <v>6966965.406845442</v>
      </c>
      <c r="J263" s="156">
        <v>1443532.1838249913</v>
      </c>
      <c r="K263" s="81">
        <v>-2068278.0152844314</v>
      </c>
      <c r="L263" s="81">
        <v>-374208</v>
      </c>
      <c r="M263" s="82">
        <v>-170000</v>
      </c>
      <c r="N263" s="82">
        <v>71701.64305181814</v>
      </c>
      <c r="O263" s="214">
        <f t="shared" si="54"/>
        <v>-825595.597757481</v>
      </c>
      <c r="P263" s="215">
        <f t="shared" si="55"/>
        <v>-105.01088752957021</v>
      </c>
      <c r="Q263" s="81"/>
      <c r="R263" s="223">
        <v>62464584</v>
      </c>
      <c r="S263" s="156">
        <v>21989288.325</v>
      </c>
      <c r="T263" s="156">
        <v>2641130.053520112</v>
      </c>
      <c r="U263" s="156">
        <v>29247170.521467797</v>
      </c>
      <c r="V263" s="156">
        <v>4498842.720005295</v>
      </c>
      <c r="W263" s="156">
        <v>2365235.6150014885</v>
      </c>
      <c r="X263" s="214">
        <f t="shared" si="56"/>
        <v>-1722916.7650053054</v>
      </c>
      <c r="Y263" s="215">
        <f t="shared" si="57"/>
        <v>-219.14484418790454</v>
      </c>
      <c r="Z263" s="81"/>
      <c r="AA263" s="94">
        <f t="shared" si="58"/>
        <v>897321.1672478244</v>
      </c>
      <c r="AB263" s="153">
        <f t="shared" si="59"/>
        <v>114.13395665833431</v>
      </c>
      <c r="AD263" s="216">
        <v>-864856.8431153422</v>
      </c>
      <c r="AE263" s="224">
        <v>-763642.6209797104</v>
      </c>
      <c r="AF263" s="224">
        <v>-652938.0021666388</v>
      </c>
      <c r="AG263" s="224">
        <v>-533508.8785431533</v>
      </c>
      <c r="AH263" s="225">
        <v>-413920.87268506753</v>
      </c>
      <c r="AJ263" s="81">
        <f t="shared" si="60"/>
        <v>12842320.325</v>
      </c>
      <c r="AK263" s="81">
        <f t="shared" si="61"/>
        <v>880376.6845067039</v>
      </c>
      <c r="AL263" s="81">
        <f t="shared" si="62"/>
        <v>22280205.114622355</v>
      </c>
      <c r="AM263" s="81">
        <f t="shared" si="63"/>
        <v>41952110.1997898</v>
      </c>
      <c r="AN263" s="81">
        <f t="shared" si="64"/>
        <v>-864856.8431153422</v>
      </c>
      <c r="AO263" s="81">
        <f t="shared" si="65"/>
        <v>-763642.6209797104</v>
      </c>
      <c r="AP263" s="81">
        <f t="shared" si="66"/>
        <v>-652938.0021666388</v>
      </c>
      <c r="AQ263" s="81">
        <f t="shared" si="67"/>
        <v>-533508.8785431533</v>
      </c>
      <c r="AR263" s="81">
        <f t="shared" si="68"/>
        <v>-413920.87268506753</v>
      </c>
      <c r="AS263" s="82">
        <v>3958</v>
      </c>
      <c r="AT263" s="82">
        <v>4</v>
      </c>
      <c r="AU263" s="82"/>
      <c r="AV263" s="82">
        <f t="shared" si="69"/>
        <v>4</v>
      </c>
      <c r="AW263" s="82">
        <v>18475.120439397353</v>
      </c>
      <c r="AX263" s="149">
        <v>-3387.5402257069027</v>
      </c>
      <c r="AY263" s="81">
        <f t="shared" si="70"/>
        <v>-3055310.536180304</v>
      </c>
      <c r="AZ263" s="409"/>
      <c r="BA263" s="81"/>
      <c r="BB263" s="81"/>
      <c r="BC263" s="81"/>
      <c r="BD263" s="81"/>
      <c r="BE263" s="81"/>
      <c r="BF263" s="81"/>
      <c r="BG263" s="81"/>
    </row>
    <row r="264" spans="1:59" ht="12.75">
      <c r="A264" s="81">
        <v>778</v>
      </c>
      <c r="B264" s="81" t="s">
        <v>382</v>
      </c>
      <c r="C264" s="81">
        <v>11</v>
      </c>
      <c r="D264" s="81">
        <v>7145</v>
      </c>
      <c r="E264" s="100">
        <v>17898353.238568656</v>
      </c>
      <c r="F264" s="81">
        <v>8805550</v>
      </c>
      <c r="G264" s="81">
        <v>1705056.853857825</v>
      </c>
      <c r="H264" s="81">
        <v>1141392.8402731009</v>
      </c>
      <c r="I264" s="156">
        <v>4499057.422528918</v>
      </c>
      <c r="J264" s="156">
        <v>1242558.7442457774</v>
      </c>
      <c r="K264" s="81">
        <v>-437361.9156037239</v>
      </c>
      <c r="L264" s="81">
        <v>28335</v>
      </c>
      <c r="M264" s="82">
        <v>150000</v>
      </c>
      <c r="N264" s="82">
        <v>65879.54028013043</v>
      </c>
      <c r="O264" s="214">
        <f t="shared" si="54"/>
        <v>-697884.7529866286</v>
      </c>
      <c r="P264" s="215">
        <f t="shared" si="55"/>
        <v>-97.67456304921323</v>
      </c>
      <c r="Q264" s="81"/>
      <c r="R264" s="223">
        <v>52028956</v>
      </c>
      <c r="S264" s="156">
        <v>20843281.1125</v>
      </c>
      <c r="T264" s="156">
        <v>1712089.260409651</v>
      </c>
      <c r="U264" s="156">
        <v>22677631.41575772</v>
      </c>
      <c r="V264" s="156">
        <v>3859713.7239989885</v>
      </c>
      <c r="W264" s="156">
        <v>1883391.853857825</v>
      </c>
      <c r="X264" s="214">
        <f t="shared" si="56"/>
        <v>-1052848.6334758177</v>
      </c>
      <c r="Y264" s="215">
        <f t="shared" si="57"/>
        <v>-147.3546023059227</v>
      </c>
      <c r="Z264" s="81"/>
      <c r="AA264" s="94">
        <f t="shared" si="58"/>
        <v>354963.8804891892</v>
      </c>
      <c r="AB264" s="153">
        <f t="shared" si="59"/>
        <v>49.68003925670947</v>
      </c>
      <c r="AD264" s="216">
        <v>-325460.24325610616</v>
      </c>
      <c r="AE264" s="224">
        <v>-233476.57279577918</v>
      </c>
      <c r="AF264" s="224">
        <v>-132868.01245243195</v>
      </c>
      <c r="AG264" s="224">
        <v>-24330.606157620885</v>
      </c>
      <c r="AH264" s="225">
        <v>10615.073092199369</v>
      </c>
      <c r="AJ264" s="81">
        <f t="shared" si="60"/>
        <v>12037731.1125</v>
      </c>
      <c r="AK264" s="81">
        <f t="shared" si="61"/>
        <v>570696.4201365502</v>
      </c>
      <c r="AL264" s="81">
        <f t="shared" si="62"/>
        <v>18178573.9932288</v>
      </c>
      <c r="AM264" s="81">
        <f t="shared" si="63"/>
        <v>34130602.761431344</v>
      </c>
      <c r="AN264" s="81">
        <f t="shared" si="64"/>
        <v>-325460.24325610616</v>
      </c>
      <c r="AO264" s="81">
        <f t="shared" si="65"/>
        <v>-233476.57279577918</v>
      </c>
      <c r="AP264" s="81">
        <f t="shared" si="66"/>
        <v>-132868.01245243195</v>
      </c>
      <c r="AQ264" s="81">
        <f t="shared" si="67"/>
        <v>-24330.606157620885</v>
      </c>
      <c r="AR264" s="81">
        <f t="shared" si="68"/>
        <v>10615.073092199369</v>
      </c>
      <c r="AS264" s="82">
        <v>2273</v>
      </c>
      <c r="AT264" s="82">
        <v>107</v>
      </c>
      <c r="AU264" s="82"/>
      <c r="AV264" s="82">
        <f t="shared" si="69"/>
        <v>107</v>
      </c>
      <c r="AW264" s="82">
        <v>15618.03097666499</v>
      </c>
      <c r="AX264" s="149">
        <v>-2682.0832381911346</v>
      </c>
      <c r="AY264" s="81">
        <f t="shared" si="70"/>
        <v>-2617154.979753211</v>
      </c>
      <c r="AZ264" s="409"/>
      <c r="BA264" s="81"/>
      <c r="BB264" s="81"/>
      <c r="BC264" s="81"/>
      <c r="BD264" s="81"/>
      <c r="BE264" s="81"/>
      <c r="BF264" s="81"/>
      <c r="BG264" s="81"/>
    </row>
    <row r="265" spans="1:59" ht="12.75">
      <c r="A265" s="81">
        <v>781</v>
      </c>
      <c r="B265" s="81" t="s">
        <v>383</v>
      </c>
      <c r="C265" s="81">
        <v>7</v>
      </c>
      <c r="D265" s="81">
        <v>3753</v>
      </c>
      <c r="E265" s="100">
        <v>9024335.252867684</v>
      </c>
      <c r="F265" s="81">
        <v>2875190</v>
      </c>
      <c r="G265" s="81">
        <v>1861974.1855906886</v>
      </c>
      <c r="H265" s="81">
        <v>939163.0724185248</v>
      </c>
      <c r="I265" s="156">
        <v>1052120.5677063141</v>
      </c>
      <c r="J265" s="156">
        <v>739670.3527135456</v>
      </c>
      <c r="K265" s="81">
        <v>500289.66829605016</v>
      </c>
      <c r="L265" s="81">
        <v>-468674</v>
      </c>
      <c r="M265" s="82">
        <v>131700</v>
      </c>
      <c r="N265" s="82">
        <v>32831.29835791302</v>
      </c>
      <c r="O265" s="214">
        <f t="shared" si="54"/>
        <v>-1360070.1077846475</v>
      </c>
      <c r="P265" s="215">
        <f t="shared" si="55"/>
        <v>-362.39544571933055</v>
      </c>
      <c r="Q265" s="81"/>
      <c r="R265" s="223">
        <v>26881092</v>
      </c>
      <c r="S265" s="156">
        <v>8689062.24</v>
      </c>
      <c r="T265" s="156">
        <v>1408744.6086277873</v>
      </c>
      <c r="U265" s="156">
        <v>12324740.785677098</v>
      </c>
      <c r="V265" s="156">
        <v>2329919.163203196</v>
      </c>
      <c r="W265" s="156">
        <v>1525000.1855906886</v>
      </c>
      <c r="X265" s="214">
        <f t="shared" si="56"/>
        <v>-603625.0169012323</v>
      </c>
      <c r="Y265" s="215">
        <f t="shared" si="57"/>
        <v>-160.83800077304352</v>
      </c>
      <c r="Z265" s="81"/>
      <c r="AA265" s="94">
        <f t="shared" si="58"/>
        <v>-756445.0908834152</v>
      </c>
      <c r="AB265" s="153">
        <f t="shared" si="59"/>
        <v>-201.55744494628703</v>
      </c>
      <c r="AD265" s="216">
        <v>771942.2428128469</v>
      </c>
      <c r="AE265" s="224">
        <v>707667.8082764727</v>
      </c>
      <c r="AF265" s="224">
        <v>647923.7042832721</v>
      </c>
      <c r="AG265" s="224">
        <v>592344.3251124431</v>
      </c>
      <c r="AH265" s="225">
        <v>536840.7898778203</v>
      </c>
      <c r="AJ265" s="81">
        <f t="shared" si="60"/>
        <v>5813872.24</v>
      </c>
      <c r="AK265" s="81">
        <f t="shared" si="61"/>
        <v>469581.53620926256</v>
      </c>
      <c r="AL265" s="81">
        <f t="shared" si="62"/>
        <v>11272620.217970783</v>
      </c>
      <c r="AM265" s="81">
        <f t="shared" si="63"/>
        <v>17856756.747132316</v>
      </c>
      <c r="AN265" s="81">
        <f t="shared" si="64"/>
        <v>771942.2428128469</v>
      </c>
      <c r="AO265" s="81">
        <f t="shared" si="65"/>
        <v>707667.8082764727</v>
      </c>
      <c r="AP265" s="81">
        <f t="shared" si="66"/>
        <v>647923.7042832721</v>
      </c>
      <c r="AQ265" s="81">
        <f t="shared" si="67"/>
        <v>592344.3251124431</v>
      </c>
      <c r="AR265" s="81">
        <f t="shared" si="68"/>
        <v>536840.7898778203</v>
      </c>
      <c r="AS265" s="82">
        <v>1194</v>
      </c>
      <c r="AT265" s="82">
        <v>147</v>
      </c>
      <c r="AU265" s="82"/>
      <c r="AV265" s="82">
        <f t="shared" si="69"/>
        <v>147</v>
      </c>
      <c r="AW265" s="82">
        <v>9015.07708861606</v>
      </c>
      <c r="AX265" s="149">
        <v>-1865.1689936075952</v>
      </c>
      <c r="AY265" s="81">
        <f t="shared" si="70"/>
        <v>-1590248.8104896506</v>
      </c>
      <c r="AZ265" s="409"/>
      <c r="BA265" s="81"/>
      <c r="BB265" s="81"/>
      <c r="BC265" s="81"/>
      <c r="BD265" s="81"/>
      <c r="BE265" s="81"/>
      <c r="BF265" s="81"/>
      <c r="BG265" s="81"/>
    </row>
    <row r="266" spans="1:59" ht="12.75">
      <c r="A266" s="81">
        <v>783</v>
      </c>
      <c r="B266" s="81" t="s">
        <v>384</v>
      </c>
      <c r="C266" s="81">
        <v>4</v>
      </c>
      <c r="D266" s="81">
        <v>6811</v>
      </c>
      <c r="E266" s="100">
        <v>13590022.151004728</v>
      </c>
      <c r="F266" s="81">
        <v>10106226</v>
      </c>
      <c r="G266" s="81">
        <v>1913481.1571670237</v>
      </c>
      <c r="H266" s="81">
        <v>802081.008623664</v>
      </c>
      <c r="I266" s="156">
        <v>2281979.600056614</v>
      </c>
      <c r="J266" s="156">
        <v>1151803.066267122</v>
      </c>
      <c r="K266" s="81">
        <v>-893526.6865868995</v>
      </c>
      <c r="L266" s="81">
        <v>-486711</v>
      </c>
      <c r="M266" s="82">
        <v>-32300</v>
      </c>
      <c r="N266" s="82">
        <v>78932.42562836774</v>
      </c>
      <c r="O266" s="214">
        <f t="shared" si="54"/>
        <v>1331943.4201511648</v>
      </c>
      <c r="P266" s="215">
        <f t="shared" si="55"/>
        <v>195.5576890546417</v>
      </c>
      <c r="Q266" s="81"/>
      <c r="R266" s="223">
        <v>41406848</v>
      </c>
      <c r="S266" s="156">
        <v>24811753.7</v>
      </c>
      <c r="T266" s="156">
        <v>1203121.512935496</v>
      </c>
      <c r="U266" s="156">
        <v>11233063.60711565</v>
      </c>
      <c r="V266" s="156">
        <v>3522626.3642643644</v>
      </c>
      <c r="W266" s="156">
        <v>1394470.1571670237</v>
      </c>
      <c r="X266" s="214">
        <f t="shared" si="56"/>
        <v>758187.341482535</v>
      </c>
      <c r="Y266" s="215">
        <f t="shared" si="57"/>
        <v>111.3180651126905</v>
      </c>
      <c r="Z266" s="81"/>
      <c r="AA266" s="94">
        <f t="shared" si="58"/>
        <v>573756.0786686298</v>
      </c>
      <c r="AB266" s="153">
        <f t="shared" si="59"/>
        <v>84.23962394195122</v>
      </c>
      <c r="AD266" s="216">
        <v>-545631.6177596576</v>
      </c>
      <c r="AE266" s="224">
        <v>-457947.81377011427</v>
      </c>
      <c r="AF266" s="224">
        <v>-362042.29879481153</v>
      </c>
      <c r="AG266" s="224">
        <v>-258578.5795122422</v>
      </c>
      <c r="AH266" s="225">
        <v>-154977.2175306316</v>
      </c>
      <c r="AJ266" s="81">
        <f t="shared" si="60"/>
        <v>14705527.7</v>
      </c>
      <c r="AK266" s="81">
        <f t="shared" si="61"/>
        <v>401040.5043118319</v>
      </c>
      <c r="AL266" s="81">
        <f t="shared" si="62"/>
        <v>8951084.007059038</v>
      </c>
      <c r="AM266" s="81">
        <f t="shared" si="63"/>
        <v>27816825.848995272</v>
      </c>
      <c r="AN266" s="81">
        <f t="shared" si="64"/>
        <v>-545631.6177596576</v>
      </c>
      <c r="AO266" s="81">
        <f t="shared" si="65"/>
        <v>-457947.81377011427</v>
      </c>
      <c r="AP266" s="81">
        <f t="shared" si="66"/>
        <v>-362042.29879481153</v>
      </c>
      <c r="AQ266" s="81">
        <f t="shared" si="67"/>
        <v>-258578.5795122422</v>
      </c>
      <c r="AR266" s="81">
        <f t="shared" si="68"/>
        <v>-154977.2175306316</v>
      </c>
      <c r="AS266" s="82">
        <v>2258</v>
      </c>
      <c r="AT266" s="82">
        <v>59</v>
      </c>
      <c r="AU266" s="82"/>
      <c r="AV266" s="82">
        <f t="shared" si="69"/>
        <v>59</v>
      </c>
      <c r="AW266" s="82">
        <v>8384.833215618655</v>
      </c>
      <c r="AX266" s="149">
        <v>-599.7550409278884</v>
      </c>
      <c r="AY266" s="81">
        <f t="shared" si="70"/>
        <v>-2370823.2979972423</v>
      </c>
      <c r="AZ266" s="409"/>
      <c r="BA266" s="81"/>
      <c r="BB266" s="81"/>
      <c r="BC266" s="81"/>
      <c r="BD266" s="81"/>
      <c r="BE266" s="81"/>
      <c r="BF266" s="81"/>
      <c r="BG266" s="81"/>
    </row>
    <row r="267" spans="1:59" ht="12.75">
      <c r="A267" s="81">
        <v>785</v>
      </c>
      <c r="B267" s="81" t="s">
        <v>408</v>
      </c>
      <c r="C267" s="81">
        <v>17</v>
      </c>
      <c r="D267" s="81">
        <v>2869</v>
      </c>
      <c r="E267" s="100">
        <v>9409991.228802146</v>
      </c>
      <c r="F267" s="81">
        <v>3245416</v>
      </c>
      <c r="G267" s="81">
        <v>2529623.262585128</v>
      </c>
      <c r="H267" s="81">
        <v>423176.19230779196</v>
      </c>
      <c r="I267" s="156">
        <v>3010135.5178028876</v>
      </c>
      <c r="J267" s="156">
        <v>556081.4506011256</v>
      </c>
      <c r="K267" s="81">
        <v>-507528.64252515015</v>
      </c>
      <c r="L267" s="81">
        <v>149787</v>
      </c>
      <c r="M267" s="82">
        <v>-29190</v>
      </c>
      <c r="N267" s="82">
        <v>25120.006221209605</v>
      </c>
      <c r="O267" s="214">
        <f t="shared" si="54"/>
        <v>-7370.441809153184</v>
      </c>
      <c r="P267" s="215">
        <f t="shared" si="55"/>
        <v>-2.568993310963118</v>
      </c>
      <c r="Q267" s="81"/>
      <c r="R267" s="223">
        <v>25201736</v>
      </c>
      <c r="S267" s="156">
        <v>7841447.640000001</v>
      </c>
      <c r="T267" s="156">
        <v>634764.288461688</v>
      </c>
      <c r="U267" s="156">
        <v>11699485.800858922</v>
      </c>
      <c r="V267" s="156">
        <v>1726893.8675358393</v>
      </c>
      <c r="W267" s="156">
        <v>2650220.262585128</v>
      </c>
      <c r="X267" s="214">
        <f t="shared" si="56"/>
        <v>-648924.1405584216</v>
      </c>
      <c r="Y267" s="215">
        <f t="shared" si="57"/>
        <v>-226.18478234870045</v>
      </c>
      <c r="Z267" s="81"/>
      <c r="AA267" s="94">
        <f t="shared" si="58"/>
        <v>641553.6987492684</v>
      </c>
      <c r="AB267" s="153">
        <f t="shared" si="59"/>
        <v>223.61578903773733</v>
      </c>
      <c r="AD267" s="216">
        <v>-629706.82188128</v>
      </c>
      <c r="AE267" s="224">
        <v>-592771.7413283511</v>
      </c>
      <c r="AF267" s="224">
        <v>-552373.4264752981</v>
      </c>
      <c r="AG267" s="224">
        <v>-508791.3664809226</v>
      </c>
      <c r="AH267" s="225">
        <v>-465151.3272025141</v>
      </c>
      <c r="AJ267" s="81">
        <f t="shared" si="60"/>
        <v>4596031.640000001</v>
      </c>
      <c r="AK267" s="81">
        <f t="shared" si="61"/>
        <v>211588.096153896</v>
      </c>
      <c r="AL267" s="81">
        <f t="shared" si="62"/>
        <v>8689350.283056036</v>
      </c>
      <c r="AM267" s="81">
        <f t="shared" si="63"/>
        <v>15791744.771197854</v>
      </c>
      <c r="AN267" s="81">
        <f t="shared" si="64"/>
        <v>-629706.82188128</v>
      </c>
      <c r="AO267" s="81">
        <f t="shared" si="65"/>
        <v>-592771.7413283511</v>
      </c>
      <c r="AP267" s="81">
        <f t="shared" si="66"/>
        <v>-552373.4264752981</v>
      </c>
      <c r="AQ267" s="81">
        <f t="shared" si="67"/>
        <v>-508791.3664809226</v>
      </c>
      <c r="AR267" s="81">
        <f t="shared" si="68"/>
        <v>-465151.3272025141</v>
      </c>
      <c r="AS267" s="82">
        <v>1249</v>
      </c>
      <c r="AT267" s="82"/>
      <c r="AU267" s="82">
        <v>15</v>
      </c>
      <c r="AV267" s="82">
        <f t="shared" si="69"/>
        <v>15</v>
      </c>
      <c r="AW267" s="82">
        <v>7611.346359855657</v>
      </c>
      <c r="AX267" s="149">
        <v>-1404.5550998234821</v>
      </c>
      <c r="AY267" s="81">
        <f t="shared" si="70"/>
        <v>-1170812.4169347137</v>
      </c>
      <c r="AZ267" s="409"/>
      <c r="BA267" s="81"/>
      <c r="BB267" s="81"/>
      <c r="BC267" s="81"/>
      <c r="BD267" s="81"/>
      <c r="BE267" s="81"/>
      <c r="BF267" s="81"/>
      <c r="BG267" s="81"/>
    </row>
    <row r="268" spans="1:59" ht="12.75">
      <c r="A268" s="81">
        <v>790</v>
      </c>
      <c r="B268" s="81" t="s">
        <v>135</v>
      </c>
      <c r="C268" s="81">
        <v>6</v>
      </c>
      <c r="D268" s="81">
        <v>24651</v>
      </c>
      <c r="E268" s="100">
        <v>55850152.06612733</v>
      </c>
      <c r="F268" s="81">
        <v>28703081</v>
      </c>
      <c r="G268" s="81">
        <v>5476024.099260795</v>
      </c>
      <c r="H268" s="81">
        <v>2980016.316657072</v>
      </c>
      <c r="I268" s="156">
        <v>14718709.413509788</v>
      </c>
      <c r="J268" s="156">
        <v>4017825.715002887</v>
      </c>
      <c r="K268" s="81">
        <v>-433557.1048100547</v>
      </c>
      <c r="L268" s="81">
        <v>-1990338</v>
      </c>
      <c r="M268" s="82">
        <v>-228000</v>
      </c>
      <c r="N268" s="82">
        <v>242481.4926548104</v>
      </c>
      <c r="O268" s="214">
        <f t="shared" si="54"/>
        <v>-2363909.133852035</v>
      </c>
      <c r="P268" s="215">
        <f t="shared" si="55"/>
        <v>-95.89506039722667</v>
      </c>
      <c r="Q268" s="81"/>
      <c r="R268" s="223">
        <v>155643460</v>
      </c>
      <c r="S268" s="156">
        <v>73620657.27749999</v>
      </c>
      <c r="T268" s="156">
        <v>4470024.474985608</v>
      </c>
      <c r="U268" s="156">
        <v>59128265.37594589</v>
      </c>
      <c r="V268" s="156">
        <v>12444343.899152873</v>
      </c>
      <c r="W268" s="156">
        <v>3257686.099260795</v>
      </c>
      <c r="X268" s="214">
        <f t="shared" si="56"/>
        <v>-2722482.873154849</v>
      </c>
      <c r="Y268" s="215">
        <f t="shared" si="57"/>
        <v>-110.44107229543827</v>
      </c>
      <c r="Z268" s="81"/>
      <c r="AA268" s="94">
        <f t="shared" si="58"/>
        <v>358573.739302814</v>
      </c>
      <c r="AB268" s="153">
        <f t="shared" si="59"/>
        <v>14.546011898211594</v>
      </c>
      <c r="AD268" s="216">
        <v>-256783.09389579835</v>
      </c>
      <c r="AE268" s="224">
        <v>49378.96388389554</v>
      </c>
      <c r="AF268" s="224">
        <v>26724.057799060356</v>
      </c>
      <c r="AG268" s="224">
        <v>31424.502525916538</v>
      </c>
      <c r="AH268" s="225">
        <v>36623.11641648798</v>
      </c>
      <c r="AJ268" s="81">
        <f t="shared" si="60"/>
        <v>44917576.27749999</v>
      </c>
      <c r="AK268" s="81">
        <f t="shared" si="61"/>
        <v>1490008.158328536</v>
      </c>
      <c r="AL268" s="81">
        <f t="shared" si="62"/>
        <v>44409555.9624361</v>
      </c>
      <c r="AM268" s="81">
        <f t="shared" si="63"/>
        <v>99793307.93387267</v>
      </c>
      <c r="AN268" s="81">
        <f t="shared" si="64"/>
        <v>-256783.09389579835</v>
      </c>
      <c r="AO268" s="81">
        <f t="shared" si="65"/>
        <v>49378.96388389554</v>
      </c>
      <c r="AP268" s="81">
        <f t="shared" si="66"/>
        <v>26724.057799060356</v>
      </c>
      <c r="AQ268" s="81">
        <f t="shared" si="67"/>
        <v>31424.502525916538</v>
      </c>
      <c r="AR268" s="81">
        <f t="shared" si="68"/>
        <v>36623.11641648798</v>
      </c>
      <c r="AS268" s="82">
        <v>7715</v>
      </c>
      <c r="AT268" s="82">
        <v>24</v>
      </c>
      <c r="AU268" s="82"/>
      <c r="AV268" s="82">
        <f t="shared" si="69"/>
        <v>24</v>
      </c>
      <c r="AW268" s="82">
        <v>36812.362210109946</v>
      </c>
      <c r="AX268" s="149">
        <v>-7867.356308589433</v>
      </c>
      <c r="AY268" s="81">
        <f t="shared" si="70"/>
        <v>-8426518.184149986</v>
      </c>
      <c r="AZ268" s="409"/>
      <c r="BA268" s="81"/>
      <c r="BB268" s="81"/>
      <c r="BC268" s="81"/>
      <c r="BD268" s="81"/>
      <c r="BE268" s="81"/>
      <c r="BF268" s="81"/>
      <c r="BG268" s="81"/>
    </row>
    <row r="269" spans="1:59" ht="12.75">
      <c r="A269" s="81">
        <v>791</v>
      </c>
      <c r="B269" s="81" t="s">
        <v>136</v>
      </c>
      <c r="C269" s="81">
        <v>17</v>
      </c>
      <c r="D269" s="81">
        <v>5301</v>
      </c>
      <c r="E269" s="100">
        <v>14700052.355763167</v>
      </c>
      <c r="F269" s="81">
        <v>5956818</v>
      </c>
      <c r="G269" s="81">
        <v>1199436.870162938</v>
      </c>
      <c r="H269" s="81">
        <v>829664.6490849024</v>
      </c>
      <c r="I269" s="156">
        <v>6176191.26402075</v>
      </c>
      <c r="J269" s="156">
        <v>1111543.9135388057</v>
      </c>
      <c r="K269" s="81">
        <v>-340755.08800217387</v>
      </c>
      <c r="L269" s="81">
        <v>-434717</v>
      </c>
      <c r="M269" s="82">
        <v>58300</v>
      </c>
      <c r="N269" s="82">
        <v>42596.78163862491</v>
      </c>
      <c r="O269" s="214">
        <f t="shared" si="54"/>
        <v>-100972.9653193187</v>
      </c>
      <c r="P269" s="215">
        <f t="shared" si="55"/>
        <v>-19.047908945353463</v>
      </c>
      <c r="Q269" s="81"/>
      <c r="R269" s="223">
        <v>40708584</v>
      </c>
      <c r="S269" s="156">
        <v>13694417.1</v>
      </c>
      <c r="T269" s="156">
        <v>1244496.9736273536</v>
      </c>
      <c r="U269" s="156">
        <v>20622717.493852284</v>
      </c>
      <c r="V269" s="156">
        <v>3514496.0395805216</v>
      </c>
      <c r="W269" s="156">
        <v>823019.870162938</v>
      </c>
      <c r="X269" s="214">
        <f t="shared" si="56"/>
        <v>-809436.5227769017</v>
      </c>
      <c r="Y269" s="215">
        <f t="shared" si="57"/>
        <v>-152.69506183303182</v>
      </c>
      <c r="Z269" s="81"/>
      <c r="AA269" s="94">
        <f t="shared" si="58"/>
        <v>708463.557457583</v>
      </c>
      <c r="AB269" s="153">
        <f t="shared" si="59"/>
        <v>133.64715288767837</v>
      </c>
      <c r="AD269" s="216">
        <v>-686574.2949001751</v>
      </c>
      <c r="AE269" s="224">
        <v>-618330.0069911208</v>
      </c>
      <c r="AF269" s="224">
        <v>-543686.762991109</v>
      </c>
      <c r="AG269" s="224">
        <v>-463160.97002136894</v>
      </c>
      <c r="AH269" s="225">
        <v>-382528.04976523656</v>
      </c>
      <c r="AJ269" s="81">
        <f t="shared" si="60"/>
        <v>7737599.1</v>
      </c>
      <c r="AK269" s="81">
        <f t="shared" si="61"/>
        <v>414832.3245424512</v>
      </c>
      <c r="AL269" s="81">
        <f t="shared" si="62"/>
        <v>14446526.229831534</v>
      </c>
      <c r="AM269" s="81">
        <f t="shared" si="63"/>
        <v>26008531.644236833</v>
      </c>
      <c r="AN269" s="81">
        <f t="shared" si="64"/>
        <v>-686574.2949001751</v>
      </c>
      <c r="AO269" s="81">
        <f t="shared" si="65"/>
        <v>-618330.0069911208</v>
      </c>
      <c r="AP269" s="81">
        <f t="shared" si="66"/>
        <v>-543686.762991109</v>
      </c>
      <c r="AQ269" s="81">
        <f t="shared" si="67"/>
        <v>-463160.97002136894</v>
      </c>
      <c r="AR269" s="81">
        <f t="shared" si="68"/>
        <v>-382528.04976523656</v>
      </c>
      <c r="AS269" s="82">
        <v>1212</v>
      </c>
      <c r="AT269" s="82">
        <v>27</v>
      </c>
      <c r="AU269" s="82"/>
      <c r="AV269" s="82">
        <f t="shared" si="69"/>
        <v>27</v>
      </c>
      <c r="AW269" s="82">
        <v>12040.577657918408</v>
      </c>
      <c r="AX269" s="149">
        <v>-2930.3852749176835</v>
      </c>
      <c r="AY269" s="81">
        <f t="shared" si="70"/>
        <v>-2402952.126041716</v>
      </c>
      <c r="AZ269" s="409"/>
      <c r="BA269" s="81"/>
      <c r="BB269" s="81"/>
      <c r="BC269" s="81"/>
      <c r="BD269" s="81"/>
      <c r="BE269" s="81"/>
      <c r="BF269" s="81"/>
      <c r="BG269" s="81"/>
    </row>
    <row r="270" spans="1:59" ht="12.75">
      <c r="A270" s="81">
        <v>831</v>
      </c>
      <c r="B270" s="81" t="s">
        <v>385</v>
      </c>
      <c r="C270" s="81">
        <v>9</v>
      </c>
      <c r="D270" s="81">
        <v>4715</v>
      </c>
      <c r="E270" s="100">
        <v>11554566.196244525</v>
      </c>
      <c r="F270" s="81">
        <v>6887286</v>
      </c>
      <c r="G270" s="81">
        <v>1949442.6967051623</v>
      </c>
      <c r="H270" s="81">
        <v>506758.4435190816</v>
      </c>
      <c r="I270" s="156">
        <v>3021827.405940392</v>
      </c>
      <c r="J270" s="156">
        <v>665025.6405682352</v>
      </c>
      <c r="K270" s="81">
        <v>-130046.23000133973</v>
      </c>
      <c r="L270" s="81">
        <v>-975409</v>
      </c>
      <c r="M270" s="82">
        <v>140305</v>
      </c>
      <c r="N270" s="82">
        <v>57650.78132256872</v>
      </c>
      <c r="O270" s="214">
        <f t="shared" si="54"/>
        <v>568274.5418095756</v>
      </c>
      <c r="P270" s="215">
        <f t="shared" si="55"/>
        <v>120.52482328941159</v>
      </c>
      <c r="Q270" s="81"/>
      <c r="R270" s="223">
        <v>27070680</v>
      </c>
      <c r="S270" s="156">
        <v>17667464.32</v>
      </c>
      <c r="T270" s="156">
        <v>760137.6652786224</v>
      </c>
      <c r="U270" s="156">
        <v>6273212.7404556405</v>
      </c>
      <c r="V270" s="156">
        <v>1982467.3420601897</v>
      </c>
      <c r="W270" s="156">
        <v>1114338.6967051623</v>
      </c>
      <c r="X270" s="214">
        <f t="shared" si="56"/>
        <v>726940.7644996159</v>
      </c>
      <c r="Y270" s="215">
        <f t="shared" si="57"/>
        <v>154.1761960762706</v>
      </c>
      <c r="Z270" s="81"/>
      <c r="AA270" s="94">
        <f t="shared" si="58"/>
        <v>-158666.22269004025</v>
      </c>
      <c r="AB270" s="153">
        <f t="shared" si="59"/>
        <v>-33.651372786859014</v>
      </c>
      <c r="AD270" s="216">
        <v>178135.73277457792</v>
      </c>
      <c r="AE270" s="224">
        <v>97385.94358219746</v>
      </c>
      <c r="AF270" s="224">
        <v>22327.73672689756</v>
      </c>
      <c r="AG270" s="224">
        <v>6010.568715658451</v>
      </c>
      <c r="AH270" s="225">
        <v>7004.9082756781</v>
      </c>
      <c r="AJ270" s="81">
        <f t="shared" si="60"/>
        <v>10780178.32</v>
      </c>
      <c r="AK270" s="81">
        <f t="shared" si="61"/>
        <v>253379.22175954084</v>
      </c>
      <c r="AL270" s="81">
        <f t="shared" si="62"/>
        <v>3251385.3345152484</v>
      </c>
      <c r="AM270" s="81">
        <f t="shared" si="63"/>
        <v>15516113.803755475</v>
      </c>
      <c r="AN270" s="81">
        <f t="shared" si="64"/>
        <v>178135.73277457792</v>
      </c>
      <c r="AO270" s="81">
        <f t="shared" si="65"/>
        <v>97385.94358219746</v>
      </c>
      <c r="AP270" s="81">
        <f t="shared" si="66"/>
        <v>22327.73672689756</v>
      </c>
      <c r="AQ270" s="81">
        <f t="shared" si="67"/>
        <v>6010.568715658451</v>
      </c>
      <c r="AR270" s="81">
        <f t="shared" si="68"/>
        <v>7004.9082756781</v>
      </c>
      <c r="AS270" s="82">
        <v>1666</v>
      </c>
      <c r="AT270" s="82"/>
      <c r="AU270" s="82">
        <v>4</v>
      </c>
      <c r="AV270" s="82">
        <f t="shared" si="69"/>
        <v>4</v>
      </c>
      <c r="AW270" s="82">
        <v>3117.961900660695</v>
      </c>
      <c r="AX270" s="149">
        <v>73.56634457036445</v>
      </c>
      <c r="AY270" s="81">
        <f t="shared" si="70"/>
        <v>-1317441.7014919545</v>
      </c>
      <c r="AZ270" s="409"/>
      <c r="BA270" s="81"/>
      <c r="BB270" s="81"/>
      <c r="BC270" s="81"/>
      <c r="BD270" s="81"/>
      <c r="BE270" s="81"/>
      <c r="BF270" s="81"/>
      <c r="BG270" s="81"/>
    </row>
    <row r="271" spans="1:59" ht="12.75">
      <c r="A271" s="81">
        <v>832</v>
      </c>
      <c r="B271" s="81" t="s">
        <v>386</v>
      </c>
      <c r="C271" s="81">
        <v>17</v>
      </c>
      <c r="D271" s="81">
        <v>4024</v>
      </c>
      <c r="E271" s="100">
        <v>13618125.85007913</v>
      </c>
      <c r="F271" s="81">
        <v>3962102</v>
      </c>
      <c r="G271" s="81">
        <v>857963.6383306677</v>
      </c>
      <c r="H271" s="81">
        <v>924919.407653472</v>
      </c>
      <c r="I271" s="156">
        <v>5467751.821145966</v>
      </c>
      <c r="J271" s="156">
        <v>707097.1786400063</v>
      </c>
      <c r="K271" s="81">
        <v>1379903.7846118035</v>
      </c>
      <c r="L271" s="81">
        <v>-123321</v>
      </c>
      <c r="M271" s="82">
        <v>16000</v>
      </c>
      <c r="N271" s="82">
        <v>35311.7077027248</v>
      </c>
      <c r="O271" s="214">
        <f t="shared" si="54"/>
        <v>-390397.3119944893</v>
      </c>
      <c r="P271" s="215">
        <f t="shared" si="55"/>
        <v>-97.017224650718</v>
      </c>
      <c r="Q271" s="81"/>
      <c r="R271" s="223">
        <v>31942988</v>
      </c>
      <c r="S271" s="156">
        <v>10257811.915</v>
      </c>
      <c r="T271" s="156">
        <v>1387379.111480208</v>
      </c>
      <c r="U271" s="156">
        <v>17851196.018168032</v>
      </c>
      <c r="V271" s="156">
        <v>2218540.045844806</v>
      </c>
      <c r="W271" s="156">
        <v>750642.6383306677</v>
      </c>
      <c r="X271" s="214">
        <f t="shared" si="56"/>
        <v>522581.72882371396</v>
      </c>
      <c r="Y271" s="215">
        <f t="shared" si="57"/>
        <v>129.8662347971456</v>
      </c>
      <c r="Z271" s="81"/>
      <c r="AA271" s="94">
        <f t="shared" si="58"/>
        <v>-912979.0408182032</v>
      </c>
      <c r="AB271" s="153">
        <f t="shared" si="59"/>
        <v>-226.88345944786363</v>
      </c>
      <c r="AD271" s="216">
        <v>929595.2250345703</v>
      </c>
      <c r="AE271" s="224">
        <v>860679.6043113172</v>
      </c>
      <c r="AF271" s="224">
        <v>796621.4443143443</v>
      </c>
      <c r="AG271" s="224">
        <v>737028.7393360826</v>
      </c>
      <c r="AH271" s="225">
        <v>677517.354901198</v>
      </c>
      <c r="AJ271" s="81">
        <f t="shared" si="60"/>
        <v>6295709.914999999</v>
      </c>
      <c r="AK271" s="81">
        <f t="shared" si="61"/>
        <v>462459.7038267361</v>
      </c>
      <c r="AL271" s="81">
        <f t="shared" si="62"/>
        <v>12383444.197022066</v>
      </c>
      <c r="AM271" s="81">
        <f t="shared" si="63"/>
        <v>18324862.14992087</v>
      </c>
      <c r="AN271" s="81">
        <f t="shared" si="64"/>
        <v>929595.2250345703</v>
      </c>
      <c r="AO271" s="81">
        <f t="shared" si="65"/>
        <v>860679.6043113172</v>
      </c>
      <c r="AP271" s="81">
        <f t="shared" si="66"/>
        <v>796621.4443143443</v>
      </c>
      <c r="AQ271" s="81">
        <f t="shared" si="67"/>
        <v>737028.7393360826</v>
      </c>
      <c r="AR271" s="81">
        <f t="shared" si="68"/>
        <v>677517.354901198</v>
      </c>
      <c r="AS271" s="82">
        <v>2707</v>
      </c>
      <c r="AT271" s="82">
        <v>152</v>
      </c>
      <c r="AU271" s="82">
        <v>1</v>
      </c>
      <c r="AV271" s="82">
        <f t="shared" si="69"/>
        <v>153</v>
      </c>
      <c r="AW271" s="82">
        <v>10394.422943264857</v>
      </c>
      <c r="AX271" s="149">
        <v>-2028.728164378288</v>
      </c>
      <c r="AY271" s="81">
        <f t="shared" si="70"/>
        <v>-1511442.8672047995</v>
      </c>
      <c r="AZ271" s="409"/>
      <c r="BA271" s="81"/>
      <c r="BB271" s="81"/>
      <c r="BC271" s="81"/>
      <c r="BD271" s="81"/>
      <c r="BE271" s="81"/>
      <c r="BF271" s="81"/>
      <c r="BG271" s="81"/>
    </row>
    <row r="272" spans="1:59" ht="12.75">
      <c r="A272" s="81">
        <v>833</v>
      </c>
      <c r="B272" s="81" t="s">
        <v>387</v>
      </c>
      <c r="C272" s="81">
        <v>2</v>
      </c>
      <c r="D272" s="81">
        <v>1662</v>
      </c>
      <c r="E272" s="100">
        <v>3930811.7929342743</v>
      </c>
      <c r="F272" s="81">
        <v>2046688</v>
      </c>
      <c r="G272" s="81">
        <v>1154796.606029172</v>
      </c>
      <c r="H272" s="81">
        <v>158377.3198118496</v>
      </c>
      <c r="I272" s="156">
        <v>723005.69274171</v>
      </c>
      <c r="J272" s="156">
        <v>301638.568859671</v>
      </c>
      <c r="K272" s="81">
        <v>246234.38248795707</v>
      </c>
      <c r="L272" s="81">
        <v>-338916</v>
      </c>
      <c r="M272" s="82">
        <v>-109000</v>
      </c>
      <c r="N272" s="82">
        <v>17172.370345916195</v>
      </c>
      <c r="O272" s="214">
        <f t="shared" si="54"/>
        <v>269185.147342002</v>
      </c>
      <c r="P272" s="215">
        <f t="shared" si="55"/>
        <v>161.96458925511553</v>
      </c>
      <c r="Q272" s="81"/>
      <c r="R272" s="223">
        <v>10533012</v>
      </c>
      <c r="S272" s="156">
        <v>5254052.132499999</v>
      </c>
      <c r="T272" s="156">
        <v>237565.9797177744</v>
      </c>
      <c r="U272" s="156">
        <v>4137632.991073046</v>
      </c>
      <c r="V272" s="156">
        <v>929458.1776533846</v>
      </c>
      <c r="W272" s="156">
        <v>706880.606029172</v>
      </c>
      <c r="X272" s="214">
        <f t="shared" si="56"/>
        <v>732577.8869733773</v>
      </c>
      <c r="Y272" s="215">
        <f t="shared" si="57"/>
        <v>440.78091875654474</v>
      </c>
      <c r="Z272" s="81"/>
      <c r="AA272" s="94">
        <f t="shared" si="58"/>
        <v>-463392.7396313753</v>
      </c>
      <c r="AB272" s="153">
        <f t="shared" si="59"/>
        <v>-278.81632950142915</v>
      </c>
      <c r="AD272" s="216">
        <v>470255.5870885319</v>
      </c>
      <c r="AE272" s="224">
        <v>441791.92862877855</v>
      </c>
      <c r="AF272" s="224">
        <v>415334.50767575455</v>
      </c>
      <c r="AG272" s="224">
        <v>390721.41729954403</v>
      </c>
      <c r="AH272" s="225">
        <v>366141.91408613</v>
      </c>
      <c r="AJ272" s="81">
        <f t="shared" si="60"/>
        <v>3207364.1324999994</v>
      </c>
      <c r="AK272" s="81">
        <f t="shared" si="61"/>
        <v>79188.65990592481</v>
      </c>
      <c r="AL272" s="81">
        <f t="shared" si="62"/>
        <v>3414627.298331336</v>
      </c>
      <c r="AM272" s="81">
        <f t="shared" si="63"/>
        <v>6602200.207065726</v>
      </c>
      <c r="AN272" s="81">
        <f t="shared" si="64"/>
        <v>470255.5870885319</v>
      </c>
      <c r="AO272" s="81">
        <f t="shared" si="65"/>
        <v>441791.92862877855</v>
      </c>
      <c r="AP272" s="81">
        <f t="shared" si="66"/>
        <v>415334.50767575455</v>
      </c>
      <c r="AQ272" s="81">
        <f t="shared" si="67"/>
        <v>390721.41729954403</v>
      </c>
      <c r="AR272" s="81">
        <f t="shared" si="68"/>
        <v>366141.91408613</v>
      </c>
      <c r="AS272" s="82">
        <v>456</v>
      </c>
      <c r="AT272" s="82">
        <v>27</v>
      </c>
      <c r="AU272" s="82"/>
      <c r="AV272" s="82">
        <f t="shared" si="69"/>
        <v>27</v>
      </c>
      <c r="AW272" s="82">
        <v>2748.0658262227366</v>
      </c>
      <c r="AX272" s="149">
        <v>-380.8514929220316</v>
      </c>
      <c r="AY272" s="81">
        <f t="shared" si="70"/>
        <v>-627819.6087937136</v>
      </c>
      <c r="AZ272" s="409"/>
      <c r="BA272" s="81"/>
      <c r="BB272" s="81"/>
      <c r="BC272" s="81"/>
      <c r="BD272" s="81"/>
      <c r="BE272" s="81"/>
      <c r="BF272" s="81"/>
      <c r="BG272" s="81"/>
    </row>
    <row r="273" spans="1:59" ht="12.75">
      <c r="A273" s="81">
        <v>834</v>
      </c>
      <c r="B273" s="81" t="s">
        <v>388</v>
      </c>
      <c r="C273" s="81">
        <v>5</v>
      </c>
      <c r="D273" s="81">
        <v>6081</v>
      </c>
      <c r="E273" s="100">
        <v>15689694.160602964</v>
      </c>
      <c r="F273" s="81">
        <v>7552050</v>
      </c>
      <c r="G273" s="81">
        <v>1507812.7080968313</v>
      </c>
      <c r="H273" s="81">
        <v>849018.9142512</v>
      </c>
      <c r="I273" s="156">
        <v>3437188.893568294</v>
      </c>
      <c r="J273" s="156">
        <v>1019345.6553288437</v>
      </c>
      <c r="K273" s="81">
        <v>183711.50970876147</v>
      </c>
      <c r="L273" s="81">
        <v>-1338393</v>
      </c>
      <c r="M273" s="82">
        <v>-48860</v>
      </c>
      <c r="N273" s="82">
        <v>64473.26980620482</v>
      </c>
      <c r="O273" s="214">
        <f t="shared" si="54"/>
        <v>-2463346.209842829</v>
      </c>
      <c r="P273" s="215">
        <f t="shared" si="55"/>
        <v>-405.0890001386004</v>
      </c>
      <c r="Q273" s="81"/>
      <c r="R273" s="223">
        <v>37601620</v>
      </c>
      <c r="S273" s="156">
        <v>19466827.47</v>
      </c>
      <c r="T273" s="156">
        <v>1273528.3713768</v>
      </c>
      <c r="U273" s="156">
        <v>11300572.251100536</v>
      </c>
      <c r="V273" s="156">
        <v>3140218.0173504576</v>
      </c>
      <c r="W273" s="156">
        <v>120559.70809683134</v>
      </c>
      <c r="X273" s="214">
        <f t="shared" si="56"/>
        <v>-2299914.182075374</v>
      </c>
      <c r="Y273" s="215">
        <f t="shared" si="57"/>
        <v>-378.2131527833208</v>
      </c>
      <c r="Z273" s="81"/>
      <c r="AA273" s="94">
        <f t="shared" si="58"/>
        <v>-163432.0277674552</v>
      </c>
      <c r="AB273" s="153">
        <f t="shared" si="59"/>
        <v>-26.875847355279593</v>
      </c>
      <c r="AD273" s="216">
        <v>188542.1212614246</v>
      </c>
      <c r="AE273" s="224">
        <v>84398.01350344658</v>
      </c>
      <c r="AF273" s="224">
        <v>6592.389577545982</v>
      </c>
      <c r="AG273" s="224">
        <v>7751.912695635003</v>
      </c>
      <c r="AH273" s="225">
        <v>9034.32602850446</v>
      </c>
      <c r="AJ273" s="81">
        <f t="shared" si="60"/>
        <v>11914777.469999999</v>
      </c>
      <c r="AK273" s="81">
        <f t="shared" si="61"/>
        <v>424509.45712559985</v>
      </c>
      <c r="AL273" s="81">
        <f t="shared" si="62"/>
        <v>7863383.357532242</v>
      </c>
      <c r="AM273" s="81">
        <f t="shared" si="63"/>
        <v>21911925.839397036</v>
      </c>
      <c r="AN273" s="81">
        <f t="shared" si="64"/>
        <v>188542.1212614246</v>
      </c>
      <c r="AO273" s="81">
        <f t="shared" si="65"/>
        <v>84398.01350344658</v>
      </c>
      <c r="AP273" s="81">
        <f t="shared" si="66"/>
        <v>6592.389577545982</v>
      </c>
      <c r="AQ273" s="81">
        <f t="shared" si="67"/>
        <v>7751.912695635003</v>
      </c>
      <c r="AR273" s="81">
        <f t="shared" si="68"/>
        <v>9034.32602850446</v>
      </c>
      <c r="AS273" s="82">
        <v>2133</v>
      </c>
      <c r="AT273" s="82"/>
      <c r="AU273" s="82"/>
      <c r="AV273" s="82">
        <f t="shared" si="69"/>
        <v>0</v>
      </c>
      <c r="AW273" s="82">
        <v>6700.800822137115</v>
      </c>
      <c r="AX273" s="149">
        <v>-1171.1162311030043</v>
      </c>
      <c r="AY273" s="81">
        <f t="shared" si="70"/>
        <v>-2120872.362021614</v>
      </c>
      <c r="AZ273" s="409"/>
      <c r="BA273" s="81"/>
      <c r="BB273" s="81"/>
      <c r="BC273" s="81"/>
      <c r="BD273" s="81"/>
      <c r="BE273" s="81"/>
      <c r="BF273" s="81"/>
      <c r="BG273" s="81"/>
    </row>
    <row r="274" spans="1:59" ht="12.75">
      <c r="A274" s="81">
        <v>837</v>
      </c>
      <c r="B274" s="81" t="s">
        <v>389</v>
      </c>
      <c r="C274" s="81">
        <v>6</v>
      </c>
      <c r="D274" s="81">
        <v>235239</v>
      </c>
      <c r="E274" s="100">
        <v>542441195.1790409</v>
      </c>
      <c r="F274" s="81">
        <v>316855614</v>
      </c>
      <c r="G274" s="81">
        <v>84874984.84325244</v>
      </c>
      <c r="H274" s="81">
        <v>50232597.057076894</v>
      </c>
      <c r="I274" s="156">
        <v>40602653.02754392</v>
      </c>
      <c r="J274" s="156">
        <v>33692494.10531131</v>
      </c>
      <c r="K274" s="81">
        <v>-36894354.87518993</v>
      </c>
      <c r="L274" s="81">
        <v>63647763</v>
      </c>
      <c r="M274" s="82">
        <v>26383600</v>
      </c>
      <c r="N274" s="82">
        <v>2977236.6910374993</v>
      </c>
      <c r="O274" s="214">
        <f t="shared" si="54"/>
        <v>39931392.669991255</v>
      </c>
      <c r="P274" s="215">
        <f t="shared" si="55"/>
        <v>169.74818235918048</v>
      </c>
      <c r="Q274" s="81"/>
      <c r="R274" s="223">
        <v>1371032040</v>
      </c>
      <c r="S274" s="156">
        <v>861541000.59</v>
      </c>
      <c r="T274" s="156">
        <v>75348895.58561535</v>
      </c>
      <c r="U274" s="156">
        <v>191690451.09761965</v>
      </c>
      <c r="V274" s="156">
        <v>100785029.20487846</v>
      </c>
      <c r="W274" s="156">
        <v>174906347.84325242</v>
      </c>
      <c r="X274" s="214">
        <f t="shared" si="56"/>
        <v>33239684.321365833</v>
      </c>
      <c r="Y274" s="215">
        <f t="shared" si="57"/>
        <v>141.3017583026872</v>
      </c>
      <c r="Z274" s="81"/>
      <c r="AA274" s="94">
        <f t="shared" si="58"/>
        <v>6691708.3486254215</v>
      </c>
      <c r="AB274" s="153">
        <f t="shared" si="59"/>
        <v>28.446424056493274</v>
      </c>
      <c r="AD274" s="216">
        <v>-5720342.901588795</v>
      </c>
      <c r="AE274" s="224">
        <v>-2691910.899431089</v>
      </c>
      <c r="AF274" s="224">
        <v>255021.72863547763</v>
      </c>
      <c r="AG274" s="224">
        <v>299877.0252603984</v>
      </c>
      <c r="AH274" s="225">
        <v>349486.23920726206</v>
      </c>
      <c r="AJ274" s="81">
        <f t="shared" si="60"/>
        <v>544685386.59</v>
      </c>
      <c r="AK274" s="81">
        <f t="shared" si="61"/>
        <v>25116298.528538458</v>
      </c>
      <c r="AL274" s="81">
        <f t="shared" si="62"/>
        <v>151087798.07007575</v>
      </c>
      <c r="AM274" s="81">
        <f t="shared" si="63"/>
        <v>828590844.8209591</v>
      </c>
      <c r="AN274" s="81">
        <f t="shared" si="64"/>
        <v>-5720342.901588795</v>
      </c>
      <c r="AO274" s="81">
        <f t="shared" si="65"/>
        <v>-2691910.899431089</v>
      </c>
      <c r="AP274" s="81">
        <f t="shared" si="66"/>
        <v>255021.72863547763</v>
      </c>
      <c r="AQ274" s="81">
        <f t="shared" si="67"/>
        <v>299877.0252603984</v>
      </c>
      <c r="AR274" s="81">
        <f t="shared" si="68"/>
        <v>349486.23920726206</v>
      </c>
      <c r="AS274" s="82">
        <v>111513</v>
      </c>
      <c r="AT274" s="82">
        <v>1611</v>
      </c>
      <c r="AU274" s="82">
        <v>1215</v>
      </c>
      <c r="AV274" s="82">
        <f t="shared" si="69"/>
        <v>2826</v>
      </c>
      <c r="AW274" s="82">
        <v>148492.53998989757</v>
      </c>
      <c r="AX274" s="149">
        <v>13394.73247943429</v>
      </c>
      <c r="AY274" s="81">
        <f t="shared" si="70"/>
        <v>-67092535.09956715</v>
      </c>
      <c r="AZ274" s="409"/>
      <c r="BA274" s="81"/>
      <c r="BB274" s="81"/>
      <c r="BC274" s="81"/>
      <c r="BD274" s="81"/>
      <c r="BE274" s="81"/>
      <c r="BF274" s="81"/>
      <c r="BG274" s="81"/>
    </row>
    <row r="275" spans="1:59" ht="12.75">
      <c r="A275" s="81">
        <v>844</v>
      </c>
      <c r="B275" s="81" t="s">
        <v>390</v>
      </c>
      <c r="C275" s="81">
        <v>11</v>
      </c>
      <c r="D275" s="81">
        <v>1567</v>
      </c>
      <c r="E275" s="100">
        <v>3904725.572514521</v>
      </c>
      <c r="F275" s="81">
        <v>1624185</v>
      </c>
      <c r="G275" s="81">
        <v>394707.01853716286</v>
      </c>
      <c r="H275" s="81">
        <v>321744.7939460832</v>
      </c>
      <c r="I275" s="156">
        <v>988977.4321690052</v>
      </c>
      <c r="J275" s="156">
        <v>324833.7908542829</v>
      </c>
      <c r="K275" s="81">
        <v>75028.00514787114</v>
      </c>
      <c r="L275" s="81">
        <v>-310844</v>
      </c>
      <c r="M275" s="82">
        <v>242000</v>
      </c>
      <c r="N275" s="82">
        <v>12385.065964703907</v>
      </c>
      <c r="O275" s="214">
        <f t="shared" si="54"/>
        <v>-231708.46589541156</v>
      </c>
      <c r="P275" s="215">
        <f t="shared" si="55"/>
        <v>-147.86755960141133</v>
      </c>
      <c r="Q275" s="81"/>
      <c r="R275" s="223">
        <v>12478620</v>
      </c>
      <c r="S275" s="156">
        <v>3833641.9349999996</v>
      </c>
      <c r="T275" s="156">
        <v>482617.1909191248</v>
      </c>
      <c r="U275" s="156">
        <v>6485188.552057393</v>
      </c>
      <c r="V275" s="156">
        <v>1030981.8083815076</v>
      </c>
      <c r="W275" s="156">
        <v>325863.01853716286</v>
      </c>
      <c r="X275" s="214">
        <f t="shared" si="56"/>
        <v>-320327.4951048121</v>
      </c>
      <c r="Y275" s="215">
        <f t="shared" si="57"/>
        <v>-204.42086477652336</v>
      </c>
      <c r="Z275" s="81"/>
      <c r="AA275" s="94">
        <f t="shared" si="58"/>
        <v>88619.02920940053</v>
      </c>
      <c r="AB275" s="153">
        <f t="shared" si="59"/>
        <v>56.553305175112015</v>
      </c>
      <c r="AD275" s="216">
        <v>-82148.46244323501</v>
      </c>
      <c r="AE275" s="224">
        <v>-61975.13681533685</v>
      </c>
      <c r="AF275" s="224">
        <v>-39910.25031316399</v>
      </c>
      <c r="AG275" s="224">
        <v>-16106.455258724667</v>
      </c>
      <c r="AH275" s="225">
        <v>2328.036324069477</v>
      </c>
      <c r="AJ275" s="81">
        <f t="shared" si="60"/>
        <v>2209456.9349999996</v>
      </c>
      <c r="AK275" s="81">
        <f t="shared" si="61"/>
        <v>160872.39697304158</v>
      </c>
      <c r="AL275" s="81">
        <f t="shared" si="62"/>
        <v>5496211.119888388</v>
      </c>
      <c r="AM275" s="81">
        <f t="shared" si="63"/>
        <v>8573894.427485479</v>
      </c>
      <c r="AN275" s="81">
        <f t="shared" si="64"/>
        <v>-82148.46244323501</v>
      </c>
      <c r="AO275" s="81">
        <f t="shared" si="65"/>
        <v>-61975.13681533685</v>
      </c>
      <c r="AP275" s="81">
        <f t="shared" si="66"/>
        <v>-39910.25031316399</v>
      </c>
      <c r="AQ275" s="81">
        <f t="shared" si="67"/>
        <v>-16106.455258724667</v>
      </c>
      <c r="AR275" s="81">
        <f t="shared" si="68"/>
        <v>2328.036324069477</v>
      </c>
      <c r="AS275" s="82">
        <v>261</v>
      </c>
      <c r="AT275" s="82"/>
      <c r="AU275" s="82">
        <v>1</v>
      </c>
      <c r="AV275" s="82">
        <f t="shared" si="69"/>
        <v>1</v>
      </c>
      <c r="AW275" s="82">
        <v>4690.090062701356</v>
      </c>
      <c r="AX275" s="149">
        <v>-957.512086245069</v>
      </c>
      <c r="AY275" s="81">
        <f t="shared" si="70"/>
        <v>-706148.0175272247</v>
      </c>
      <c r="AZ275" s="409"/>
      <c r="BA275" s="81"/>
      <c r="BB275" s="81"/>
      <c r="BC275" s="81"/>
      <c r="BD275" s="81"/>
      <c r="BE275" s="81"/>
      <c r="BF275" s="81"/>
      <c r="BG275" s="81"/>
    </row>
    <row r="276" spans="1:59" ht="12.75">
      <c r="A276" s="81">
        <v>845</v>
      </c>
      <c r="B276" s="81" t="s">
        <v>391</v>
      </c>
      <c r="C276" s="81">
        <v>19</v>
      </c>
      <c r="D276" s="81">
        <v>3062</v>
      </c>
      <c r="E276" s="100">
        <v>9288672.339593872</v>
      </c>
      <c r="F276" s="81">
        <v>3097655</v>
      </c>
      <c r="G276" s="81">
        <v>2620242.868599367</v>
      </c>
      <c r="H276" s="81">
        <v>327685.12128031685</v>
      </c>
      <c r="I276" s="156">
        <v>3601030.982974058</v>
      </c>
      <c r="J276" s="156">
        <v>527323.3568037965</v>
      </c>
      <c r="K276" s="81">
        <v>-705256.8248825292</v>
      </c>
      <c r="L276" s="81">
        <v>582</v>
      </c>
      <c r="M276" s="82">
        <v>347300</v>
      </c>
      <c r="N276" s="82">
        <v>29526.75192921116</v>
      </c>
      <c r="O276" s="214">
        <f aca="true" t="shared" si="71" ref="O276:O313">N276+M276+L276+K276+J276+I276+H276+G276+F276-E276</f>
        <v>557416.9171103481</v>
      </c>
      <c r="P276" s="215">
        <f aca="true" t="shared" si="72" ref="P276:P313">O276/D276</f>
        <v>182.04340859253693</v>
      </c>
      <c r="Q276" s="81"/>
      <c r="R276" s="223">
        <v>23378376</v>
      </c>
      <c r="S276" s="156">
        <v>8584822</v>
      </c>
      <c r="T276" s="156">
        <v>491527.68192047527</v>
      </c>
      <c r="U276" s="156">
        <v>9749073.553869868</v>
      </c>
      <c r="V276" s="156">
        <v>1625347.90903832</v>
      </c>
      <c r="W276" s="156">
        <v>2968124.868599367</v>
      </c>
      <c r="X276" s="214">
        <f aca="true" t="shared" si="73" ref="X276:X313">W276+V276+U276+T276+S276-R276</f>
        <v>40520.01342802867</v>
      </c>
      <c r="Y276" s="215">
        <f aca="true" t="shared" si="74" ref="Y276:Y313">X276/D276</f>
        <v>13.23318531287677</v>
      </c>
      <c r="Z276" s="81"/>
      <c r="AA276" s="94">
        <f aca="true" t="shared" si="75" ref="AA276:AA313">O276-X276</f>
        <v>516896.90368231945</v>
      </c>
      <c r="AB276" s="153">
        <f aca="true" t="shared" si="76" ref="AB276:AB313">AA276/D276</f>
        <v>168.81022327966016</v>
      </c>
      <c r="AD276" s="216">
        <v>-504253.0776210566</v>
      </c>
      <c r="AE276" s="224">
        <v>-464833.34368830343</v>
      </c>
      <c r="AF276" s="224">
        <v>-421717.4008231769</v>
      </c>
      <c r="AG276" s="224">
        <v>-375203.5396510689</v>
      </c>
      <c r="AH276" s="225">
        <v>-328627.7988805959</v>
      </c>
      <c r="AJ276" s="81">
        <f aca="true" t="shared" si="77" ref="AJ276:AJ313">S276-F276</f>
        <v>5487167</v>
      </c>
      <c r="AK276" s="81">
        <f aca="true" t="shared" si="78" ref="AK276:AK313">T276-H276</f>
        <v>163842.56064015842</v>
      </c>
      <c r="AL276" s="81">
        <f aca="true" t="shared" si="79" ref="AL276:AL313">U276-I276</f>
        <v>6148042.57089581</v>
      </c>
      <c r="AM276" s="81">
        <f aca="true" t="shared" si="80" ref="AM276:AM313">R276-E276</f>
        <v>14089703.660406128</v>
      </c>
      <c r="AN276" s="81">
        <f aca="true" t="shared" si="81" ref="AN276:AN313">AD276</f>
        <v>-504253.0776210566</v>
      </c>
      <c r="AO276" s="81">
        <f aca="true" t="shared" si="82" ref="AO276:AO313">AE276</f>
        <v>-464833.34368830343</v>
      </c>
      <c r="AP276" s="81">
        <f aca="true" t="shared" si="83" ref="AP276:AP313">AF276</f>
        <v>-421717.4008231769</v>
      </c>
      <c r="AQ276" s="81">
        <f aca="true" t="shared" si="84" ref="AQ276:AQ313">AG276</f>
        <v>-375203.5396510689</v>
      </c>
      <c r="AR276" s="81">
        <f aca="true" t="shared" si="85" ref="AR276:AR313">AH276</f>
        <v>-328627.7988805959</v>
      </c>
      <c r="AS276" s="82">
        <v>1325</v>
      </c>
      <c r="AT276" s="82">
        <v>43</v>
      </c>
      <c r="AU276" s="82"/>
      <c r="AV276" s="82">
        <f aca="true" t="shared" si="86" ref="AV276:AV313">AT276+AU276</f>
        <v>43</v>
      </c>
      <c r="AW276" s="82">
        <v>5075.546980938319</v>
      </c>
      <c r="AX276" s="149">
        <v>-1144.1419507557769</v>
      </c>
      <c r="AY276" s="81">
        <f aca="true" t="shared" si="87" ref="AY276:AY313">J276-V276</f>
        <v>-1098024.5522345235</v>
      </c>
      <c r="AZ276" s="409"/>
      <c r="BA276" s="81"/>
      <c r="BB276" s="81"/>
      <c r="BC276" s="81"/>
      <c r="BD276" s="81"/>
      <c r="BE276" s="81"/>
      <c r="BF276" s="81"/>
      <c r="BG276" s="81"/>
    </row>
    <row r="277" spans="1:59" ht="12.75">
      <c r="A277" s="81">
        <v>846</v>
      </c>
      <c r="B277" s="81" t="s">
        <v>392</v>
      </c>
      <c r="C277" s="81">
        <v>14</v>
      </c>
      <c r="D277" s="81">
        <v>5158</v>
      </c>
      <c r="E277" s="100">
        <v>12177392.904083941</v>
      </c>
      <c r="F277" s="81">
        <v>6466302</v>
      </c>
      <c r="G277" s="81">
        <v>1032895.9822876706</v>
      </c>
      <c r="H277" s="81">
        <v>573349.5541531297</v>
      </c>
      <c r="I277" s="156">
        <v>3871272.090007984</v>
      </c>
      <c r="J277" s="156">
        <v>1027822.1042013941</v>
      </c>
      <c r="K277" s="81">
        <v>-65567.916331205</v>
      </c>
      <c r="L277" s="81">
        <v>-376017</v>
      </c>
      <c r="M277" s="82">
        <v>-320000</v>
      </c>
      <c r="N277" s="82">
        <v>43303.565128100556</v>
      </c>
      <c r="O277" s="214">
        <f t="shared" si="71"/>
        <v>75967.47536313161</v>
      </c>
      <c r="P277" s="215">
        <f t="shared" si="72"/>
        <v>14.728087507392713</v>
      </c>
      <c r="Q277" s="81"/>
      <c r="R277" s="223">
        <v>35632184</v>
      </c>
      <c r="S277" s="156">
        <v>14467327.175</v>
      </c>
      <c r="T277" s="156">
        <v>860024.3312296944</v>
      </c>
      <c r="U277" s="156">
        <v>16366956.786837235</v>
      </c>
      <c r="V277" s="156">
        <v>3233941.8937640996</v>
      </c>
      <c r="W277" s="156">
        <v>336878.9822876706</v>
      </c>
      <c r="X277" s="214">
        <f t="shared" si="73"/>
        <v>-367054.8308812976</v>
      </c>
      <c r="Y277" s="215">
        <f t="shared" si="74"/>
        <v>-71.16223941087584</v>
      </c>
      <c r="Z277" s="81"/>
      <c r="AA277" s="94">
        <f t="shared" si="75"/>
        <v>443022.3062444292</v>
      </c>
      <c r="AB277" s="153">
        <f t="shared" si="76"/>
        <v>85.89032691826856</v>
      </c>
      <c r="AD277" s="216">
        <v>-421723.52935874485</v>
      </c>
      <c r="AE277" s="224">
        <v>-355320.202244068</v>
      </c>
      <c r="AF277" s="224">
        <v>-282690.5375483388</v>
      </c>
      <c r="AG277" s="224">
        <v>-204337.01177246263</v>
      </c>
      <c r="AH277" s="225">
        <v>-125879.24858039872</v>
      </c>
      <c r="AJ277" s="81">
        <f t="shared" si="77"/>
        <v>8001025.175000001</v>
      </c>
      <c r="AK277" s="81">
        <f t="shared" si="78"/>
        <v>286674.77707656473</v>
      </c>
      <c r="AL277" s="81">
        <f t="shared" si="79"/>
        <v>12495684.696829252</v>
      </c>
      <c r="AM277" s="81">
        <f t="shared" si="80"/>
        <v>23454791.09591606</v>
      </c>
      <c r="AN277" s="81">
        <f t="shared" si="81"/>
        <v>-421723.52935874485</v>
      </c>
      <c r="AO277" s="81">
        <f t="shared" si="82"/>
        <v>-355320.202244068</v>
      </c>
      <c r="AP277" s="81">
        <f t="shared" si="83"/>
        <v>-282690.5375483388</v>
      </c>
      <c r="AQ277" s="81">
        <f t="shared" si="84"/>
        <v>-204337.01177246263</v>
      </c>
      <c r="AR277" s="81">
        <f t="shared" si="85"/>
        <v>-125879.24858039872</v>
      </c>
      <c r="AS277" s="82">
        <v>1494</v>
      </c>
      <c r="AT277" s="82"/>
      <c r="AU277" s="82"/>
      <c r="AV277" s="82">
        <f t="shared" si="86"/>
        <v>0</v>
      </c>
      <c r="AW277" s="82">
        <v>10417.251123982023</v>
      </c>
      <c r="AX277" s="149">
        <v>-2519.7233061859724</v>
      </c>
      <c r="AY277" s="81">
        <f t="shared" si="87"/>
        <v>-2206119.7895627054</v>
      </c>
      <c r="AZ277" s="409"/>
      <c r="BA277" s="81"/>
      <c r="BB277" s="81"/>
      <c r="BC277" s="81"/>
      <c r="BD277" s="81"/>
      <c r="BE277" s="81"/>
      <c r="BF277" s="81"/>
      <c r="BG277" s="81"/>
    </row>
    <row r="278" spans="1:59" ht="12.75">
      <c r="A278" s="81">
        <v>848</v>
      </c>
      <c r="B278" s="81" t="s">
        <v>393</v>
      </c>
      <c r="C278" s="81">
        <v>12</v>
      </c>
      <c r="D278" s="81">
        <v>4482</v>
      </c>
      <c r="E278" s="100">
        <v>12051391.537103217</v>
      </c>
      <c r="F278" s="81">
        <v>4981076</v>
      </c>
      <c r="G278" s="81">
        <v>881240.437020712</v>
      </c>
      <c r="H278" s="81">
        <v>647956.2826398816</v>
      </c>
      <c r="I278" s="156">
        <v>3632789.506710246</v>
      </c>
      <c r="J278" s="156">
        <v>869523.8956943194</v>
      </c>
      <c r="K278" s="81">
        <v>-191506.7459190037</v>
      </c>
      <c r="L278" s="81">
        <v>458083</v>
      </c>
      <c r="M278" s="82">
        <v>164600</v>
      </c>
      <c r="N278" s="82">
        <v>37097.00662388433</v>
      </c>
      <c r="O278" s="214">
        <f t="shared" si="71"/>
        <v>-570532.154333178</v>
      </c>
      <c r="P278" s="215">
        <f t="shared" si="72"/>
        <v>-127.2940995834846</v>
      </c>
      <c r="Q278" s="81"/>
      <c r="R278" s="223">
        <v>32536616</v>
      </c>
      <c r="S278" s="156">
        <v>11756948.855</v>
      </c>
      <c r="T278" s="156">
        <v>971934.4239598223</v>
      </c>
      <c r="U278" s="156">
        <v>15068307.4022278</v>
      </c>
      <c r="V278" s="156">
        <v>2742608.105572125</v>
      </c>
      <c r="W278" s="156">
        <v>1503923.437020712</v>
      </c>
      <c r="X278" s="214">
        <f t="shared" si="73"/>
        <v>-492893.77621954307</v>
      </c>
      <c r="Y278" s="215">
        <f t="shared" si="74"/>
        <v>-109.97183762149555</v>
      </c>
      <c r="Z278" s="81"/>
      <c r="AA278" s="94">
        <f t="shared" si="75"/>
        <v>-77638.37811363488</v>
      </c>
      <c r="AB278" s="153">
        <f t="shared" si="76"/>
        <v>-17.322261961989042</v>
      </c>
      <c r="AD278" s="216">
        <v>96145.76818763606</v>
      </c>
      <c r="AE278" s="224">
        <v>19386.371547074134</v>
      </c>
      <c r="AF278" s="224">
        <v>4858.919599829155</v>
      </c>
      <c r="AG278" s="224">
        <v>5713.545913803006</v>
      </c>
      <c r="AH278" s="225">
        <v>6658.748439361451</v>
      </c>
      <c r="AJ278" s="81">
        <f t="shared" si="77"/>
        <v>6775872.855</v>
      </c>
      <c r="AK278" s="81">
        <f t="shared" si="78"/>
        <v>323978.1413199407</v>
      </c>
      <c r="AL278" s="81">
        <f t="shared" si="79"/>
        <v>11435517.895517554</v>
      </c>
      <c r="AM278" s="81">
        <f t="shared" si="80"/>
        <v>20485224.462896783</v>
      </c>
      <c r="AN278" s="81">
        <f t="shared" si="81"/>
        <v>96145.76818763606</v>
      </c>
      <c r="AO278" s="81">
        <f t="shared" si="82"/>
        <v>19386.371547074134</v>
      </c>
      <c r="AP278" s="81">
        <f t="shared" si="83"/>
        <v>4858.919599829155</v>
      </c>
      <c r="AQ278" s="81">
        <f t="shared" si="84"/>
        <v>5713.545913803006</v>
      </c>
      <c r="AR278" s="81">
        <f t="shared" si="85"/>
        <v>6658.748439361451</v>
      </c>
      <c r="AS278" s="82">
        <v>959</v>
      </c>
      <c r="AT278" s="82"/>
      <c r="AU278" s="82"/>
      <c r="AV278" s="82">
        <f t="shared" si="86"/>
        <v>0</v>
      </c>
      <c r="AW278" s="82">
        <v>8867.087953088865</v>
      </c>
      <c r="AX278" s="149">
        <v>-2399.5980161570187</v>
      </c>
      <c r="AY278" s="81">
        <f t="shared" si="87"/>
        <v>-1873084.2098778056</v>
      </c>
      <c r="AZ278" s="409"/>
      <c r="BA278" s="81"/>
      <c r="BB278" s="81"/>
      <c r="BC278" s="81"/>
      <c r="BD278" s="81"/>
      <c r="BE278" s="81"/>
      <c r="BF278" s="81"/>
      <c r="BG278" s="81"/>
    </row>
    <row r="279" spans="1:59" ht="12.75">
      <c r="A279" s="81">
        <v>849</v>
      </c>
      <c r="B279" s="81" t="s">
        <v>394</v>
      </c>
      <c r="C279" s="81">
        <v>16</v>
      </c>
      <c r="D279" s="81">
        <v>3112</v>
      </c>
      <c r="E279" s="100">
        <v>8646753.935431235</v>
      </c>
      <c r="F279" s="81">
        <v>3393328</v>
      </c>
      <c r="G279" s="81">
        <v>701802.5518086528</v>
      </c>
      <c r="H279" s="81">
        <v>412663.0357057824</v>
      </c>
      <c r="I279" s="156">
        <v>3877390.222686325</v>
      </c>
      <c r="J279" s="156">
        <v>598353.8369402352</v>
      </c>
      <c r="K279" s="81">
        <v>-240231.71767456</v>
      </c>
      <c r="L279" s="81">
        <v>237492</v>
      </c>
      <c r="M279" s="82">
        <v>-154000</v>
      </c>
      <c r="N279" s="82">
        <v>24531.76299189437</v>
      </c>
      <c r="O279" s="214">
        <f t="shared" si="71"/>
        <v>204575.75702709518</v>
      </c>
      <c r="P279" s="215">
        <f t="shared" si="72"/>
        <v>65.7377111269586</v>
      </c>
      <c r="Q279" s="81"/>
      <c r="R279" s="223">
        <v>21032872</v>
      </c>
      <c r="S279" s="156">
        <v>7882034.647499999</v>
      </c>
      <c r="T279" s="156">
        <v>618994.5535586736</v>
      </c>
      <c r="U279" s="156">
        <v>9620187.363318093</v>
      </c>
      <c r="V279" s="156">
        <v>1885293.198945758</v>
      </c>
      <c r="W279" s="156">
        <v>785294.5518086528</v>
      </c>
      <c r="X279" s="214">
        <f t="shared" si="73"/>
        <v>-241067.68486882374</v>
      </c>
      <c r="Y279" s="215">
        <f t="shared" si="74"/>
        <v>-77.4639090195449</v>
      </c>
      <c r="Z279" s="81"/>
      <c r="AA279" s="94">
        <f t="shared" si="75"/>
        <v>445643.4418959189</v>
      </c>
      <c r="AB279" s="153">
        <f t="shared" si="76"/>
        <v>143.2016201465035</v>
      </c>
      <c r="AD279" s="216">
        <v>-432793.15231308277</v>
      </c>
      <c r="AE279" s="224">
        <v>-392729.7257948829</v>
      </c>
      <c r="AF279" s="224">
        <v>-348909.7342219653</v>
      </c>
      <c r="AG279" s="224">
        <v>-301636.3390659888</v>
      </c>
      <c r="AH279" s="225">
        <v>-254300.05386751986</v>
      </c>
      <c r="AJ279" s="81">
        <f t="shared" si="77"/>
        <v>4488706.647499999</v>
      </c>
      <c r="AK279" s="81">
        <f t="shared" si="78"/>
        <v>206331.51785289118</v>
      </c>
      <c r="AL279" s="81">
        <f t="shared" si="79"/>
        <v>5742797.140631768</v>
      </c>
      <c r="AM279" s="81">
        <f t="shared" si="80"/>
        <v>12386118.064568765</v>
      </c>
      <c r="AN279" s="81">
        <f t="shared" si="81"/>
        <v>-432793.15231308277</v>
      </c>
      <c r="AO279" s="81">
        <f t="shared" si="82"/>
        <v>-392729.7257948829</v>
      </c>
      <c r="AP279" s="81">
        <f t="shared" si="83"/>
        <v>-348909.7342219653</v>
      </c>
      <c r="AQ279" s="81">
        <f t="shared" si="84"/>
        <v>-301636.3390659888</v>
      </c>
      <c r="AR279" s="81">
        <f t="shared" si="85"/>
        <v>-254300.05386751986</v>
      </c>
      <c r="AS279" s="82">
        <v>965</v>
      </c>
      <c r="AT279" s="82"/>
      <c r="AU279" s="82">
        <v>26</v>
      </c>
      <c r="AV279" s="82">
        <f t="shared" si="86"/>
        <v>26</v>
      </c>
      <c r="AW279" s="82">
        <v>4328.412127879195</v>
      </c>
      <c r="AX279" s="149">
        <v>-1725.2015844835164</v>
      </c>
      <c r="AY279" s="81">
        <f t="shared" si="87"/>
        <v>-1286939.3620055227</v>
      </c>
      <c r="AZ279" s="409"/>
      <c r="BA279" s="81"/>
      <c r="BB279" s="81"/>
      <c r="BC279" s="81"/>
      <c r="BD279" s="81"/>
      <c r="BE279" s="81"/>
      <c r="BF279" s="81"/>
      <c r="BG279" s="81"/>
    </row>
    <row r="280" spans="1:59" ht="12.75">
      <c r="A280" s="81">
        <v>850</v>
      </c>
      <c r="B280" s="81" t="s">
        <v>395</v>
      </c>
      <c r="C280" s="81">
        <v>13</v>
      </c>
      <c r="D280" s="81">
        <v>2406</v>
      </c>
      <c r="E280" s="100">
        <v>10123313.865837038</v>
      </c>
      <c r="F280" s="81">
        <v>2894864</v>
      </c>
      <c r="G280" s="81">
        <v>637201.1798707353</v>
      </c>
      <c r="H280" s="81">
        <v>424832.325892128</v>
      </c>
      <c r="I280" s="156">
        <v>2204307.2944064364</v>
      </c>
      <c r="J280" s="156">
        <v>385816.5527829421</v>
      </c>
      <c r="K280" s="81">
        <v>-60950.25324843026</v>
      </c>
      <c r="L280" s="81">
        <v>-512245</v>
      </c>
      <c r="M280" s="82">
        <v>-16800</v>
      </c>
      <c r="N280" s="82">
        <v>23804.845777439008</v>
      </c>
      <c r="O280" s="214">
        <f t="shared" si="71"/>
        <v>-4142482.9203557875</v>
      </c>
      <c r="P280" s="215">
        <f t="shared" si="72"/>
        <v>-1721.730224586778</v>
      </c>
      <c r="Q280" s="81"/>
      <c r="R280" s="223">
        <v>18901820</v>
      </c>
      <c r="S280" s="156">
        <v>7238364.16</v>
      </c>
      <c r="T280" s="156">
        <v>637248.488838192</v>
      </c>
      <c r="U280" s="156">
        <v>5668943.049350462</v>
      </c>
      <c r="V280" s="156">
        <v>1191709.1959038808</v>
      </c>
      <c r="W280" s="156">
        <v>108156.17987073527</v>
      </c>
      <c r="X280" s="214">
        <f t="shared" si="73"/>
        <v>-4057398.9260367304</v>
      </c>
      <c r="Y280" s="215">
        <f t="shared" si="74"/>
        <v>-1686.3669684275687</v>
      </c>
      <c r="Z280" s="81"/>
      <c r="AA280" s="94">
        <f t="shared" si="75"/>
        <v>-85083.99431905709</v>
      </c>
      <c r="AB280" s="153">
        <f t="shared" si="76"/>
        <v>-35.3632561592091</v>
      </c>
      <c r="AD280" s="216">
        <v>95019.01897725479</v>
      </c>
      <c r="AE280" s="224">
        <v>53813.50618894761</v>
      </c>
      <c r="AF280" s="224">
        <v>15512.330007855027</v>
      </c>
      <c r="AG280" s="224">
        <v>3067.1109925502083</v>
      </c>
      <c r="AH280" s="225">
        <v>3574.5088677161207</v>
      </c>
      <c r="AJ280" s="81">
        <f t="shared" si="77"/>
        <v>4343500.16</v>
      </c>
      <c r="AK280" s="81">
        <f t="shared" si="78"/>
        <v>212416.16294606397</v>
      </c>
      <c r="AL280" s="81">
        <f t="shared" si="79"/>
        <v>3464635.7549440255</v>
      </c>
      <c r="AM280" s="81">
        <f t="shared" si="80"/>
        <v>8778506.134162962</v>
      </c>
      <c r="AN280" s="81">
        <f t="shared" si="81"/>
        <v>95019.01897725479</v>
      </c>
      <c r="AO280" s="81">
        <f t="shared" si="82"/>
        <v>53813.50618894761</v>
      </c>
      <c r="AP280" s="81">
        <f t="shared" si="83"/>
        <v>15512.330007855027</v>
      </c>
      <c r="AQ280" s="81">
        <f t="shared" si="84"/>
        <v>3067.1109925502083</v>
      </c>
      <c r="AR280" s="81">
        <f t="shared" si="85"/>
        <v>3574.5088677161207</v>
      </c>
      <c r="AS280" s="82">
        <v>875</v>
      </c>
      <c r="AT280" s="82">
        <v>1</v>
      </c>
      <c r="AU280" s="82"/>
      <c r="AV280" s="82">
        <f t="shared" si="86"/>
        <v>1</v>
      </c>
      <c r="AW280" s="82">
        <v>2574.6965544872733</v>
      </c>
      <c r="AX280" s="149">
        <v>-783.8033959814136</v>
      </c>
      <c r="AY280" s="81">
        <f t="shared" si="87"/>
        <v>-805892.6431209387</v>
      </c>
      <c r="AZ280" s="409"/>
      <c r="BA280" s="81"/>
      <c r="BB280" s="81"/>
      <c r="BC280" s="81"/>
      <c r="BD280" s="81"/>
      <c r="BE280" s="81"/>
      <c r="BF280" s="81"/>
      <c r="BG280" s="81"/>
    </row>
    <row r="281" spans="1:59" ht="12.75">
      <c r="A281" s="81">
        <v>851</v>
      </c>
      <c r="B281" s="81" t="s">
        <v>396</v>
      </c>
      <c r="C281" s="81">
        <v>19</v>
      </c>
      <c r="D281" s="81">
        <v>21875</v>
      </c>
      <c r="E281" s="100">
        <v>51790655.973340705</v>
      </c>
      <c r="F281" s="81">
        <v>30090572</v>
      </c>
      <c r="G281" s="81">
        <v>6705488.237338371</v>
      </c>
      <c r="H281" s="81">
        <v>1931462.4438271008</v>
      </c>
      <c r="I281" s="156">
        <v>15539546.254467925</v>
      </c>
      <c r="J281" s="156">
        <v>3121913.1746370867</v>
      </c>
      <c r="K281" s="81">
        <v>-3847969.882377888</v>
      </c>
      <c r="L281" s="81">
        <v>-361529</v>
      </c>
      <c r="M281" s="82">
        <v>260000</v>
      </c>
      <c r="N281" s="82">
        <v>250868.89676485388</v>
      </c>
      <c r="O281" s="214">
        <f t="shared" si="71"/>
        <v>1899696.151316747</v>
      </c>
      <c r="P281" s="215">
        <f t="shared" si="72"/>
        <v>86.84325263162272</v>
      </c>
      <c r="Q281" s="81"/>
      <c r="R281" s="223">
        <v>132734392</v>
      </c>
      <c r="S281" s="156">
        <v>77137657.67999999</v>
      </c>
      <c r="T281" s="156">
        <v>2897193.665740651</v>
      </c>
      <c r="U281" s="156">
        <v>36076917.525598735</v>
      </c>
      <c r="V281" s="156">
        <v>9428088.303500738</v>
      </c>
      <c r="W281" s="156">
        <v>6603959.237338371</v>
      </c>
      <c r="X281" s="214">
        <f t="shared" si="73"/>
        <v>-590575.5878215134</v>
      </c>
      <c r="Y281" s="215">
        <f t="shared" si="74"/>
        <v>-26.9977411575549</v>
      </c>
      <c r="Z281" s="81"/>
      <c r="AA281" s="94">
        <f t="shared" si="75"/>
        <v>2490271.7391382605</v>
      </c>
      <c r="AB281" s="153">
        <f t="shared" si="76"/>
        <v>113.84099378917762</v>
      </c>
      <c r="AD281" s="216">
        <v>-2399943.9484491274</v>
      </c>
      <c r="AE281" s="224">
        <v>-2118328.442316216</v>
      </c>
      <c r="AF281" s="224">
        <v>-1810307.1326576127</v>
      </c>
      <c r="AG281" s="224">
        <v>-1478011.0147151365</v>
      </c>
      <c r="AH281" s="225">
        <v>-1145272.8274669012</v>
      </c>
      <c r="AJ281" s="81">
        <f t="shared" si="77"/>
        <v>47047085.67999999</v>
      </c>
      <c r="AK281" s="81">
        <f t="shared" si="78"/>
        <v>965731.2219135503</v>
      </c>
      <c r="AL281" s="81">
        <f t="shared" si="79"/>
        <v>20537371.271130808</v>
      </c>
      <c r="AM281" s="81">
        <f t="shared" si="80"/>
        <v>80943736.0266593</v>
      </c>
      <c r="AN281" s="81">
        <f t="shared" si="81"/>
        <v>-2399943.9484491274</v>
      </c>
      <c r="AO281" s="81">
        <f t="shared" si="82"/>
        <v>-2118328.442316216</v>
      </c>
      <c r="AP281" s="81">
        <f t="shared" si="83"/>
        <v>-1810307.1326576127</v>
      </c>
      <c r="AQ281" s="81">
        <f t="shared" si="84"/>
        <v>-1478011.0147151365</v>
      </c>
      <c r="AR281" s="81">
        <f t="shared" si="85"/>
        <v>-1145272.8274669012</v>
      </c>
      <c r="AS281" s="82">
        <v>5796</v>
      </c>
      <c r="AT281" s="82">
        <v>89</v>
      </c>
      <c r="AU281" s="82"/>
      <c r="AV281" s="82">
        <f t="shared" si="86"/>
        <v>89</v>
      </c>
      <c r="AW281" s="82">
        <v>18158.262026750966</v>
      </c>
      <c r="AX281" s="149">
        <v>-2482.101607528978</v>
      </c>
      <c r="AY281" s="81">
        <f t="shared" si="87"/>
        <v>-6306175.128863651</v>
      </c>
      <c r="AZ281" s="409"/>
      <c r="BA281" s="81"/>
      <c r="BB281" s="81"/>
      <c r="BC281" s="81"/>
      <c r="BD281" s="81"/>
      <c r="BE281" s="81"/>
      <c r="BF281" s="81"/>
      <c r="BG281" s="81"/>
    </row>
    <row r="282" spans="1:59" ht="12.75">
      <c r="A282" s="81">
        <v>853</v>
      </c>
      <c r="B282" s="81" t="s">
        <v>397</v>
      </c>
      <c r="C282" s="81">
        <v>2</v>
      </c>
      <c r="D282" s="81">
        <v>191331</v>
      </c>
      <c r="E282" s="100">
        <v>471417577.38557494</v>
      </c>
      <c r="F282" s="81">
        <v>223102519</v>
      </c>
      <c r="G282" s="81">
        <v>55631314.60843769</v>
      </c>
      <c r="H282" s="81">
        <v>64496218.08870536</v>
      </c>
      <c r="I282" s="156">
        <v>33511824.19874809</v>
      </c>
      <c r="J282" s="156">
        <v>28756782.94111252</v>
      </c>
      <c r="K282" s="81">
        <v>-30737766.562295783</v>
      </c>
      <c r="L282" s="81">
        <v>41171266</v>
      </c>
      <c r="M282" s="82">
        <v>30770000</v>
      </c>
      <c r="N282" s="82">
        <v>2401218.9837494916</v>
      </c>
      <c r="O282" s="214">
        <f t="shared" si="71"/>
        <v>-22314200.127117574</v>
      </c>
      <c r="P282" s="215">
        <f t="shared" si="72"/>
        <v>-116.6261616105993</v>
      </c>
      <c r="Q282" s="81"/>
      <c r="R282" s="223">
        <v>1169663684</v>
      </c>
      <c r="S282" s="156">
        <v>650414319.115</v>
      </c>
      <c r="T282" s="156">
        <v>96744327.13305804</v>
      </c>
      <c r="U282" s="156">
        <v>179347793.70541218</v>
      </c>
      <c r="V282" s="156">
        <v>86895950.44241372</v>
      </c>
      <c r="W282" s="156">
        <v>127572580.60843769</v>
      </c>
      <c r="X282" s="214">
        <f t="shared" si="73"/>
        <v>-28688712.995678425</v>
      </c>
      <c r="Y282" s="215">
        <f t="shared" si="74"/>
        <v>-149.94283725940085</v>
      </c>
      <c r="Z282" s="81"/>
      <c r="AA282" s="94">
        <f t="shared" si="75"/>
        <v>6374512.868560851</v>
      </c>
      <c r="AB282" s="153">
        <f t="shared" si="76"/>
        <v>33.31667564880156</v>
      </c>
      <c r="AD282" s="216">
        <v>-5584455.427630902</v>
      </c>
      <c r="AE282" s="224">
        <v>-3121288.5063090296</v>
      </c>
      <c r="AF282" s="224">
        <v>-427161.6401014757</v>
      </c>
      <c r="AG282" s="224">
        <v>243904.1618103175</v>
      </c>
      <c r="AH282" s="225">
        <v>284253.68086824316</v>
      </c>
      <c r="AJ282" s="81">
        <f t="shared" si="77"/>
        <v>427311800.115</v>
      </c>
      <c r="AK282" s="81">
        <f t="shared" si="78"/>
        <v>32248109.04435268</v>
      </c>
      <c r="AL282" s="81">
        <f t="shared" si="79"/>
        <v>145835969.5066641</v>
      </c>
      <c r="AM282" s="81">
        <f t="shared" si="80"/>
        <v>698246106.6144251</v>
      </c>
      <c r="AN282" s="81">
        <f t="shared" si="81"/>
        <v>-5584455.427630902</v>
      </c>
      <c r="AO282" s="81">
        <f t="shared" si="82"/>
        <v>-3121288.5063090296</v>
      </c>
      <c r="AP282" s="81">
        <f t="shared" si="83"/>
        <v>-427161.6401014757</v>
      </c>
      <c r="AQ282" s="81">
        <f t="shared" si="84"/>
        <v>243904.1618103175</v>
      </c>
      <c r="AR282" s="81">
        <f t="shared" si="85"/>
        <v>284253.68086824316</v>
      </c>
      <c r="AS282" s="82">
        <v>57729</v>
      </c>
      <c r="AT282" s="82">
        <v>548</v>
      </c>
      <c r="AU282" s="82">
        <v>1909</v>
      </c>
      <c r="AV282" s="82">
        <f t="shared" si="86"/>
        <v>2457</v>
      </c>
      <c r="AW282" s="82">
        <v>145421.4872233091</v>
      </c>
      <c r="AX282" s="149">
        <v>12145.665218858683</v>
      </c>
      <c r="AY282" s="81">
        <f t="shared" si="87"/>
        <v>-58139167.5013012</v>
      </c>
      <c r="AZ282" s="409"/>
      <c r="BA282" s="81"/>
      <c r="BB282" s="81"/>
      <c r="BC282" s="81"/>
      <c r="BD282" s="81"/>
      <c r="BE282" s="81"/>
      <c r="BF282" s="81"/>
      <c r="BG282" s="81"/>
    </row>
    <row r="283" spans="1:59" ht="12.75">
      <c r="A283" s="81">
        <v>854</v>
      </c>
      <c r="B283" s="81" t="s">
        <v>319</v>
      </c>
      <c r="C283" s="81">
        <v>19</v>
      </c>
      <c r="D283" s="81">
        <v>3438</v>
      </c>
      <c r="E283" s="100">
        <v>8969381.14062177</v>
      </c>
      <c r="F283" s="81">
        <v>4191712</v>
      </c>
      <c r="G283" s="81">
        <v>854190.2906323697</v>
      </c>
      <c r="H283" s="81">
        <v>461250.8923242528</v>
      </c>
      <c r="I283" s="156">
        <v>2993736.890992658</v>
      </c>
      <c r="J283" s="156">
        <v>635816.308247064</v>
      </c>
      <c r="K283" s="81">
        <v>-436305.6785671279</v>
      </c>
      <c r="L283" s="81">
        <v>-297954</v>
      </c>
      <c r="M283" s="82">
        <v>131500</v>
      </c>
      <c r="N283" s="82">
        <v>33794.86496981718</v>
      </c>
      <c r="O283" s="214">
        <f t="shared" si="71"/>
        <v>-401639.5720227361</v>
      </c>
      <c r="P283" s="215">
        <f t="shared" si="72"/>
        <v>-116.82361024512393</v>
      </c>
      <c r="Q283" s="81"/>
      <c r="R283" s="223">
        <v>29367492</v>
      </c>
      <c r="S283" s="156">
        <v>10428953.575</v>
      </c>
      <c r="T283" s="156">
        <v>691876.3384863792</v>
      </c>
      <c r="U283" s="156">
        <v>14748288.575435318</v>
      </c>
      <c r="V283" s="156">
        <v>1987895.9613147487</v>
      </c>
      <c r="W283" s="156">
        <v>687736.2906323697</v>
      </c>
      <c r="X283" s="214">
        <f t="shared" si="73"/>
        <v>-822741.259131182</v>
      </c>
      <c r="Y283" s="215">
        <f t="shared" si="74"/>
        <v>-239.30810329586444</v>
      </c>
      <c r="Z283" s="81"/>
      <c r="AA283" s="94">
        <f t="shared" si="75"/>
        <v>421101.6871084459</v>
      </c>
      <c r="AB283" s="153">
        <f t="shared" si="76"/>
        <v>122.48449305074053</v>
      </c>
      <c r="AD283" s="216">
        <v>-406905.25536494143</v>
      </c>
      <c r="AE283" s="224">
        <v>-362644.95318962954</v>
      </c>
      <c r="AF283" s="224">
        <v>-314234.56404191395</v>
      </c>
      <c r="AG283" s="224">
        <v>-262009.00731111472</v>
      </c>
      <c r="AH283" s="225">
        <v>-209713.97244211208</v>
      </c>
      <c r="AJ283" s="81">
        <f t="shared" si="77"/>
        <v>6237241.574999999</v>
      </c>
      <c r="AK283" s="81">
        <f t="shared" si="78"/>
        <v>230625.44616212643</v>
      </c>
      <c r="AL283" s="81">
        <f t="shared" si="79"/>
        <v>11754551.68444266</v>
      </c>
      <c r="AM283" s="81">
        <f t="shared" si="80"/>
        <v>20398110.85937823</v>
      </c>
      <c r="AN283" s="81">
        <f t="shared" si="81"/>
        <v>-406905.25536494143</v>
      </c>
      <c r="AO283" s="81">
        <f t="shared" si="82"/>
        <v>-362644.95318962954</v>
      </c>
      <c r="AP283" s="81">
        <f t="shared" si="83"/>
        <v>-314234.56404191395</v>
      </c>
      <c r="AQ283" s="81">
        <f t="shared" si="84"/>
        <v>-262009.00731111472</v>
      </c>
      <c r="AR283" s="81">
        <f t="shared" si="85"/>
        <v>-209713.97244211208</v>
      </c>
      <c r="AS283" s="82">
        <v>1159</v>
      </c>
      <c r="AT283" s="82">
        <v>231</v>
      </c>
      <c r="AU283" s="82"/>
      <c r="AV283" s="82">
        <f t="shared" si="86"/>
        <v>231</v>
      </c>
      <c r="AW283" s="82">
        <v>10585.263498321914</v>
      </c>
      <c r="AX283" s="149">
        <v>-1327.5002426001151</v>
      </c>
      <c r="AY283" s="81">
        <f t="shared" si="87"/>
        <v>-1352079.6530676847</v>
      </c>
      <c r="AZ283" s="409"/>
      <c r="BA283" s="81"/>
      <c r="BB283" s="81"/>
      <c r="BC283" s="81"/>
      <c r="BD283" s="81"/>
      <c r="BE283" s="81"/>
      <c r="BF283" s="81"/>
      <c r="BG283" s="81"/>
    </row>
    <row r="284" spans="1:59" ht="12.75">
      <c r="A284" s="81">
        <v>857</v>
      </c>
      <c r="B284" s="81" t="s">
        <v>398</v>
      </c>
      <c r="C284" s="81">
        <v>11</v>
      </c>
      <c r="D284" s="81">
        <v>2551</v>
      </c>
      <c r="E284" s="100">
        <v>6031352.456547031</v>
      </c>
      <c r="F284" s="81">
        <v>2835092</v>
      </c>
      <c r="G284" s="81">
        <v>882872.7029179975</v>
      </c>
      <c r="H284" s="81">
        <v>520503.379083072</v>
      </c>
      <c r="I284" s="156">
        <v>1481521.013082373</v>
      </c>
      <c r="J284" s="156">
        <v>492259.2332816648</v>
      </c>
      <c r="K284" s="81">
        <v>-1050596.5377912545</v>
      </c>
      <c r="L284" s="81">
        <v>-27843</v>
      </c>
      <c r="M284" s="82">
        <v>120500</v>
      </c>
      <c r="N284" s="82">
        <v>20946.110655039705</v>
      </c>
      <c r="O284" s="214">
        <f t="shared" si="71"/>
        <v>-756097.5553181386</v>
      </c>
      <c r="P284" s="215">
        <f t="shared" si="72"/>
        <v>-296.3926128256129</v>
      </c>
      <c r="Q284" s="81"/>
      <c r="R284" s="223">
        <v>20083896</v>
      </c>
      <c r="S284" s="156">
        <v>6583634.5</v>
      </c>
      <c r="T284" s="156">
        <v>780755.068624608</v>
      </c>
      <c r="U284" s="156">
        <v>8714478.851002088</v>
      </c>
      <c r="V284" s="156">
        <v>1546609.0576254171</v>
      </c>
      <c r="W284" s="156">
        <v>975529.7029179975</v>
      </c>
      <c r="X284" s="214">
        <f t="shared" si="73"/>
        <v>-1482888.8198298886</v>
      </c>
      <c r="Y284" s="215">
        <f t="shared" si="74"/>
        <v>-581.2970677498583</v>
      </c>
      <c r="Z284" s="81"/>
      <c r="AA284" s="94">
        <f t="shared" si="75"/>
        <v>726791.2645117501</v>
      </c>
      <c r="AB284" s="153">
        <f t="shared" si="76"/>
        <v>284.90445492424544</v>
      </c>
      <c r="AD284" s="216">
        <v>-716257.4956409845</v>
      </c>
      <c r="AE284" s="224">
        <v>-683416.2999314961</v>
      </c>
      <c r="AF284" s="224">
        <v>-647495.7348599945</v>
      </c>
      <c r="AG284" s="224">
        <v>-608744.3110030227</v>
      </c>
      <c r="AH284" s="225">
        <v>-569941.3342866686</v>
      </c>
      <c r="AJ284" s="81">
        <f t="shared" si="77"/>
        <v>3748542.5</v>
      </c>
      <c r="AK284" s="81">
        <f t="shared" si="78"/>
        <v>260251.68954153598</v>
      </c>
      <c r="AL284" s="81">
        <f t="shared" si="79"/>
        <v>7232957.837919715</v>
      </c>
      <c r="AM284" s="81">
        <f t="shared" si="80"/>
        <v>14052543.543452969</v>
      </c>
      <c r="AN284" s="81">
        <f t="shared" si="81"/>
        <v>-716257.4956409845</v>
      </c>
      <c r="AO284" s="81">
        <f t="shared" si="82"/>
        <v>-683416.2999314961</v>
      </c>
      <c r="AP284" s="81">
        <f t="shared" si="83"/>
        <v>-647495.7348599945</v>
      </c>
      <c r="AQ284" s="81">
        <f t="shared" si="84"/>
        <v>-608744.3110030227</v>
      </c>
      <c r="AR284" s="81">
        <f t="shared" si="85"/>
        <v>-569941.3342866686</v>
      </c>
      <c r="AS284" s="82">
        <v>1051</v>
      </c>
      <c r="AT284" s="82">
        <v>254</v>
      </c>
      <c r="AU284" s="82"/>
      <c r="AV284" s="82">
        <f t="shared" si="86"/>
        <v>254</v>
      </c>
      <c r="AW284" s="82">
        <v>5903.9755517476515</v>
      </c>
      <c r="AX284" s="149">
        <v>-1376.1376611155067</v>
      </c>
      <c r="AY284" s="81">
        <f t="shared" si="87"/>
        <v>-1054349.8243437523</v>
      </c>
      <c r="AZ284" s="409"/>
      <c r="BA284" s="81"/>
      <c r="BB284" s="81"/>
      <c r="BC284" s="81"/>
      <c r="BD284" s="81"/>
      <c r="BE284" s="81"/>
      <c r="BF284" s="81"/>
      <c r="BG284" s="81"/>
    </row>
    <row r="285" spans="1:59" ht="12.75">
      <c r="A285" s="81">
        <v>858</v>
      </c>
      <c r="B285" s="81" t="s">
        <v>399</v>
      </c>
      <c r="C285" s="81">
        <v>1</v>
      </c>
      <c r="D285" s="81">
        <v>38664</v>
      </c>
      <c r="E285" s="100">
        <v>112019139.69107094</v>
      </c>
      <c r="F285" s="81">
        <v>56235506</v>
      </c>
      <c r="G285" s="81">
        <v>9857305.243842246</v>
      </c>
      <c r="H285" s="81">
        <v>4936423.00602528</v>
      </c>
      <c r="I285" s="156">
        <v>22285281.71577533</v>
      </c>
      <c r="J285" s="156">
        <v>4414483.386603392</v>
      </c>
      <c r="K285" s="81">
        <v>1507875.1407324213</v>
      </c>
      <c r="L285" s="81">
        <v>-3244186</v>
      </c>
      <c r="M285" s="82">
        <v>-299573</v>
      </c>
      <c r="N285" s="82">
        <v>596130.3480869782</v>
      </c>
      <c r="O285" s="214">
        <f t="shared" si="71"/>
        <v>-15729893.850005299</v>
      </c>
      <c r="P285" s="215">
        <f t="shared" si="72"/>
        <v>-406.83565720063365</v>
      </c>
      <c r="Q285" s="81"/>
      <c r="R285" s="223">
        <v>235884768</v>
      </c>
      <c r="S285" s="156">
        <v>167858350.11</v>
      </c>
      <c r="T285" s="156">
        <v>7404634.509037919</v>
      </c>
      <c r="U285" s="156">
        <v>26254605.30105295</v>
      </c>
      <c r="V285" s="156">
        <v>12587773.54823323</v>
      </c>
      <c r="W285" s="156">
        <v>6313546.243842246</v>
      </c>
      <c r="X285" s="214">
        <f t="shared" si="73"/>
        <v>-15465858.287833631</v>
      </c>
      <c r="Y285" s="215">
        <f t="shared" si="74"/>
        <v>-400.00668031847795</v>
      </c>
      <c r="Z285" s="81"/>
      <c r="AA285" s="94">
        <f t="shared" si="75"/>
        <v>-264035.5621716678</v>
      </c>
      <c r="AB285" s="153">
        <f t="shared" si="76"/>
        <v>-6.828976882155696</v>
      </c>
      <c r="AD285" s="216">
        <v>423689.6741353094</v>
      </c>
      <c r="AE285" s="224">
        <v>77448.71443782959</v>
      </c>
      <c r="AF285" s="224">
        <v>41915.49919852621</v>
      </c>
      <c r="AG285" s="224">
        <v>49287.93824437293</v>
      </c>
      <c r="AH285" s="225">
        <v>57441.73352509397</v>
      </c>
      <c r="AJ285" s="81">
        <f t="shared" si="77"/>
        <v>111622844.11000001</v>
      </c>
      <c r="AK285" s="81">
        <f t="shared" si="78"/>
        <v>2468211.5030126395</v>
      </c>
      <c r="AL285" s="81">
        <f t="shared" si="79"/>
        <v>3969323.5852776207</v>
      </c>
      <c r="AM285" s="81">
        <f t="shared" si="80"/>
        <v>123865628.30892906</v>
      </c>
      <c r="AN285" s="81">
        <f t="shared" si="81"/>
        <v>423689.6741353094</v>
      </c>
      <c r="AO285" s="81">
        <f t="shared" si="82"/>
        <v>77448.71443782959</v>
      </c>
      <c r="AP285" s="81">
        <f t="shared" si="83"/>
        <v>41915.49919852621</v>
      </c>
      <c r="AQ285" s="81">
        <f t="shared" si="84"/>
        <v>49287.93824437293</v>
      </c>
      <c r="AR285" s="81">
        <f t="shared" si="85"/>
        <v>57441.73352509397</v>
      </c>
      <c r="AS285" s="82">
        <v>25385</v>
      </c>
      <c r="AT285" s="82"/>
      <c r="AU285" s="82"/>
      <c r="AV285" s="82">
        <f t="shared" si="86"/>
        <v>0</v>
      </c>
      <c r="AW285" s="82">
        <v>14945.602498048123</v>
      </c>
      <c r="AX285" s="149">
        <v>9920.390008780956</v>
      </c>
      <c r="AY285" s="81">
        <f t="shared" si="87"/>
        <v>-8173290.161629838</v>
      </c>
      <c r="AZ285" s="409"/>
      <c r="BA285" s="81"/>
      <c r="BB285" s="81"/>
      <c r="BC285" s="81"/>
      <c r="BD285" s="81"/>
      <c r="BE285" s="81"/>
      <c r="BF285" s="81"/>
      <c r="BG285" s="81"/>
    </row>
    <row r="286" spans="1:59" ht="12.75">
      <c r="A286" s="81">
        <v>859</v>
      </c>
      <c r="B286" s="81" t="s">
        <v>400</v>
      </c>
      <c r="C286" s="81">
        <v>17</v>
      </c>
      <c r="D286" s="81">
        <v>6758</v>
      </c>
      <c r="E286" s="100">
        <v>17506957.091092862</v>
      </c>
      <c r="F286" s="81">
        <v>8215005</v>
      </c>
      <c r="G286" s="81">
        <v>858291.5044325684</v>
      </c>
      <c r="H286" s="81">
        <v>243367.94290152958</v>
      </c>
      <c r="I286" s="156">
        <v>13623125.623204432</v>
      </c>
      <c r="J286" s="156">
        <v>877545.7926640685</v>
      </c>
      <c r="K286" s="81">
        <v>-1927567.865646251</v>
      </c>
      <c r="L286" s="81">
        <v>-1039300</v>
      </c>
      <c r="M286" s="82">
        <v>-290000</v>
      </c>
      <c r="N286" s="82">
        <v>57190.663395736396</v>
      </c>
      <c r="O286" s="214">
        <f t="shared" si="71"/>
        <v>3110701.5698592216</v>
      </c>
      <c r="P286" s="215">
        <f t="shared" si="72"/>
        <v>460.299137297902</v>
      </c>
      <c r="Q286" s="81"/>
      <c r="R286" s="223">
        <v>39709880</v>
      </c>
      <c r="S286" s="156">
        <v>19038818.4</v>
      </c>
      <c r="T286" s="156">
        <v>365051.9143522944</v>
      </c>
      <c r="U286" s="156">
        <v>19262680.545010712</v>
      </c>
      <c r="V286" s="156">
        <v>2697993.903327847</v>
      </c>
      <c r="W286" s="156">
        <v>-471008.49556743156</v>
      </c>
      <c r="X286" s="214">
        <f t="shared" si="73"/>
        <v>1183656.267123416</v>
      </c>
      <c r="Y286" s="215">
        <f t="shared" si="74"/>
        <v>175.14890013664044</v>
      </c>
      <c r="Z286" s="81"/>
      <c r="AA286" s="94">
        <f t="shared" si="75"/>
        <v>1927045.3027358055</v>
      </c>
      <c r="AB286" s="153">
        <f t="shared" si="76"/>
        <v>285.15023716126154</v>
      </c>
      <c r="AD286" s="216">
        <v>-1899139.693159707</v>
      </c>
      <c r="AE286" s="224">
        <v>-1812138.2033107372</v>
      </c>
      <c r="AF286" s="224">
        <v>-1716978.9799656929</v>
      </c>
      <c r="AG286" s="224">
        <v>-1614320.366706024</v>
      </c>
      <c r="AH286" s="225">
        <v>-1511525.1818180892</v>
      </c>
      <c r="AJ286" s="81">
        <f t="shared" si="77"/>
        <v>10823813.399999999</v>
      </c>
      <c r="AK286" s="81">
        <f t="shared" si="78"/>
        <v>121683.97145076483</v>
      </c>
      <c r="AL286" s="81">
        <f t="shared" si="79"/>
        <v>5639554.92180628</v>
      </c>
      <c r="AM286" s="81">
        <f t="shared" si="80"/>
        <v>22202922.908907138</v>
      </c>
      <c r="AN286" s="81">
        <f t="shared" si="81"/>
        <v>-1899139.693159707</v>
      </c>
      <c r="AO286" s="81">
        <f t="shared" si="82"/>
        <v>-1812138.2033107372</v>
      </c>
      <c r="AP286" s="81">
        <f t="shared" si="83"/>
        <v>-1716978.9799656929</v>
      </c>
      <c r="AQ286" s="81">
        <f t="shared" si="84"/>
        <v>-1614320.366706024</v>
      </c>
      <c r="AR286" s="81">
        <f t="shared" si="85"/>
        <v>-1511525.1818180892</v>
      </c>
      <c r="AS286" s="82">
        <v>2009</v>
      </c>
      <c r="AT286" s="82">
        <v>160</v>
      </c>
      <c r="AU286" s="82"/>
      <c r="AV286" s="82">
        <f t="shared" si="86"/>
        <v>160</v>
      </c>
      <c r="AW286" s="82">
        <v>2912.5640286098683</v>
      </c>
      <c r="AX286" s="149">
        <v>-3423.992230056288</v>
      </c>
      <c r="AY286" s="81">
        <f t="shared" si="87"/>
        <v>-1820448.1106637784</v>
      </c>
      <c r="AZ286" s="409"/>
      <c r="BA286" s="81"/>
      <c r="BB286" s="81"/>
      <c r="BC286" s="81"/>
      <c r="BD286" s="81"/>
      <c r="BE286" s="81"/>
      <c r="BF286" s="81"/>
      <c r="BG286" s="81"/>
    </row>
    <row r="287" spans="1:59" ht="12.75">
      <c r="A287" s="81">
        <v>886</v>
      </c>
      <c r="B287" s="81" t="s">
        <v>401</v>
      </c>
      <c r="C287" s="81">
        <v>4</v>
      </c>
      <c r="D287" s="81">
        <v>13021</v>
      </c>
      <c r="E287" s="100">
        <v>27422248.325748138</v>
      </c>
      <c r="F287" s="81">
        <v>19302766</v>
      </c>
      <c r="G287" s="81">
        <v>2425681.890476336</v>
      </c>
      <c r="H287" s="81">
        <v>1281419.6504066496</v>
      </c>
      <c r="I287" s="156">
        <v>8381919.6171031725</v>
      </c>
      <c r="J287" s="156">
        <v>1843648.4465356758</v>
      </c>
      <c r="K287" s="81">
        <v>-1555080.0044350685</v>
      </c>
      <c r="L287" s="81">
        <v>-741222</v>
      </c>
      <c r="M287" s="82">
        <v>-91500</v>
      </c>
      <c r="N287" s="82">
        <v>150275.1324371204</v>
      </c>
      <c r="O287" s="214">
        <f t="shared" si="71"/>
        <v>3575660.4067757465</v>
      </c>
      <c r="P287" s="215">
        <f t="shared" si="72"/>
        <v>274.6072042681627</v>
      </c>
      <c r="Q287" s="81"/>
      <c r="R287" s="223">
        <v>74237688</v>
      </c>
      <c r="S287" s="156">
        <v>47422625.985</v>
      </c>
      <c r="T287" s="156">
        <v>1922129.4756099742</v>
      </c>
      <c r="U287" s="156">
        <v>19947877.20347209</v>
      </c>
      <c r="V287" s="156">
        <v>5553321.953105952</v>
      </c>
      <c r="W287" s="156">
        <v>1592959.8904763358</v>
      </c>
      <c r="X287" s="214">
        <f t="shared" si="73"/>
        <v>2201226.5076643527</v>
      </c>
      <c r="Y287" s="215">
        <f t="shared" si="74"/>
        <v>169.05203192261368</v>
      </c>
      <c r="Z287" s="81"/>
      <c r="AA287" s="94">
        <f t="shared" si="75"/>
        <v>1374433.8991113938</v>
      </c>
      <c r="AB287" s="153">
        <f t="shared" si="76"/>
        <v>105.55517234554902</v>
      </c>
      <c r="AD287" s="216">
        <v>-1320666.6688227907</v>
      </c>
      <c r="AE287" s="224">
        <v>-1153036.2457207728</v>
      </c>
      <c r="AF287" s="224">
        <v>-969687.8812378163</v>
      </c>
      <c r="AG287" s="224">
        <v>-771890.0411587772</v>
      </c>
      <c r="AH287" s="225">
        <v>-573829.0612200676</v>
      </c>
      <c r="AJ287" s="81">
        <f t="shared" si="77"/>
        <v>28119859.985</v>
      </c>
      <c r="AK287" s="81">
        <f t="shared" si="78"/>
        <v>640709.8252033247</v>
      </c>
      <c r="AL287" s="81">
        <f t="shared" si="79"/>
        <v>11565957.586368917</v>
      </c>
      <c r="AM287" s="81">
        <f t="shared" si="80"/>
        <v>46815439.67425186</v>
      </c>
      <c r="AN287" s="81">
        <f t="shared" si="81"/>
        <v>-1320666.6688227907</v>
      </c>
      <c r="AO287" s="81">
        <f t="shared" si="82"/>
        <v>-1153036.2457207728</v>
      </c>
      <c r="AP287" s="81">
        <f t="shared" si="83"/>
        <v>-969687.8812378163</v>
      </c>
      <c r="AQ287" s="81">
        <f t="shared" si="84"/>
        <v>-771890.0411587772</v>
      </c>
      <c r="AR287" s="81">
        <f t="shared" si="85"/>
        <v>-573829.0612200676</v>
      </c>
      <c r="AS287" s="82">
        <v>2948</v>
      </c>
      <c r="AT287" s="82">
        <v>66</v>
      </c>
      <c r="AU287" s="82"/>
      <c r="AV287" s="82">
        <f t="shared" si="86"/>
        <v>66</v>
      </c>
      <c r="AW287" s="82">
        <v>10894.142116525156</v>
      </c>
      <c r="AX287" s="149">
        <v>-1115.5032694288698</v>
      </c>
      <c r="AY287" s="81">
        <f t="shared" si="87"/>
        <v>-3709673.506570276</v>
      </c>
      <c r="AZ287" s="409"/>
      <c r="BA287" s="81"/>
      <c r="BB287" s="81"/>
      <c r="BC287" s="81"/>
      <c r="BD287" s="81"/>
      <c r="BE287" s="81"/>
      <c r="BF287" s="81"/>
      <c r="BG287" s="81"/>
    </row>
    <row r="288" spans="1:59" ht="12.75">
      <c r="A288" s="81">
        <v>887</v>
      </c>
      <c r="B288" s="81" t="s">
        <v>402</v>
      </c>
      <c r="C288" s="81">
        <v>6</v>
      </c>
      <c r="D288" s="81">
        <v>4792</v>
      </c>
      <c r="E288" s="100">
        <v>11218531.635967057</v>
      </c>
      <c r="F288" s="81">
        <v>5968003</v>
      </c>
      <c r="G288" s="81">
        <v>1492822.1097928681</v>
      </c>
      <c r="H288" s="81">
        <v>601417.8412415711</v>
      </c>
      <c r="I288" s="156">
        <v>2893419.561795299</v>
      </c>
      <c r="J288" s="156">
        <v>931007.0166488409</v>
      </c>
      <c r="K288" s="81">
        <v>64967.098517207545</v>
      </c>
      <c r="L288" s="81">
        <v>-357221</v>
      </c>
      <c r="M288" s="82">
        <v>-9050</v>
      </c>
      <c r="N288" s="82">
        <v>43232.71665862538</v>
      </c>
      <c r="O288" s="214">
        <f t="shared" si="71"/>
        <v>410066.7086873539</v>
      </c>
      <c r="P288" s="215">
        <f t="shared" si="72"/>
        <v>85.57318628701042</v>
      </c>
      <c r="Q288" s="81"/>
      <c r="R288" s="223">
        <v>31291344</v>
      </c>
      <c r="S288" s="156">
        <v>13941434.62</v>
      </c>
      <c r="T288" s="156">
        <v>902126.7618623568</v>
      </c>
      <c r="U288" s="156">
        <v>12968120.97369485</v>
      </c>
      <c r="V288" s="156">
        <v>2920739.640981076</v>
      </c>
      <c r="W288" s="156">
        <v>1126551.1097928681</v>
      </c>
      <c r="X288" s="214">
        <f t="shared" si="73"/>
        <v>567629.1063311473</v>
      </c>
      <c r="Y288" s="215">
        <f t="shared" si="74"/>
        <v>118.45348629614926</v>
      </c>
      <c r="Z288" s="81"/>
      <c r="AA288" s="94">
        <f t="shared" si="75"/>
        <v>-157562.39764379337</v>
      </c>
      <c r="AB288" s="153">
        <f t="shared" si="76"/>
        <v>-32.88030000913885</v>
      </c>
      <c r="AD288" s="216">
        <v>177349.86155155685</v>
      </c>
      <c r="AE288" s="224">
        <v>95281.35894076417</v>
      </c>
      <c r="AF288" s="224">
        <v>18997.38709546256</v>
      </c>
      <c r="AG288" s="224">
        <v>6108.726465627847</v>
      </c>
      <c r="AH288" s="225">
        <v>7119.304444761285</v>
      </c>
      <c r="AJ288" s="81">
        <f t="shared" si="77"/>
        <v>7973431.619999999</v>
      </c>
      <c r="AK288" s="81">
        <f t="shared" si="78"/>
        <v>300708.9206207857</v>
      </c>
      <c r="AL288" s="81">
        <f t="shared" si="79"/>
        <v>10074701.411899552</v>
      </c>
      <c r="AM288" s="81">
        <f t="shared" si="80"/>
        <v>20072812.364032943</v>
      </c>
      <c r="AN288" s="81">
        <f t="shared" si="81"/>
        <v>177349.86155155685</v>
      </c>
      <c r="AO288" s="81">
        <f t="shared" si="82"/>
        <v>95281.35894076417</v>
      </c>
      <c r="AP288" s="81">
        <f t="shared" si="83"/>
        <v>18997.38709546256</v>
      </c>
      <c r="AQ288" s="81">
        <f t="shared" si="84"/>
        <v>6108.726465627847</v>
      </c>
      <c r="AR288" s="81">
        <f t="shared" si="85"/>
        <v>7119.304444761285</v>
      </c>
      <c r="AS288" s="82">
        <v>1423</v>
      </c>
      <c r="AT288" s="82">
        <v>18</v>
      </c>
      <c r="AU288" s="82">
        <v>2</v>
      </c>
      <c r="AV288" s="82">
        <f t="shared" si="86"/>
        <v>20</v>
      </c>
      <c r="AW288" s="82">
        <v>7802.217413795826</v>
      </c>
      <c r="AX288" s="149">
        <v>-2197.2336096579184</v>
      </c>
      <c r="AY288" s="81">
        <f t="shared" si="87"/>
        <v>-1989732.624332235</v>
      </c>
      <c r="AZ288" s="409"/>
      <c r="BA288" s="81"/>
      <c r="BB288" s="81"/>
      <c r="BC288" s="81"/>
      <c r="BD288" s="81"/>
      <c r="BE288" s="81"/>
      <c r="BF288" s="81"/>
      <c r="BG288" s="81"/>
    </row>
    <row r="289" spans="1:59" ht="12.75">
      <c r="A289" s="81">
        <v>889</v>
      </c>
      <c r="B289" s="81" t="s">
        <v>403</v>
      </c>
      <c r="C289" s="81">
        <v>17</v>
      </c>
      <c r="D289" s="81">
        <v>2702</v>
      </c>
      <c r="E289" s="100">
        <v>10497058.78796722</v>
      </c>
      <c r="F289" s="81">
        <v>2544166</v>
      </c>
      <c r="G289" s="81">
        <v>2613036.7660755552</v>
      </c>
      <c r="H289" s="81">
        <v>573057.8273385504</v>
      </c>
      <c r="I289" s="156">
        <v>3439754.037378404</v>
      </c>
      <c r="J289" s="156">
        <v>504793.94923822023</v>
      </c>
      <c r="K289" s="81">
        <v>492702.79299861536</v>
      </c>
      <c r="L289" s="81">
        <v>423811</v>
      </c>
      <c r="M289" s="82">
        <v>-80830</v>
      </c>
      <c r="N289" s="82">
        <v>22637.366699323393</v>
      </c>
      <c r="O289" s="214">
        <f t="shared" si="71"/>
        <v>36070.951761448756</v>
      </c>
      <c r="P289" s="215">
        <f t="shared" si="72"/>
        <v>13.349723079736771</v>
      </c>
      <c r="Q289" s="81"/>
      <c r="R289" s="223">
        <v>22382780</v>
      </c>
      <c r="S289" s="156">
        <v>6590114.154999999</v>
      </c>
      <c r="T289" s="156">
        <v>859586.7410078256</v>
      </c>
      <c r="U289" s="156">
        <v>10471268.190969557</v>
      </c>
      <c r="V289" s="156">
        <v>1565099.831052397</v>
      </c>
      <c r="W289" s="156">
        <v>2956017.7660755552</v>
      </c>
      <c r="X289" s="214">
        <f t="shared" si="73"/>
        <v>59306.68410533294</v>
      </c>
      <c r="Y289" s="215">
        <f t="shared" si="74"/>
        <v>21.949179905748682</v>
      </c>
      <c r="Z289" s="81"/>
      <c r="AA289" s="94">
        <f t="shared" si="75"/>
        <v>-23235.732343884185</v>
      </c>
      <c r="AB289" s="153">
        <f t="shared" si="76"/>
        <v>-8.599456826011911</v>
      </c>
      <c r="AD289" s="216">
        <v>34393.02104980591</v>
      </c>
      <c r="AE289" s="224">
        <v>5412.436023458917</v>
      </c>
      <c r="AF289" s="224">
        <v>2929.228192489598</v>
      </c>
      <c r="AG289" s="224">
        <v>3444.444680744249</v>
      </c>
      <c r="AH289" s="225">
        <v>4014.2655696462834</v>
      </c>
      <c r="AJ289" s="81">
        <f t="shared" si="77"/>
        <v>4045948.1549999993</v>
      </c>
      <c r="AK289" s="81">
        <f t="shared" si="78"/>
        <v>286528.91366927524</v>
      </c>
      <c r="AL289" s="81">
        <f t="shared" si="79"/>
        <v>7031514.153591152</v>
      </c>
      <c r="AM289" s="81">
        <f t="shared" si="80"/>
        <v>11885721.21203278</v>
      </c>
      <c r="AN289" s="81">
        <f t="shared" si="81"/>
        <v>34393.02104980591</v>
      </c>
      <c r="AO289" s="81">
        <f t="shared" si="82"/>
        <v>5412.436023458917</v>
      </c>
      <c r="AP289" s="81">
        <f t="shared" si="83"/>
        <v>2929.228192489598</v>
      </c>
      <c r="AQ289" s="81">
        <f t="shared" si="84"/>
        <v>3444.444680744249</v>
      </c>
      <c r="AR289" s="81">
        <f t="shared" si="85"/>
        <v>4014.2655696462834</v>
      </c>
      <c r="AS289" s="82">
        <v>1153</v>
      </c>
      <c r="AT289" s="82"/>
      <c r="AU289" s="82"/>
      <c r="AV289" s="82">
        <f t="shared" si="86"/>
        <v>0</v>
      </c>
      <c r="AW289" s="82">
        <v>5950.675005566435</v>
      </c>
      <c r="AX289" s="149">
        <v>-1408.062689071944</v>
      </c>
      <c r="AY289" s="81">
        <f t="shared" si="87"/>
        <v>-1060305.8818141767</v>
      </c>
      <c r="AZ289" s="409"/>
      <c r="BA289" s="81"/>
      <c r="BB289" s="81"/>
      <c r="BC289" s="81"/>
      <c r="BD289" s="81"/>
      <c r="BE289" s="81"/>
      <c r="BF289" s="81"/>
      <c r="BG289" s="81"/>
    </row>
    <row r="290" spans="1:59" ht="12.75">
      <c r="A290" s="81">
        <v>890</v>
      </c>
      <c r="B290" s="81" t="s">
        <v>404</v>
      </c>
      <c r="C290" s="81">
        <v>19</v>
      </c>
      <c r="D290" s="81">
        <v>1232</v>
      </c>
      <c r="E290" s="100">
        <v>5282842.845145112</v>
      </c>
      <c r="F290" s="81">
        <v>1593226</v>
      </c>
      <c r="G290" s="81">
        <v>626878.4053726273</v>
      </c>
      <c r="H290" s="81">
        <v>89603.6392145664</v>
      </c>
      <c r="I290" s="156">
        <v>2338755.2894785036</v>
      </c>
      <c r="J290" s="156">
        <v>220854.7509584237</v>
      </c>
      <c r="K290" s="81">
        <v>157160.00983336716</v>
      </c>
      <c r="L290" s="81">
        <v>142801</v>
      </c>
      <c r="M290" s="82">
        <v>-142855</v>
      </c>
      <c r="N290" s="82">
        <v>13207.682116119073</v>
      </c>
      <c r="O290" s="214">
        <f t="shared" si="71"/>
        <v>-243211.06817150488</v>
      </c>
      <c r="P290" s="215">
        <f t="shared" si="72"/>
        <v>-197.41158130803967</v>
      </c>
      <c r="Q290" s="81"/>
      <c r="R290" s="223">
        <v>11847696</v>
      </c>
      <c r="S290" s="156">
        <v>4076190.8</v>
      </c>
      <c r="T290" s="156">
        <v>134405.4588218496</v>
      </c>
      <c r="U290" s="156">
        <v>6696401.843856433</v>
      </c>
      <c r="V290" s="156">
        <v>682927.9050533971</v>
      </c>
      <c r="W290" s="156">
        <v>626824.4053726273</v>
      </c>
      <c r="X290" s="214">
        <f t="shared" si="73"/>
        <v>369054.4131043069</v>
      </c>
      <c r="Y290" s="215">
        <f t="shared" si="74"/>
        <v>299.5571534937556</v>
      </c>
      <c r="Z290" s="81"/>
      <c r="AA290" s="94">
        <f t="shared" si="75"/>
        <v>-612265.4812758118</v>
      </c>
      <c r="AB290" s="153">
        <f t="shared" si="76"/>
        <v>-496.9687348017953</v>
      </c>
      <c r="AD290" s="216">
        <v>617352.7424474248</v>
      </c>
      <c r="AE290" s="224">
        <v>596253.3277528302</v>
      </c>
      <c r="AF290" s="224">
        <v>576641.0879128028</v>
      </c>
      <c r="AG290" s="224">
        <v>558396.005275323</v>
      </c>
      <c r="AH290" s="225">
        <v>540175.8199811437</v>
      </c>
      <c r="AJ290" s="81">
        <f t="shared" si="77"/>
        <v>2482964.8</v>
      </c>
      <c r="AK290" s="81">
        <f t="shared" si="78"/>
        <v>44801.81960728321</v>
      </c>
      <c r="AL290" s="81">
        <f t="shared" si="79"/>
        <v>4357646.55437793</v>
      </c>
      <c r="AM290" s="81">
        <f t="shared" si="80"/>
        <v>6564853.154854888</v>
      </c>
      <c r="AN290" s="81">
        <f t="shared" si="81"/>
        <v>617352.7424474248</v>
      </c>
      <c r="AO290" s="81">
        <f t="shared" si="82"/>
        <v>596253.3277528302</v>
      </c>
      <c r="AP290" s="81">
        <f t="shared" si="83"/>
        <v>576641.0879128028</v>
      </c>
      <c r="AQ290" s="81">
        <f t="shared" si="84"/>
        <v>558396.005275323</v>
      </c>
      <c r="AR290" s="81">
        <f t="shared" si="85"/>
        <v>540175.8199811437</v>
      </c>
      <c r="AS290" s="82">
        <v>650</v>
      </c>
      <c r="AT290" s="82">
        <v>114</v>
      </c>
      <c r="AU290" s="82"/>
      <c r="AV290" s="82">
        <f t="shared" si="86"/>
        <v>114</v>
      </c>
      <c r="AW290" s="82">
        <v>3526.297631908255</v>
      </c>
      <c r="AX290" s="149">
        <v>-333.883649144082</v>
      </c>
      <c r="AY290" s="81">
        <f t="shared" si="87"/>
        <v>-462073.15409497335</v>
      </c>
      <c r="AZ290" s="409"/>
      <c r="BA290" s="81"/>
      <c r="BB290" s="81"/>
      <c r="BC290" s="81"/>
      <c r="BD290" s="81"/>
      <c r="BE290" s="81"/>
      <c r="BF290" s="81"/>
      <c r="BG290" s="81"/>
    </row>
    <row r="291" spans="1:59" ht="12.75">
      <c r="A291" s="81">
        <v>892</v>
      </c>
      <c r="B291" s="81" t="s">
        <v>405</v>
      </c>
      <c r="C291" s="81">
        <v>13</v>
      </c>
      <c r="D291" s="81">
        <v>3783</v>
      </c>
      <c r="E291" s="100">
        <v>11455611.205809293</v>
      </c>
      <c r="F291" s="81">
        <v>4515998</v>
      </c>
      <c r="G291" s="81">
        <v>605248.2425887008</v>
      </c>
      <c r="H291" s="81">
        <v>382757.6024373024</v>
      </c>
      <c r="I291" s="156">
        <v>5806008.430541315</v>
      </c>
      <c r="J291" s="156">
        <v>536036.3039906856</v>
      </c>
      <c r="K291" s="81">
        <v>12816.81627225058</v>
      </c>
      <c r="L291" s="81">
        <v>-568142</v>
      </c>
      <c r="M291" s="82">
        <v>40500</v>
      </c>
      <c r="N291" s="82">
        <v>34015.67030821353</v>
      </c>
      <c r="O291" s="214">
        <f t="shared" si="71"/>
        <v>-90372.13967082463</v>
      </c>
      <c r="P291" s="215">
        <f t="shared" si="72"/>
        <v>-23.889013923030568</v>
      </c>
      <c r="Q291" s="81"/>
      <c r="R291" s="223">
        <v>22976408</v>
      </c>
      <c r="S291" s="156">
        <v>10834745.29</v>
      </c>
      <c r="T291" s="156">
        <v>574136.4036559536</v>
      </c>
      <c r="U291" s="156">
        <v>9642366.623874761</v>
      </c>
      <c r="V291" s="156">
        <v>1657119.6174864306</v>
      </c>
      <c r="W291" s="156">
        <v>77606.24258870084</v>
      </c>
      <c r="X291" s="214">
        <f t="shared" si="73"/>
        <v>-190433.82239415497</v>
      </c>
      <c r="Y291" s="215">
        <f t="shared" si="74"/>
        <v>-50.339366215742785</v>
      </c>
      <c r="Z291" s="81"/>
      <c r="AA291" s="94">
        <f t="shared" si="75"/>
        <v>100061.68272333033</v>
      </c>
      <c r="AB291" s="153">
        <f t="shared" si="76"/>
        <v>26.45035229271222</v>
      </c>
      <c r="AD291" s="216">
        <v>-84440.65268095177</v>
      </c>
      <c r="AE291" s="224">
        <v>-35738.87166605791</v>
      </c>
      <c r="AF291" s="224">
        <v>4101.1362887446885</v>
      </c>
      <c r="AG291" s="224">
        <v>4822.477508236674</v>
      </c>
      <c r="AH291" s="225">
        <v>5620.2689304115065</v>
      </c>
      <c r="AJ291" s="81">
        <f t="shared" si="77"/>
        <v>6318747.289999999</v>
      </c>
      <c r="AK291" s="81">
        <f t="shared" si="78"/>
        <v>191378.80121865118</v>
      </c>
      <c r="AL291" s="81">
        <f t="shared" si="79"/>
        <v>3836358.193333446</v>
      </c>
      <c r="AM291" s="81">
        <f t="shared" si="80"/>
        <v>11520796.794190707</v>
      </c>
      <c r="AN291" s="81">
        <f t="shared" si="81"/>
        <v>-84440.65268095177</v>
      </c>
      <c r="AO291" s="81">
        <f t="shared" si="82"/>
        <v>-35738.87166605791</v>
      </c>
      <c r="AP291" s="81">
        <f t="shared" si="83"/>
        <v>4101.1362887446885</v>
      </c>
      <c r="AQ291" s="81">
        <f t="shared" si="84"/>
        <v>4822.477508236674</v>
      </c>
      <c r="AR291" s="81">
        <f t="shared" si="85"/>
        <v>5620.2689304115065</v>
      </c>
      <c r="AS291" s="82">
        <v>1355</v>
      </c>
      <c r="AT291" s="82">
        <v>100</v>
      </c>
      <c r="AU291" s="82"/>
      <c r="AV291" s="82">
        <f t="shared" si="86"/>
        <v>100</v>
      </c>
      <c r="AW291" s="82">
        <v>2227.092009499643</v>
      </c>
      <c r="AX291" s="149">
        <v>-1748.6610810924685</v>
      </c>
      <c r="AY291" s="81">
        <f t="shared" si="87"/>
        <v>-1121083.313495745</v>
      </c>
      <c r="AZ291" s="409"/>
      <c r="BA291" s="81"/>
      <c r="BB291" s="81"/>
      <c r="BC291" s="81"/>
      <c r="BD291" s="81"/>
      <c r="BE291" s="81"/>
      <c r="BF291" s="81"/>
      <c r="BG291" s="81"/>
    </row>
    <row r="292" spans="1:59" ht="12.75">
      <c r="A292" s="81">
        <v>893</v>
      </c>
      <c r="B292" s="81" t="s">
        <v>406</v>
      </c>
      <c r="C292" s="81">
        <v>15</v>
      </c>
      <c r="D292" s="81">
        <v>7455</v>
      </c>
      <c r="E292" s="100">
        <v>20121817.19610029</v>
      </c>
      <c r="F292" s="81">
        <v>9111874</v>
      </c>
      <c r="G292" s="81">
        <v>2404820.142465289</v>
      </c>
      <c r="H292" s="81">
        <v>1561194.710493264</v>
      </c>
      <c r="I292" s="156">
        <v>7254064.360857668</v>
      </c>
      <c r="J292" s="156">
        <v>1368678.727850284</v>
      </c>
      <c r="K292" s="81">
        <v>-1660563.2761804413</v>
      </c>
      <c r="L292" s="81">
        <v>-357194</v>
      </c>
      <c r="M292" s="82">
        <v>130000</v>
      </c>
      <c r="N292" s="82">
        <v>72478.06982521102</v>
      </c>
      <c r="O292" s="214">
        <f t="shared" si="71"/>
        <v>-236464.46078901365</v>
      </c>
      <c r="P292" s="215">
        <f t="shared" si="72"/>
        <v>-31.71890822119566</v>
      </c>
      <c r="Q292" s="81"/>
      <c r="R292" s="223">
        <v>49556024</v>
      </c>
      <c r="S292" s="156">
        <v>22202570.9375</v>
      </c>
      <c r="T292" s="156">
        <v>2341792.065739896</v>
      </c>
      <c r="U292" s="156">
        <v>17521647.499389015</v>
      </c>
      <c r="V292" s="156">
        <v>4249493.417545757</v>
      </c>
      <c r="W292" s="156">
        <v>2177626.142465289</v>
      </c>
      <c r="X292" s="214">
        <f t="shared" si="73"/>
        <v>-1062893.9373600483</v>
      </c>
      <c r="Y292" s="215">
        <f t="shared" si="74"/>
        <v>-142.57463948491593</v>
      </c>
      <c r="Z292" s="81"/>
      <c r="AA292" s="94">
        <f t="shared" si="75"/>
        <v>826429.4765710346</v>
      </c>
      <c r="AB292" s="153">
        <f t="shared" si="76"/>
        <v>110.85573126372027</v>
      </c>
      <c r="AD292" s="216">
        <v>-795645.7655041744</v>
      </c>
      <c r="AE292" s="224">
        <v>-699671.2010140782</v>
      </c>
      <c r="AF292" s="224">
        <v>-594697.5386824262</v>
      </c>
      <c r="AG292" s="224">
        <v>-481451.0216876303</v>
      </c>
      <c r="AH292" s="225">
        <v>-368053.8474734317</v>
      </c>
      <c r="AJ292" s="81">
        <f t="shared" si="77"/>
        <v>13090696.9375</v>
      </c>
      <c r="AK292" s="81">
        <f t="shared" si="78"/>
        <v>780597.3552466321</v>
      </c>
      <c r="AL292" s="81">
        <f t="shared" si="79"/>
        <v>10267583.138531346</v>
      </c>
      <c r="AM292" s="81">
        <f t="shared" si="80"/>
        <v>29434206.80389971</v>
      </c>
      <c r="AN292" s="81">
        <f t="shared" si="81"/>
        <v>-795645.7655041744</v>
      </c>
      <c r="AO292" s="81">
        <f t="shared" si="82"/>
        <v>-699671.2010140782</v>
      </c>
      <c r="AP292" s="81">
        <f t="shared" si="83"/>
        <v>-594697.5386824262</v>
      </c>
      <c r="AQ292" s="81">
        <f t="shared" si="84"/>
        <v>-481451.0216876303</v>
      </c>
      <c r="AR292" s="81">
        <f t="shared" si="85"/>
        <v>-368053.8474734317</v>
      </c>
      <c r="AS292" s="82">
        <v>2205</v>
      </c>
      <c r="AT292" s="82">
        <v>322</v>
      </c>
      <c r="AU292" s="82"/>
      <c r="AV292" s="82">
        <f t="shared" si="86"/>
        <v>322</v>
      </c>
      <c r="AW292" s="82">
        <v>7905.706735830652</v>
      </c>
      <c r="AX292" s="149">
        <v>-2141.9376410905843</v>
      </c>
      <c r="AY292" s="81">
        <f t="shared" si="87"/>
        <v>-2880814.6896954733</v>
      </c>
      <c r="AZ292" s="409"/>
      <c r="BA292" s="81"/>
      <c r="BB292" s="81"/>
      <c r="BC292" s="81"/>
      <c r="BD292" s="81"/>
      <c r="BE292" s="81"/>
      <c r="BF292" s="81"/>
      <c r="BG292" s="81"/>
    </row>
    <row r="293" spans="1:59" ht="12.75">
      <c r="A293" s="81">
        <v>895</v>
      </c>
      <c r="B293" s="81" t="s">
        <v>407</v>
      </c>
      <c r="C293" s="81">
        <v>2</v>
      </c>
      <c r="D293" s="81">
        <v>15700</v>
      </c>
      <c r="E293" s="100">
        <v>32538416.45685251</v>
      </c>
      <c r="F293" s="81">
        <v>21684120</v>
      </c>
      <c r="G293" s="81">
        <v>4952448.740627954</v>
      </c>
      <c r="H293" s="81">
        <v>2311515.7341135554</v>
      </c>
      <c r="I293" s="156">
        <v>4190357.850899256</v>
      </c>
      <c r="J293" s="156">
        <v>2397453.0839217594</v>
      </c>
      <c r="K293" s="81">
        <v>-2415838.8707993547</v>
      </c>
      <c r="L293" s="81">
        <v>-1451169</v>
      </c>
      <c r="M293" s="82">
        <v>289911</v>
      </c>
      <c r="N293" s="82">
        <v>186455.49003361416</v>
      </c>
      <c r="O293" s="214">
        <f t="shared" si="71"/>
        <v>-393162.428055726</v>
      </c>
      <c r="P293" s="215">
        <f t="shared" si="72"/>
        <v>-25.042192869791464</v>
      </c>
      <c r="Q293" s="81"/>
      <c r="R293" s="223">
        <v>95989544</v>
      </c>
      <c r="S293" s="156">
        <v>56213349.067499995</v>
      </c>
      <c r="T293" s="156">
        <v>3467273.6011703326</v>
      </c>
      <c r="U293" s="156">
        <v>24157033.216604482</v>
      </c>
      <c r="V293" s="156">
        <v>7242599.080161549</v>
      </c>
      <c r="W293" s="156">
        <v>3791190.740627954</v>
      </c>
      <c r="X293" s="214">
        <f t="shared" si="73"/>
        <v>-1118098.2939356863</v>
      </c>
      <c r="Y293" s="215">
        <f t="shared" si="74"/>
        <v>-71.21645184303735</v>
      </c>
      <c r="Z293" s="81"/>
      <c r="AA293" s="94">
        <f t="shared" si="75"/>
        <v>724935.8658799604</v>
      </c>
      <c r="AB293" s="153">
        <f t="shared" si="76"/>
        <v>46.174258973245884</v>
      </c>
      <c r="AD293" s="216">
        <v>-660106.3201053409</v>
      </c>
      <c r="AE293" s="224">
        <v>-457986.84827509156</v>
      </c>
      <c r="AF293" s="224">
        <v>-236915.55402868823</v>
      </c>
      <c r="AG293" s="224">
        <v>1578.1169060260586</v>
      </c>
      <c r="AH293" s="225">
        <v>23324.933176701205</v>
      </c>
      <c r="AJ293" s="81">
        <f t="shared" si="77"/>
        <v>34529229.067499995</v>
      </c>
      <c r="AK293" s="81">
        <f t="shared" si="78"/>
        <v>1155757.8670567772</v>
      </c>
      <c r="AL293" s="81">
        <f t="shared" si="79"/>
        <v>19966675.365705226</v>
      </c>
      <c r="AM293" s="81">
        <f t="shared" si="80"/>
        <v>63451127.54314749</v>
      </c>
      <c r="AN293" s="81">
        <f t="shared" si="81"/>
        <v>-660106.3201053409</v>
      </c>
      <c r="AO293" s="81">
        <f t="shared" si="82"/>
        <v>-457986.84827509156</v>
      </c>
      <c r="AP293" s="81">
        <f t="shared" si="83"/>
        <v>-236915.55402868823</v>
      </c>
      <c r="AQ293" s="81">
        <f t="shared" si="84"/>
        <v>1578.1169060260586</v>
      </c>
      <c r="AR293" s="81">
        <f t="shared" si="85"/>
        <v>23324.933176701205</v>
      </c>
      <c r="AS293" s="82">
        <v>6628</v>
      </c>
      <c r="AT293" s="82">
        <v>268</v>
      </c>
      <c r="AU293" s="82"/>
      <c r="AV293" s="82">
        <f t="shared" si="86"/>
        <v>268</v>
      </c>
      <c r="AW293" s="82">
        <v>19441.409157551945</v>
      </c>
      <c r="AX293" s="149">
        <v>232.5797149175267</v>
      </c>
      <c r="AY293" s="81">
        <f t="shared" si="87"/>
        <v>-4845145.99623979</v>
      </c>
      <c r="AZ293" s="409"/>
      <c r="BA293" s="81"/>
      <c r="BB293" s="81"/>
      <c r="BC293" s="81"/>
      <c r="BD293" s="81"/>
      <c r="BE293" s="81"/>
      <c r="BF293" s="81"/>
      <c r="BG293" s="81"/>
    </row>
    <row r="294" spans="1:59" ht="12.75">
      <c r="A294" s="81">
        <v>905</v>
      </c>
      <c r="B294" s="81" t="s">
        <v>409</v>
      </c>
      <c r="C294" s="81">
        <v>15</v>
      </c>
      <c r="D294" s="81">
        <v>67552</v>
      </c>
      <c r="E294" s="100">
        <v>166186361.26074177</v>
      </c>
      <c r="F294" s="81">
        <v>99523637</v>
      </c>
      <c r="G294" s="81">
        <v>20696734.969940186</v>
      </c>
      <c r="H294" s="81">
        <v>15672440.117608244</v>
      </c>
      <c r="I294" s="156">
        <v>29526132.18433618</v>
      </c>
      <c r="J294" s="156">
        <v>9841701.468847383</v>
      </c>
      <c r="K294" s="81">
        <v>-13974971.342405664</v>
      </c>
      <c r="L294" s="81">
        <v>24392386</v>
      </c>
      <c r="M294" s="82">
        <v>11683500</v>
      </c>
      <c r="N294" s="82">
        <v>849118.0850290642</v>
      </c>
      <c r="O294" s="214">
        <f t="shared" si="71"/>
        <v>32024317.222613633</v>
      </c>
      <c r="P294" s="215">
        <f t="shared" si="72"/>
        <v>474.06912042002654</v>
      </c>
      <c r="Q294" s="81"/>
      <c r="R294" s="223">
        <v>415736440</v>
      </c>
      <c r="S294" s="156">
        <v>254196805.99</v>
      </c>
      <c r="T294" s="156">
        <v>23508660.176412366</v>
      </c>
      <c r="U294" s="156">
        <v>77521290.68452707</v>
      </c>
      <c r="V294" s="156">
        <v>29466600.459631886</v>
      </c>
      <c r="W294" s="156">
        <v>56772620.969940186</v>
      </c>
      <c r="X294" s="214">
        <f t="shared" si="73"/>
        <v>25729538.2805115</v>
      </c>
      <c r="Y294" s="215">
        <f t="shared" si="74"/>
        <v>380.8849224376998</v>
      </c>
      <c r="Z294" s="81"/>
      <c r="AA294" s="94">
        <f t="shared" si="75"/>
        <v>6294778.942102134</v>
      </c>
      <c r="AB294" s="153">
        <f t="shared" si="76"/>
        <v>93.18419798232671</v>
      </c>
      <c r="AD294" s="216">
        <v>-6015838.465913286</v>
      </c>
      <c r="AE294" s="224">
        <v>-5146184.035271439</v>
      </c>
      <c r="AF294" s="224">
        <v>-4194986.069097361</v>
      </c>
      <c r="AG294" s="224">
        <v>-3168825.27553164</v>
      </c>
      <c r="AH294" s="225">
        <v>-2141299.331531969</v>
      </c>
      <c r="AJ294" s="81">
        <f t="shared" si="77"/>
        <v>154673168.99</v>
      </c>
      <c r="AK294" s="81">
        <f t="shared" si="78"/>
        <v>7836220.058804123</v>
      </c>
      <c r="AL294" s="81">
        <f t="shared" si="79"/>
        <v>47995158.500190884</v>
      </c>
      <c r="AM294" s="81">
        <f t="shared" si="80"/>
        <v>249550078.73925823</v>
      </c>
      <c r="AN294" s="81">
        <f t="shared" si="81"/>
        <v>-6015838.465913286</v>
      </c>
      <c r="AO294" s="81">
        <f t="shared" si="82"/>
        <v>-5146184.035271439</v>
      </c>
      <c r="AP294" s="81">
        <f t="shared" si="83"/>
        <v>-4194986.069097361</v>
      </c>
      <c r="AQ294" s="81">
        <f t="shared" si="84"/>
        <v>-3168825.27553164</v>
      </c>
      <c r="AR294" s="81">
        <f t="shared" si="85"/>
        <v>-2141299.331531969</v>
      </c>
      <c r="AS294" s="82">
        <v>28828</v>
      </c>
      <c r="AT294" s="82">
        <v>994</v>
      </c>
      <c r="AU294" s="82">
        <v>552</v>
      </c>
      <c r="AV294" s="82">
        <f t="shared" si="86"/>
        <v>1546</v>
      </c>
      <c r="AW294" s="82">
        <v>48290.11595560842</v>
      </c>
      <c r="AX294" s="149">
        <v>2767.0411794017787</v>
      </c>
      <c r="AY294" s="81">
        <f t="shared" si="87"/>
        <v>-19624898.990784504</v>
      </c>
      <c r="AZ294" s="409"/>
      <c r="BA294" s="81"/>
      <c r="BB294" s="81"/>
      <c r="BC294" s="81"/>
      <c r="BD294" s="81"/>
      <c r="BE294" s="81"/>
      <c r="BF294" s="81"/>
      <c r="BG294" s="81"/>
    </row>
    <row r="295" spans="1:59" ht="12.75">
      <c r="A295" s="81">
        <v>908</v>
      </c>
      <c r="B295" s="81" t="s">
        <v>410</v>
      </c>
      <c r="C295" s="81">
        <v>6</v>
      </c>
      <c r="D295" s="81">
        <v>21137</v>
      </c>
      <c r="E295" s="100">
        <v>49803925.225535005</v>
      </c>
      <c r="F295" s="81">
        <v>27617635</v>
      </c>
      <c r="G295" s="81">
        <v>4893430.606942684</v>
      </c>
      <c r="H295" s="81">
        <v>2993838.5346385827</v>
      </c>
      <c r="I295" s="156">
        <v>10676484.39502641</v>
      </c>
      <c r="J295" s="156">
        <v>2713531.6434286945</v>
      </c>
      <c r="K295" s="81">
        <v>-669353.0032068405</v>
      </c>
      <c r="L295" s="81">
        <v>593859</v>
      </c>
      <c r="M295" s="82">
        <v>1273842</v>
      </c>
      <c r="N295" s="82">
        <v>258105.40901908634</v>
      </c>
      <c r="O295" s="214">
        <f t="shared" si="71"/>
        <v>547448.3603136092</v>
      </c>
      <c r="P295" s="215">
        <f t="shared" si="72"/>
        <v>25.900002853461192</v>
      </c>
      <c r="Q295" s="81"/>
      <c r="R295" s="223">
        <v>130271820</v>
      </c>
      <c r="S295" s="156">
        <v>75518500.41000001</v>
      </c>
      <c r="T295" s="156">
        <v>4490757.801957874</v>
      </c>
      <c r="U295" s="156">
        <v>36055900.06152947</v>
      </c>
      <c r="V295" s="156">
        <v>8093716.178226479</v>
      </c>
      <c r="W295" s="156">
        <v>6761131.606942684</v>
      </c>
      <c r="X295" s="214">
        <f t="shared" si="73"/>
        <v>648186.0586565137</v>
      </c>
      <c r="Y295" s="215">
        <f t="shared" si="74"/>
        <v>30.665944015542117</v>
      </c>
      <c r="Z295" s="81"/>
      <c r="AA295" s="94">
        <f t="shared" si="75"/>
        <v>-100737.69834290445</v>
      </c>
      <c r="AB295" s="153">
        <f t="shared" si="76"/>
        <v>-4.765941162080922</v>
      </c>
      <c r="AD295" s="216">
        <v>188018.08745361055</v>
      </c>
      <c r="AE295" s="224">
        <v>42339.99268240234</v>
      </c>
      <c r="AF295" s="224">
        <v>22914.543414009117</v>
      </c>
      <c r="AG295" s="224">
        <v>26944.939754585936</v>
      </c>
      <c r="AH295" s="225">
        <v>31402.49124560085</v>
      </c>
      <c r="AJ295" s="81">
        <f t="shared" si="77"/>
        <v>47900865.41000001</v>
      </c>
      <c r="AK295" s="81">
        <f t="shared" si="78"/>
        <v>1496919.267319291</v>
      </c>
      <c r="AL295" s="81">
        <f t="shared" si="79"/>
        <v>25379415.666503064</v>
      </c>
      <c r="AM295" s="81">
        <f t="shared" si="80"/>
        <v>80467894.774465</v>
      </c>
      <c r="AN295" s="81">
        <f t="shared" si="81"/>
        <v>188018.08745361055</v>
      </c>
      <c r="AO295" s="81">
        <f t="shared" si="82"/>
        <v>42339.99268240234</v>
      </c>
      <c r="AP295" s="81">
        <f t="shared" si="83"/>
        <v>22914.543414009117</v>
      </c>
      <c r="AQ295" s="81">
        <f t="shared" si="84"/>
        <v>26944.939754585936</v>
      </c>
      <c r="AR295" s="81">
        <f t="shared" si="85"/>
        <v>31402.49124560085</v>
      </c>
      <c r="AS295" s="82">
        <v>7703</v>
      </c>
      <c r="AT295" s="82">
        <v>13</v>
      </c>
      <c r="AU295" s="82"/>
      <c r="AV295" s="82">
        <f t="shared" si="86"/>
        <v>13</v>
      </c>
      <c r="AW295" s="82">
        <v>24537.894402319103</v>
      </c>
      <c r="AX295" s="149">
        <v>-466.5757548924267</v>
      </c>
      <c r="AY295" s="81">
        <f t="shared" si="87"/>
        <v>-5380184.534797785</v>
      </c>
      <c r="AZ295" s="409"/>
      <c r="BA295" s="81"/>
      <c r="BB295" s="81"/>
      <c r="BC295" s="81"/>
      <c r="BD295" s="81"/>
      <c r="BE295" s="81"/>
      <c r="BF295" s="81"/>
      <c r="BG295" s="81"/>
    </row>
    <row r="296" spans="1:59" ht="12.75">
      <c r="A296" s="81">
        <v>915</v>
      </c>
      <c r="B296" s="81" t="s">
        <v>413</v>
      </c>
      <c r="C296" s="81">
        <v>11</v>
      </c>
      <c r="D296" s="81">
        <v>20829</v>
      </c>
      <c r="E296" s="100">
        <v>50143845.13886599</v>
      </c>
      <c r="F296" s="81">
        <v>27916564</v>
      </c>
      <c r="G296" s="81">
        <v>5609506.005469179</v>
      </c>
      <c r="H296" s="81">
        <v>2827660.384848499</v>
      </c>
      <c r="I296" s="156">
        <v>6542035.61038832</v>
      </c>
      <c r="J296" s="156">
        <v>3156149.850178282</v>
      </c>
      <c r="K296" s="81">
        <v>986085.1122937456</v>
      </c>
      <c r="L296" s="81">
        <v>-2442273</v>
      </c>
      <c r="M296" s="82">
        <v>1650000</v>
      </c>
      <c r="N296" s="82">
        <v>235210.31169478415</v>
      </c>
      <c r="O296" s="214">
        <f t="shared" si="71"/>
        <v>-3662906.863993183</v>
      </c>
      <c r="P296" s="215">
        <f t="shared" si="72"/>
        <v>-175.8561075420415</v>
      </c>
      <c r="Q296" s="81"/>
      <c r="R296" s="223">
        <v>141405712</v>
      </c>
      <c r="S296" s="156">
        <v>71518715.36</v>
      </c>
      <c r="T296" s="156">
        <v>4241490.5772727495</v>
      </c>
      <c r="U296" s="156">
        <v>48903162.56705501</v>
      </c>
      <c r="V296" s="156">
        <v>9594473.057411682</v>
      </c>
      <c r="W296" s="156">
        <v>4817233.005469179</v>
      </c>
      <c r="X296" s="214">
        <f t="shared" si="73"/>
        <v>-2330637.432791382</v>
      </c>
      <c r="Y296" s="215">
        <f t="shared" si="74"/>
        <v>-111.89387069909175</v>
      </c>
      <c r="Z296" s="81"/>
      <c r="AA296" s="94">
        <f t="shared" si="75"/>
        <v>-1332269.4312018007</v>
      </c>
      <c r="AB296" s="153">
        <f t="shared" si="76"/>
        <v>-63.962236842949764</v>
      </c>
      <c r="AD296" s="216">
        <v>1418278.0050195516</v>
      </c>
      <c r="AE296" s="224">
        <v>1061557.4622649187</v>
      </c>
      <c r="AF296" s="224">
        <v>729980.0729565324</v>
      </c>
      <c r="AG296" s="224">
        <v>421516.73995647905</v>
      </c>
      <c r="AH296" s="225">
        <v>113474.33777103886</v>
      </c>
      <c r="AJ296" s="81">
        <f t="shared" si="77"/>
        <v>43602151.36</v>
      </c>
      <c r="AK296" s="81">
        <f t="shared" si="78"/>
        <v>1413830.1924242503</v>
      </c>
      <c r="AL296" s="81">
        <f t="shared" si="79"/>
        <v>42361126.95666669</v>
      </c>
      <c r="AM296" s="81">
        <f t="shared" si="80"/>
        <v>91261866.86113401</v>
      </c>
      <c r="AN296" s="81">
        <f t="shared" si="81"/>
        <v>1418278.0050195516</v>
      </c>
      <c r="AO296" s="81">
        <f t="shared" si="82"/>
        <v>1061557.4622649187</v>
      </c>
      <c r="AP296" s="81">
        <f t="shared" si="83"/>
        <v>729980.0729565324</v>
      </c>
      <c r="AQ296" s="81">
        <f t="shared" si="84"/>
        <v>421516.73995647905</v>
      </c>
      <c r="AR296" s="81">
        <f t="shared" si="85"/>
        <v>113474.33777103886</v>
      </c>
      <c r="AS296" s="82">
        <v>8994</v>
      </c>
      <c r="AT296" s="82">
        <v>352</v>
      </c>
      <c r="AU296" s="82"/>
      <c r="AV296" s="82">
        <f t="shared" si="86"/>
        <v>352</v>
      </c>
      <c r="AW296" s="82">
        <v>38888.43859201177</v>
      </c>
      <c r="AX296" s="149">
        <v>-2967.3298158228918</v>
      </c>
      <c r="AY296" s="81">
        <f t="shared" si="87"/>
        <v>-6438323.2072334</v>
      </c>
      <c r="AZ296" s="409"/>
      <c r="BA296" s="81"/>
      <c r="BB296" s="81"/>
      <c r="BC296" s="81"/>
      <c r="BD296" s="81"/>
      <c r="BE296" s="81"/>
      <c r="BF296" s="81"/>
      <c r="BG296" s="81"/>
    </row>
    <row r="297" spans="1:59" ht="12.75">
      <c r="A297" s="81">
        <v>918</v>
      </c>
      <c r="B297" s="81" t="s">
        <v>414</v>
      </c>
      <c r="C297" s="81">
        <v>2</v>
      </c>
      <c r="D297" s="81">
        <v>2285</v>
      </c>
      <c r="E297" s="100">
        <v>4119203.833323775</v>
      </c>
      <c r="F297" s="81">
        <v>3124075</v>
      </c>
      <c r="G297" s="81">
        <v>695743.4426727586</v>
      </c>
      <c r="H297" s="81">
        <v>522092.7635571648</v>
      </c>
      <c r="I297" s="156">
        <v>1220514.2354251952</v>
      </c>
      <c r="J297" s="156">
        <v>451874.3208338786</v>
      </c>
      <c r="K297" s="81">
        <v>-979865.5077362697</v>
      </c>
      <c r="L297" s="81">
        <v>-491464</v>
      </c>
      <c r="M297" s="82">
        <v>-99000</v>
      </c>
      <c r="N297" s="82">
        <v>22231.349639978933</v>
      </c>
      <c r="O297" s="214">
        <f t="shared" si="71"/>
        <v>346997.77106893156</v>
      </c>
      <c r="P297" s="215">
        <f t="shared" si="72"/>
        <v>151.85898077414947</v>
      </c>
      <c r="Q297" s="81"/>
      <c r="R297" s="223">
        <v>14900788</v>
      </c>
      <c r="S297" s="156">
        <v>7117799.67</v>
      </c>
      <c r="T297" s="156">
        <v>783139.1453357473</v>
      </c>
      <c r="U297" s="156">
        <v>5197111.171974579</v>
      </c>
      <c r="V297" s="156">
        <v>1403765.113400889</v>
      </c>
      <c r="W297" s="156">
        <v>105279.4426727586</v>
      </c>
      <c r="X297" s="214">
        <f t="shared" si="73"/>
        <v>-293693.4566160254</v>
      </c>
      <c r="Y297" s="215">
        <f t="shared" si="74"/>
        <v>-128.5310532236435</v>
      </c>
      <c r="Z297" s="81"/>
      <c r="AA297" s="94">
        <f t="shared" si="75"/>
        <v>640691.227684957</v>
      </c>
      <c r="AB297" s="153">
        <f t="shared" si="76"/>
        <v>280.390033997793</v>
      </c>
      <c r="AD297" s="216">
        <v>-631255.8447489721</v>
      </c>
      <c r="AE297" s="224">
        <v>-601839.0935940602</v>
      </c>
      <c r="AF297" s="224">
        <v>-569664.0676480071</v>
      </c>
      <c r="AG297" s="224">
        <v>-534953.3645852158</v>
      </c>
      <c r="AH297" s="225">
        <v>-500196.48422580026</v>
      </c>
      <c r="AJ297" s="81">
        <f t="shared" si="77"/>
        <v>3993724.67</v>
      </c>
      <c r="AK297" s="81">
        <f t="shared" si="78"/>
        <v>261046.38177858246</v>
      </c>
      <c r="AL297" s="81">
        <f t="shared" si="79"/>
        <v>3976596.9365493837</v>
      </c>
      <c r="AM297" s="81">
        <f t="shared" si="80"/>
        <v>10781584.166676225</v>
      </c>
      <c r="AN297" s="81">
        <f t="shared" si="81"/>
        <v>-631255.8447489721</v>
      </c>
      <c r="AO297" s="81">
        <f t="shared" si="82"/>
        <v>-601839.0935940602</v>
      </c>
      <c r="AP297" s="81">
        <f t="shared" si="83"/>
        <v>-569664.0676480071</v>
      </c>
      <c r="AQ297" s="81">
        <f t="shared" si="84"/>
        <v>-534953.3645852158</v>
      </c>
      <c r="AR297" s="81">
        <f t="shared" si="85"/>
        <v>-500196.48422580026</v>
      </c>
      <c r="AS297" s="82">
        <v>637</v>
      </c>
      <c r="AT297" s="82">
        <v>6</v>
      </c>
      <c r="AU297" s="82">
        <v>11</v>
      </c>
      <c r="AV297" s="82">
        <f t="shared" si="86"/>
        <v>17</v>
      </c>
      <c r="AW297" s="82">
        <v>3284.713741814422</v>
      </c>
      <c r="AX297" s="149">
        <v>-697.9276609204851</v>
      </c>
      <c r="AY297" s="81">
        <f t="shared" si="87"/>
        <v>-951890.7925670105</v>
      </c>
      <c r="AZ297" s="409"/>
      <c r="BA297" s="81"/>
      <c r="BB297" s="81"/>
      <c r="BC297" s="81"/>
      <c r="BD297" s="81"/>
      <c r="BE297" s="81"/>
      <c r="BF297" s="81"/>
      <c r="BG297" s="81"/>
    </row>
    <row r="298" spans="1:59" ht="12.75">
      <c r="A298" s="81">
        <v>921</v>
      </c>
      <c r="B298" s="81" t="s">
        <v>415</v>
      </c>
      <c r="C298" s="81">
        <v>11</v>
      </c>
      <c r="D298" s="81">
        <v>2058</v>
      </c>
      <c r="E298" s="100">
        <v>5149245.616370007</v>
      </c>
      <c r="F298" s="81">
        <v>2108562</v>
      </c>
      <c r="G298" s="81">
        <v>537828.890537713</v>
      </c>
      <c r="H298" s="81">
        <v>391030.14139358397</v>
      </c>
      <c r="I298" s="156">
        <v>1585009.827845216</v>
      </c>
      <c r="J298" s="156">
        <v>441192.82267473184</v>
      </c>
      <c r="K298" s="81">
        <v>90154.0918482139</v>
      </c>
      <c r="L298" s="81">
        <v>204284</v>
      </c>
      <c r="M298" s="82">
        <v>149750</v>
      </c>
      <c r="N298" s="82">
        <v>16219.023877273714</v>
      </c>
      <c r="O298" s="214">
        <f t="shared" si="71"/>
        <v>374785.1818067245</v>
      </c>
      <c r="P298" s="215">
        <f t="shared" si="72"/>
        <v>182.11136142212075</v>
      </c>
      <c r="Q298" s="81"/>
      <c r="R298" s="223">
        <v>16730364</v>
      </c>
      <c r="S298" s="156">
        <v>5017142.47</v>
      </c>
      <c r="T298" s="156">
        <v>586545.212090376</v>
      </c>
      <c r="U298" s="156">
        <v>8904990.433311509</v>
      </c>
      <c r="V298" s="156">
        <v>1401903.7717336586</v>
      </c>
      <c r="W298" s="156">
        <v>891862.890537713</v>
      </c>
      <c r="X298" s="214">
        <f t="shared" si="73"/>
        <v>72080.77767325565</v>
      </c>
      <c r="Y298" s="215">
        <f t="shared" si="74"/>
        <v>35.02467331061985</v>
      </c>
      <c r="Z298" s="81"/>
      <c r="AA298" s="94">
        <f t="shared" si="75"/>
        <v>302704.40413346887</v>
      </c>
      <c r="AB298" s="153">
        <f t="shared" si="76"/>
        <v>147.0866881115009</v>
      </c>
      <c r="AD298" s="216">
        <v>-294206.3655854352</v>
      </c>
      <c r="AE298" s="224">
        <v>-267711.9787684509</v>
      </c>
      <c r="AF298" s="224">
        <v>-238733.3339557695</v>
      </c>
      <c r="AG298" s="224">
        <v>-207470.91517974137</v>
      </c>
      <c r="AH298" s="225">
        <v>-176166.9065234274</v>
      </c>
      <c r="AJ298" s="81">
        <f t="shared" si="77"/>
        <v>2908580.4699999997</v>
      </c>
      <c r="AK298" s="81">
        <f t="shared" si="78"/>
        <v>195515.07069679198</v>
      </c>
      <c r="AL298" s="81">
        <f t="shared" si="79"/>
        <v>7319980.605466293</v>
      </c>
      <c r="AM298" s="81">
        <f t="shared" si="80"/>
        <v>11581118.383629993</v>
      </c>
      <c r="AN298" s="81">
        <f t="shared" si="81"/>
        <v>-294206.3655854352</v>
      </c>
      <c r="AO298" s="81">
        <f t="shared" si="82"/>
        <v>-267711.9787684509</v>
      </c>
      <c r="AP298" s="81">
        <f t="shared" si="83"/>
        <v>-238733.3339557695</v>
      </c>
      <c r="AQ298" s="81">
        <f t="shared" si="84"/>
        <v>-207470.91517974137</v>
      </c>
      <c r="AR298" s="81">
        <f t="shared" si="85"/>
        <v>-176166.9065234274</v>
      </c>
      <c r="AS298" s="82">
        <v>627</v>
      </c>
      <c r="AT298" s="82"/>
      <c r="AU298" s="82"/>
      <c r="AV298" s="82">
        <f t="shared" si="86"/>
        <v>0</v>
      </c>
      <c r="AW298" s="82">
        <v>6424.297171699553</v>
      </c>
      <c r="AX298" s="149">
        <v>-1275.2399931287025</v>
      </c>
      <c r="AY298" s="81">
        <f t="shared" si="87"/>
        <v>-960710.9490589268</v>
      </c>
      <c r="AZ298" s="409"/>
      <c r="BA298" s="81"/>
      <c r="BB298" s="81"/>
      <c r="BC298" s="81"/>
      <c r="BD298" s="81"/>
      <c r="BE298" s="81"/>
      <c r="BF298" s="81"/>
      <c r="BG298" s="81"/>
    </row>
    <row r="299" spans="1:59" ht="12.75">
      <c r="A299" s="81">
        <v>922</v>
      </c>
      <c r="B299" s="81" t="s">
        <v>416</v>
      </c>
      <c r="C299" s="81">
        <v>6</v>
      </c>
      <c r="D299" s="81">
        <v>4393</v>
      </c>
      <c r="E299" s="100">
        <v>11443835.665004823</v>
      </c>
      <c r="F299" s="81">
        <v>6525288</v>
      </c>
      <c r="G299" s="81">
        <v>1171016.9910527905</v>
      </c>
      <c r="H299" s="81">
        <v>338291.2457682912</v>
      </c>
      <c r="I299" s="156">
        <v>4514665.150429896</v>
      </c>
      <c r="J299" s="156">
        <v>658839.0381310161</v>
      </c>
      <c r="K299" s="81">
        <v>-991919.1585507683</v>
      </c>
      <c r="L299" s="81">
        <v>-930232</v>
      </c>
      <c r="M299" s="82">
        <v>-188300</v>
      </c>
      <c r="N299" s="82">
        <v>47131.46932002285</v>
      </c>
      <c r="O299" s="214">
        <f t="shared" si="71"/>
        <v>-299054.92885357514</v>
      </c>
      <c r="P299" s="215">
        <f t="shared" si="72"/>
        <v>-68.0753309477749</v>
      </c>
      <c r="Q299" s="81"/>
      <c r="R299" s="223">
        <v>26463584</v>
      </c>
      <c r="S299" s="156">
        <v>15376449.94</v>
      </c>
      <c r="T299" s="156">
        <v>507436.86865243677</v>
      </c>
      <c r="U299" s="156">
        <v>7494953.421052356</v>
      </c>
      <c r="V299" s="156">
        <v>1994522.1171179824</v>
      </c>
      <c r="W299" s="156">
        <v>52484.991052790545</v>
      </c>
      <c r="X299" s="214">
        <f t="shared" si="73"/>
        <v>-1037736.6621244326</v>
      </c>
      <c r="Y299" s="215">
        <f t="shared" si="74"/>
        <v>-236.22505397779025</v>
      </c>
      <c r="Z299" s="81"/>
      <c r="AA299" s="94">
        <f t="shared" si="75"/>
        <v>738681.7332708575</v>
      </c>
      <c r="AB299" s="153">
        <f t="shared" si="76"/>
        <v>168.14972303001537</v>
      </c>
      <c r="AD299" s="216">
        <v>-720541.8482652637</v>
      </c>
      <c r="AE299" s="224">
        <v>-663987.0177079207</v>
      </c>
      <c r="AF299" s="224">
        <v>-602129.2982413954</v>
      </c>
      <c r="AG299" s="224">
        <v>-535396.6424187074</v>
      </c>
      <c r="AH299" s="225">
        <v>-468575.2089749818</v>
      </c>
      <c r="AJ299" s="81">
        <f t="shared" si="77"/>
        <v>8851161.94</v>
      </c>
      <c r="AK299" s="81">
        <f t="shared" si="78"/>
        <v>169145.6228841456</v>
      </c>
      <c r="AL299" s="81">
        <f t="shared" si="79"/>
        <v>2980288.27062246</v>
      </c>
      <c r="AM299" s="81">
        <f t="shared" si="80"/>
        <v>15019748.334995177</v>
      </c>
      <c r="AN299" s="81">
        <f t="shared" si="81"/>
        <v>-720541.8482652637</v>
      </c>
      <c r="AO299" s="81">
        <f t="shared" si="82"/>
        <v>-663987.0177079207</v>
      </c>
      <c r="AP299" s="81">
        <f t="shared" si="83"/>
        <v>-602129.2982413954</v>
      </c>
      <c r="AQ299" s="81">
        <f t="shared" si="84"/>
        <v>-535396.6424187074</v>
      </c>
      <c r="AR299" s="81">
        <f t="shared" si="85"/>
        <v>-468575.2089749818</v>
      </c>
      <c r="AS299" s="82">
        <v>1566</v>
      </c>
      <c r="AT299" s="82">
        <v>2</v>
      </c>
      <c r="AU299" s="82"/>
      <c r="AV299" s="82">
        <f t="shared" si="86"/>
        <v>2</v>
      </c>
      <c r="AW299" s="82">
        <v>2422.95019084519</v>
      </c>
      <c r="AX299" s="149">
        <v>-670.4936462491247</v>
      </c>
      <c r="AY299" s="81">
        <f t="shared" si="87"/>
        <v>-1335683.0789869663</v>
      </c>
      <c r="AZ299" s="409"/>
      <c r="BA299" s="81"/>
      <c r="BB299" s="81"/>
      <c r="BC299" s="81"/>
      <c r="BD299" s="81"/>
      <c r="BE299" s="81"/>
      <c r="BF299" s="81"/>
      <c r="BG299" s="81"/>
    </row>
    <row r="300" spans="1:59" ht="12.75">
      <c r="A300" s="81">
        <v>924</v>
      </c>
      <c r="B300" s="81" t="s">
        <v>417</v>
      </c>
      <c r="C300" s="81">
        <v>16</v>
      </c>
      <c r="D300" s="81">
        <v>3166</v>
      </c>
      <c r="E300" s="100">
        <v>7251606.318668244</v>
      </c>
      <c r="F300" s="81">
        <v>4157162</v>
      </c>
      <c r="G300" s="81">
        <v>620441.6910395268</v>
      </c>
      <c r="H300" s="81">
        <v>395296.58881056955</v>
      </c>
      <c r="I300" s="156">
        <v>2855471.0731560714</v>
      </c>
      <c r="J300" s="156">
        <v>635224.4272420851</v>
      </c>
      <c r="K300" s="81">
        <v>-538348.4965076566</v>
      </c>
      <c r="L300" s="81">
        <v>-283287</v>
      </c>
      <c r="M300" s="82">
        <v>23967</v>
      </c>
      <c r="N300" s="82">
        <v>27692.340824346535</v>
      </c>
      <c r="O300" s="214">
        <f t="shared" si="71"/>
        <v>642013.3058966985</v>
      </c>
      <c r="P300" s="215">
        <f t="shared" si="72"/>
        <v>202.783735280069</v>
      </c>
      <c r="Q300" s="81"/>
      <c r="R300" s="223">
        <v>21503216</v>
      </c>
      <c r="S300" s="156">
        <v>9259442.5</v>
      </c>
      <c r="T300" s="156">
        <v>592944.8832158544</v>
      </c>
      <c r="U300" s="156">
        <v>9345361.744835354</v>
      </c>
      <c r="V300" s="156">
        <v>1995784.0600184058</v>
      </c>
      <c r="W300" s="156">
        <v>361121.69103952684</v>
      </c>
      <c r="X300" s="214">
        <f t="shared" si="73"/>
        <v>51438.879109140486</v>
      </c>
      <c r="Y300" s="215">
        <f t="shared" si="74"/>
        <v>16.24727704015808</v>
      </c>
      <c r="Z300" s="81"/>
      <c r="AA300" s="94">
        <f t="shared" si="75"/>
        <v>590574.426787558</v>
      </c>
      <c r="AB300" s="153">
        <f t="shared" si="76"/>
        <v>186.53645823991093</v>
      </c>
      <c r="AD300" s="216">
        <v>-577501.1566014225</v>
      </c>
      <c r="AE300" s="224">
        <v>-536742.5420909403</v>
      </c>
      <c r="AF300" s="224">
        <v>-492162.1779136083</v>
      </c>
      <c r="AG300" s="224">
        <v>-444068.48605505377</v>
      </c>
      <c r="AH300" s="225">
        <v>-395910.8128743492</v>
      </c>
      <c r="AJ300" s="81">
        <f t="shared" si="77"/>
        <v>5102280.5</v>
      </c>
      <c r="AK300" s="81">
        <f t="shared" si="78"/>
        <v>197648.29440528486</v>
      </c>
      <c r="AL300" s="81">
        <f t="shared" si="79"/>
        <v>6489890.671679283</v>
      </c>
      <c r="AM300" s="81">
        <f t="shared" si="80"/>
        <v>14251609.681331756</v>
      </c>
      <c r="AN300" s="81">
        <f t="shared" si="81"/>
        <v>-577501.1566014225</v>
      </c>
      <c r="AO300" s="81">
        <f t="shared" si="82"/>
        <v>-536742.5420909403</v>
      </c>
      <c r="AP300" s="81">
        <f t="shared" si="83"/>
        <v>-492162.1779136083</v>
      </c>
      <c r="AQ300" s="81">
        <f t="shared" si="84"/>
        <v>-444068.48605505377</v>
      </c>
      <c r="AR300" s="81">
        <f t="shared" si="85"/>
        <v>-395910.8128743492</v>
      </c>
      <c r="AS300" s="82">
        <v>1042</v>
      </c>
      <c r="AT300" s="82"/>
      <c r="AU300" s="82">
        <v>15</v>
      </c>
      <c r="AV300" s="82">
        <f t="shared" si="86"/>
        <v>15</v>
      </c>
      <c r="AW300" s="82">
        <v>5356.954017429773</v>
      </c>
      <c r="AX300" s="149">
        <v>-1390.3791809968693</v>
      </c>
      <c r="AY300" s="81">
        <f t="shared" si="87"/>
        <v>-1360559.6327763207</v>
      </c>
      <c r="AZ300" s="409"/>
      <c r="BA300" s="81"/>
      <c r="BB300" s="81"/>
      <c r="BC300" s="81"/>
      <c r="BD300" s="81"/>
      <c r="BE300" s="81"/>
      <c r="BF300" s="81"/>
      <c r="BG300" s="81"/>
    </row>
    <row r="301" spans="1:59" ht="12.75">
      <c r="A301" s="81">
        <v>925</v>
      </c>
      <c r="B301" s="81" t="s">
        <v>418</v>
      </c>
      <c r="C301" s="81">
        <v>11</v>
      </c>
      <c r="D301" s="81">
        <v>3676</v>
      </c>
      <c r="E301" s="100">
        <v>8507479.844924217</v>
      </c>
      <c r="F301" s="81">
        <v>3847299</v>
      </c>
      <c r="G301" s="81">
        <v>753925.3647921021</v>
      </c>
      <c r="H301" s="81">
        <v>2133322.401002285</v>
      </c>
      <c r="I301" s="156">
        <v>1925866.3935422953</v>
      </c>
      <c r="J301" s="156">
        <v>723381.4661264026</v>
      </c>
      <c r="K301" s="81">
        <v>491011.91726481076</v>
      </c>
      <c r="L301" s="81">
        <v>37130</v>
      </c>
      <c r="M301" s="82">
        <v>299100</v>
      </c>
      <c r="N301" s="82">
        <v>34936.34819330039</v>
      </c>
      <c r="O301" s="214">
        <f t="shared" si="71"/>
        <v>1738493.0459969789</v>
      </c>
      <c r="P301" s="215">
        <f t="shared" si="72"/>
        <v>472.93064363356336</v>
      </c>
      <c r="Q301" s="81"/>
      <c r="R301" s="223">
        <v>23228156</v>
      </c>
      <c r="S301" s="156">
        <v>9466968.83</v>
      </c>
      <c r="T301" s="156">
        <v>3199983.601503427</v>
      </c>
      <c r="U301" s="156">
        <v>9405459.89002363</v>
      </c>
      <c r="V301" s="156">
        <v>2256717.1130391</v>
      </c>
      <c r="W301" s="156">
        <v>1090155.364792102</v>
      </c>
      <c r="X301" s="214">
        <f t="shared" si="73"/>
        <v>2191128.799358256</v>
      </c>
      <c r="Y301" s="215">
        <f t="shared" si="74"/>
        <v>596.0633295316258</v>
      </c>
      <c r="Z301" s="81"/>
      <c r="AA301" s="94">
        <f t="shared" si="75"/>
        <v>-452635.7533612773</v>
      </c>
      <c r="AB301" s="153">
        <f t="shared" si="76"/>
        <v>-123.13268589806238</v>
      </c>
      <c r="AD301" s="216">
        <v>467814.9514674831</v>
      </c>
      <c r="AE301" s="224">
        <v>404859.23034952127</v>
      </c>
      <c r="AF301" s="224">
        <v>346340.89134632243</v>
      </c>
      <c r="AG301" s="224">
        <v>291901.8298403358</v>
      </c>
      <c r="AH301" s="225">
        <v>237537.05618659925</v>
      </c>
      <c r="AJ301" s="81">
        <f t="shared" si="77"/>
        <v>5619669.83</v>
      </c>
      <c r="AK301" s="81">
        <f t="shared" si="78"/>
        <v>1066661.200501142</v>
      </c>
      <c r="AL301" s="81">
        <f t="shared" si="79"/>
        <v>7479593.496481335</v>
      </c>
      <c r="AM301" s="81">
        <f t="shared" si="80"/>
        <v>14720676.155075783</v>
      </c>
      <c r="AN301" s="81">
        <f t="shared" si="81"/>
        <v>467814.9514674831</v>
      </c>
      <c r="AO301" s="81">
        <f t="shared" si="82"/>
        <v>404859.23034952127</v>
      </c>
      <c r="AP301" s="81">
        <f t="shared" si="83"/>
        <v>346340.89134632243</v>
      </c>
      <c r="AQ301" s="81">
        <f t="shared" si="84"/>
        <v>291901.8298403358</v>
      </c>
      <c r="AR301" s="81">
        <f t="shared" si="85"/>
        <v>237537.05618659925</v>
      </c>
      <c r="AS301" s="82">
        <v>1317</v>
      </c>
      <c r="AT301" s="82"/>
      <c r="AU301" s="82"/>
      <c r="AV301" s="82">
        <f t="shared" si="86"/>
        <v>0</v>
      </c>
      <c r="AW301" s="82">
        <v>6459.712085589463</v>
      </c>
      <c r="AX301" s="149">
        <v>-924.5047660588897</v>
      </c>
      <c r="AY301" s="81">
        <f t="shared" si="87"/>
        <v>-1533335.6469126975</v>
      </c>
      <c r="AZ301" s="409"/>
      <c r="BA301" s="81"/>
      <c r="BB301" s="81"/>
      <c r="BC301" s="81"/>
      <c r="BD301" s="81"/>
      <c r="BE301" s="81"/>
      <c r="BF301" s="81"/>
      <c r="BG301" s="81"/>
    </row>
    <row r="302" spans="1:59" ht="12.75">
      <c r="A302" s="81">
        <v>927</v>
      </c>
      <c r="B302" s="81" t="s">
        <v>419</v>
      </c>
      <c r="C302" s="81">
        <v>1</v>
      </c>
      <c r="D302" s="81">
        <v>29211</v>
      </c>
      <c r="E302" s="100">
        <v>72391391.56196429</v>
      </c>
      <c r="F302" s="81">
        <v>44263916</v>
      </c>
      <c r="G302" s="81">
        <v>6930145.237364862</v>
      </c>
      <c r="H302" s="81">
        <v>2282995.659736915</v>
      </c>
      <c r="I302" s="156">
        <v>17115121.950810727</v>
      </c>
      <c r="J302" s="156">
        <v>3738947.921411288</v>
      </c>
      <c r="K302" s="81">
        <v>-3020919.673960692</v>
      </c>
      <c r="L302" s="81">
        <v>-2725806</v>
      </c>
      <c r="M302" s="82">
        <v>-613251</v>
      </c>
      <c r="N302" s="82">
        <v>394285.77959310374</v>
      </c>
      <c r="O302" s="214">
        <f t="shared" si="71"/>
        <v>-4025955.687008083</v>
      </c>
      <c r="P302" s="215">
        <f t="shared" si="72"/>
        <v>-137.82327503365454</v>
      </c>
      <c r="Q302" s="81"/>
      <c r="R302" s="223">
        <v>166489344</v>
      </c>
      <c r="S302" s="156">
        <v>118583231.315</v>
      </c>
      <c r="T302" s="156">
        <v>3424493.489605373</v>
      </c>
      <c r="U302" s="156">
        <v>25136240.96247178</v>
      </c>
      <c r="V302" s="156">
        <v>10988275.16287747</v>
      </c>
      <c r="W302" s="156">
        <v>3591088.237364862</v>
      </c>
      <c r="X302" s="214">
        <f t="shared" si="73"/>
        <v>-4766014.832680523</v>
      </c>
      <c r="Y302" s="215">
        <f t="shared" si="74"/>
        <v>-163.15822233680885</v>
      </c>
      <c r="Z302" s="81"/>
      <c r="AA302" s="94">
        <f t="shared" si="75"/>
        <v>740059.1456724405</v>
      </c>
      <c r="AB302" s="153">
        <f t="shared" si="76"/>
        <v>25.33494730315431</v>
      </c>
      <c r="AD302" s="216">
        <v>-619439.0270978151</v>
      </c>
      <c r="AE302" s="224">
        <v>-243380.94482817032</v>
      </c>
      <c r="AF302" s="224">
        <v>31667.53690999765</v>
      </c>
      <c r="AG302" s="224">
        <v>37237.480965662566</v>
      </c>
      <c r="AH302" s="225">
        <v>43397.74668946617</v>
      </c>
      <c r="AJ302" s="81">
        <f t="shared" si="77"/>
        <v>74319315.315</v>
      </c>
      <c r="AK302" s="81">
        <f t="shared" si="78"/>
        <v>1141497.8298684577</v>
      </c>
      <c r="AL302" s="81">
        <f t="shared" si="79"/>
        <v>8021119.011661053</v>
      </c>
      <c r="AM302" s="81">
        <f t="shared" si="80"/>
        <v>94097952.43803571</v>
      </c>
      <c r="AN302" s="81">
        <f t="shared" si="81"/>
        <v>-619439.0270978151</v>
      </c>
      <c r="AO302" s="81">
        <f t="shared" si="82"/>
        <v>-243380.94482817032</v>
      </c>
      <c r="AP302" s="81">
        <f t="shared" si="83"/>
        <v>31667.53690999765</v>
      </c>
      <c r="AQ302" s="81">
        <f t="shared" si="84"/>
        <v>37237.480965662566</v>
      </c>
      <c r="AR302" s="81">
        <f t="shared" si="85"/>
        <v>43397.74668946617</v>
      </c>
      <c r="AS302" s="82">
        <v>10508</v>
      </c>
      <c r="AT302" s="82">
        <v>8</v>
      </c>
      <c r="AU302" s="82"/>
      <c r="AV302" s="82">
        <f t="shared" si="86"/>
        <v>8</v>
      </c>
      <c r="AW302" s="82">
        <v>11002.743940823628</v>
      </c>
      <c r="AX302" s="149">
        <v>4017.7729122300157</v>
      </c>
      <c r="AY302" s="81">
        <f t="shared" si="87"/>
        <v>-7249327.241466182</v>
      </c>
      <c r="AZ302" s="409"/>
      <c r="BA302" s="81"/>
      <c r="BB302" s="81"/>
      <c r="BC302" s="81"/>
      <c r="BD302" s="81"/>
      <c r="BE302" s="81"/>
      <c r="BF302" s="81"/>
      <c r="BG302" s="81"/>
    </row>
    <row r="303" spans="1:59" ht="12.75">
      <c r="A303" s="81">
        <v>931</v>
      </c>
      <c r="B303" s="81" t="s">
        <v>420</v>
      </c>
      <c r="C303" s="81">
        <v>13</v>
      </c>
      <c r="D303" s="81">
        <v>6264</v>
      </c>
      <c r="E303" s="100">
        <v>16428617.530466836</v>
      </c>
      <c r="F303" s="81">
        <v>6770885</v>
      </c>
      <c r="G303" s="81">
        <v>1770060.4627742649</v>
      </c>
      <c r="H303" s="81">
        <v>1500329.8262738015</v>
      </c>
      <c r="I303" s="156">
        <v>3492439.082879514</v>
      </c>
      <c r="J303" s="156">
        <v>1206920.2202488417</v>
      </c>
      <c r="K303" s="81">
        <v>813825.309012558</v>
      </c>
      <c r="L303" s="81">
        <v>-160187</v>
      </c>
      <c r="M303" s="82">
        <v>58859</v>
      </c>
      <c r="N303" s="82">
        <v>56289.82880749788</v>
      </c>
      <c r="O303" s="214">
        <f t="shared" si="71"/>
        <v>-919195.8004703578</v>
      </c>
      <c r="P303" s="215">
        <f t="shared" si="72"/>
        <v>-146.74262459616185</v>
      </c>
      <c r="Q303" s="81"/>
      <c r="R303" s="223">
        <v>46868640</v>
      </c>
      <c r="S303" s="156">
        <v>16793810.25</v>
      </c>
      <c r="T303" s="156">
        <v>2250494.7394107026</v>
      </c>
      <c r="U303" s="156">
        <v>22115782.32673055</v>
      </c>
      <c r="V303" s="156">
        <v>3787187.227135229</v>
      </c>
      <c r="W303" s="156">
        <v>1668732.4627742649</v>
      </c>
      <c r="X303" s="214">
        <f t="shared" si="73"/>
        <v>-252632.9939492494</v>
      </c>
      <c r="Y303" s="215">
        <f t="shared" si="74"/>
        <v>-40.33093773136165</v>
      </c>
      <c r="Z303" s="81"/>
      <c r="AA303" s="94">
        <f t="shared" si="75"/>
        <v>-666562.8065211084</v>
      </c>
      <c r="AB303" s="153">
        <f t="shared" si="76"/>
        <v>-106.41168686480019</v>
      </c>
      <c r="AD303" s="216">
        <v>692428.5565040298</v>
      </c>
      <c r="AE303" s="224">
        <v>585150.3636087866</v>
      </c>
      <c r="AF303" s="224">
        <v>485433.58572085475</v>
      </c>
      <c r="AG303" s="224">
        <v>392668.0032199025</v>
      </c>
      <c r="AH303" s="225">
        <v>300029.0091592372</v>
      </c>
      <c r="AJ303" s="81">
        <f t="shared" si="77"/>
        <v>10022925.25</v>
      </c>
      <c r="AK303" s="81">
        <f t="shared" si="78"/>
        <v>750164.9131369011</v>
      </c>
      <c r="AL303" s="81">
        <f t="shared" si="79"/>
        <v>18623343.243851036</v>
      </c>
      <c r="AM303" s="81">
        <f t="shared" si="80"/>
        <v>30440022.469533164</v>
      </c>
      <c r="AN303" s="81">
        <f t="shared" si="81"/>
        <v>692428.5565040298</v>
      </c>
      <c r="AO303" s="81">
        <f t="shared" si="82"/>
        <v>585150.3636087866</v>
      </c>
      <c r="AP303" s="81">
        <f t="shared" si="83"/>
        <v>485433.58572085475</v>
      </c>
      <c r="AQ303" s="81">
        <f t="shared" si="84"/>
        <v>392668.0032199025</v>
      </c>
      <c r="AR303" s="81">
        <f t="shared" si="85"/>
        <v>300029.0091592372</v>
      </c>
      <c r="AS303" s="82">
        <v>2654</v>
      </c>
      <c r="AT303" s="82">
        <v>86</v>
      </c>
      <c r="AU303" s="82"/>
      <c r="AV303" s="82">
        <f t="shared" si="86"/>
        <v>86</v>
      </c>
      <c r="AW303" s="82">
        <v>15742.314532357886</v>
      </c>
      <c r="AX303" s="149">
        <v>-2807.9968752142086</v>
      </c>
      <c r="AY303" s="81">
        <f t="shared" si="87"/>
        <v>-2580267.0068863872</v>
      </c>
      <c r="AZ303" s="409"/>
      <c r="BA303" s="81"/>
      <c r="BB303" s="81"/>
      <c r="BC303" s="81"/>
      <c r="BD303" s="81"/>
      <c r="BE303" s="81"/>
      <c r="BF303" s="81"/>
      <c r="BG303" s="81"/>
    </row>
    <row r="304" spans="1:59" ht="12.75">
      <c r="A304" s="81">
        <v>934</v>
      </c>
      <c r="B304" s="81" t="s">
        <v>421</v>
      </c>
      <c r="C304" s="81">
        <v>14</v>
      </c>
      <c r="D304" s="81">
        <v>2901</v>
      </c>
      <c r="E304" s="100">
        <v>7178577.493553713</v>
      </c>
      <c r="F304" s="81">
        <v>3807479</v>
      </c>
      <c r="G304" s="81">
        <v>744791.197223501</v>
      </c>
      <c r="H304" s="81">
        <v>391812.35395135684</v>
      </c>
      <c r="I304" s="156">
        <v>2050453.0915397294</v>
      </c>
      <c r="J304" s="156">
        <v>515925.989047955</v>
      </c>
      <c r="K304" s="81">
        <v>-643814.6510154011</v>
      </c>
      <c r="L304" s="81">
        <v>-745483</v>
      </c>
      <c r="M304" s="82">
        <v>-30240</v>
      </c>
      <c r="N304" s="82">
        <v>26773.824992185895</v>
      </c>
      <c r="O304" s="214">
        <f t="shared" si="71"/>
        <v>-1060879.6878143856</v>
      </c>
      <c r="P304" s="215">
        <f t="shared" si="72"/>
        <v>-365.6944804599744</v>
      </c>
      <c r="Q304" s="81"/>
      <c r="R304" s="223">
        <v>20247584</v>
      </c>
      <c r="S304" s="156">
        <v>8735710.465</v>
      </c>
      <c r="T304" s="156">
        <v>587718.5309270353</v>
      </c>
      <c r="U304" s="156">
        <v>7723658.423855516</v>
      </c>
      <c r="V304" s="156">
        <v>1600127.6614977447</v>
      </c>
      <c r="W304" s="156">
        <v>-30931.802776498953</v>
      </c>
      <c r="X304" s="214">
        <f t="shared" si="73"/>
        <v>-1631300.721496202</v>
      </c>
      <c r="Y304" s="215">
        <f t="shared" si="74"/>
        <v>-562.3235854864537</v>
      </c>
      <c r="Z304" s="81"/>
      <c r="AA304" s="94">
        <f t="shared" si="75"/>
        <v>570421.0336818164</v>
      </c>
      <c r="AB304" s="153">
        <f t="shared" si="76"/>
        <v>196.6291050264793</v>
      </c>
      <c r="AD304" s="216">
        <v>-558442.0201600257</v>
      </c>
      <c r="AE304" s="224">
        <v>-521094.9763524107</v>
      </c>
      <c r="AF304" s="224">
        <v>-480246.07032637147</v>
      </c>
      <c r="AG304" s="224">
        <v>-436177.9085823201</v>
      </c>
      <c r="AH304" s="225">
        <v>-392051.12086999416</v>
      </c>
      <c r="AJ304" s="81">
        <f t="shared" si="77"/>
        <v>4928231.465</v>
      </c>
      <c r="AK304" s="81">
        <f t="shared" si="78"/>
        <v>195906.17697567842</v>
      </c>
      <c r="AL304" s="81">
        <f t="shared" si="79"/>
        <v>5673205.332315787</v>
      </c>
      <c r="AM304" s="81">
        <f t="shared" si="80"/>
        <v>13069006.506446287</v>
      </c>
      <c r="AN304" s="81">
        <f t="shared" si="81"/>
        <v>-558442.0201600257</v>
      </c>
      <c r="AO304" s="81">
        <f t="shared" si="82"/>
        <v>-521094.9763524107</v>
      </c>
      <c r="AP304" s="81">
        <f t="shared" si="83"/>
        <v>-480246.07032637147</v>
      </c>
      <c r="AQ304" s="81">
        <f t="shared" si="84"/>
        <v>-436177.9085823201</v>
      </c>
      <c r="AR304" s="81">
        <f t="shared" si="85"/>
        <v>-392051.12086999416</v>
      </c>
      <c r="AS304" s="82">
        <v>940</v>
      </c>
      <c r="AT304" s="82"/>
      <c r="AU304" s="82"/>
      <c r="AV304" s="82">
        <f t="shared" si="86"/>
        <v>0</v>
      </c>
      <c r="AW304" s="82">
        <v>4833.321854119278</v>
      </c>
      <c r="AX304" s="149">
        <v>-1004.7050888901239</v>
      </c>
      <c r="AY304" s="81">
        <f t="shared" si="87"/>
        <v>-1084201.6724497897</v>
      </c>
      <c r="AZ304" s="409"/>
      <c r="BA304" s="81"/>
      <c r="BB304" s="81"/>
      <c r="BC304" s="81"/>
      <c r="BD304" s="81"/>
      <c r="BE304" s="81"/>
      <c r="BF304" s="81"/>
      <c r="BG304" s="81"/>
    </row>
    <row r="305" spans="1:59" ht="12.75">
      <c r="A305" s="81">
        <v>935</v>
      </c>
      <c r="B305" s="81" t="s">
        <v>422</v>
      </c>
      <c r="C305" s="81">
        <v>8</v>
      </c>
      <c r="D305" s="81">
        <v>3150</v>
      </c>
      <c r="E305" s="100">
        <v>10120528.620107144</v>
      </c>
      <c r="F305" s="81">
        <v>3283408</v>
      </c>
      <c r="G305" s="81">
        <v>1617248.3288660215</v>
      </c>
      <c r="H305" s="81">
        <v>608255.7895437408</v>
      </c>
      <c r="I305" s="156">
        <v>1792708.6662156652</v>
      </c>
      <c r="J305" s="156">
        <v>569765.824300915</v>
      </c>
      <c r="K305" s="81">
        <v>1106006.3099489168</v>
      </c>
      <c r="L305" s="81">
        <v>-50123</v>
      </c>
      <c r="M305" s="82">
        <v>110500</v>
      </c>
      <c r="N305" s="82">
        <v>29302.26713941406</v>
      </c>
      <c r="O305" s="214">
        <f t="shared" si="71"/>
        <v>-1053456.4340924695</v>
      </c>
      <c r="P305" s="215">
        <f t="shared" si="72"/>
        <v>-334.4306139976094</v>
      </c>
      <c r="Q305" s="81"/>
      <c r="R305" s="223">
        <v>21792260</v>
      </c>
      <c r="S305" s="156">
        <v>8587326.399999999</v>
      </c>
      <c r="T305" s="156">
        <v>912383.6843156113</v>
      </c>
      <c r="U305" s="156">
        <v>8651253.560930688</v>
      </c>
      <c r="V305" s="156">
        <v>1771175.0543554923</v>
      </c>
      <c r="W305" s="156">
        <v>1677625.3288660215</v>
      </c>
      <c r="X305" s="214">
        <f t="shared" si="73"/>
        <v>-192495.97153218836</v>
      </c>
      <c r="Y305" s="215">
        <f t="shared" si="74"/>
        <v>-61.109832232440745</v>
      </c>
      <c r="Z305" s="81"/>
      <c r="AA305" s="94">
        <f t="shared" si="75"/>
        <v>-860960.4625602812</v>
      </c>
      <c r="AB305" s="153">
        <f t="shared" si="76"/>
        <v>-273.32078176516865</v>
      </c>
      <c r="AD305" s="216">
        <v>873967.6644195127</v>
      </c>
      <c r="AE305" s="224">
        <v>820020.2973026518</v>
      </c>
      <c r="AF305" s="224">
        <v>769875.3658934907</v>
      </c>
      <c r="AG305" s="224">
        <v>723226.0068772073</v>
      </c>
      <c r="AH305" s="225">
        <v>676640.3058409531</v>
      </c>
      <c r="AJ305" s="81">
        <f t="shared" si="77"/>
        <v>5303918.3999999985</v>
      </c>
      <c r="AK305" s="81">
        <f t="shared" si="78"/>
        <v>304127.89477187046</v>
      </c>
      <c r="AL305" s="81">
        <f t="shared" si="79"/>
        <v>6858544.894715022</v>
      </c>
      <c r="AM305" s="81">
        <f t="shared" si="80"/>
        <v>11671731.379892856</v>
      </c>
      <c r="AN305" s="81">
        <f t="shared" si="81"/>
        <v>873967.6644195127</v>
      </c>
      <c r="AO305" s="81">
        <f t="shared" si="82"/>
        <v>820020.2973026518</v>
      </c>
      <c r="AP305" s="81">
        <f t="shared" si="83"/>
        <v>769875.3658934907</v>
      </c>
      <c r="AQ305" s="81">
        <f t="shared" si="84"/>
        <v>723226.0068772073</v>
      </c>
      <c r="AR305" s="81">
        <f t="shared" si="85"/>
        <v>676640.3058409531</v>
      </c>
      <c r="AS305" s="82">
        <v>1429</v>
      </c>
      <c r="AT305" s="82"/>
      <c r="AU305" s="82"/>
      <c r="AV305" s="82">
        <f t="shared" si="86"/>
        <v>0</v>
      </c>
      <c r="AW305" s="82">
        <v>5641.434823001678</v>
      </c>
      <c r="AX305" s="149">
        <v>-1119.12402768485</v>
      </c>
      <c r="AY305" s="81">
        <f t="shared" si="87"/>
        <v>-1201409.2300545773</v>
      </c>
      <c r="AZ305" s="409"/>
      <c r="BA305" s="81"/>
      <c r="BB305" s="81"/>
      <c r="BC305" s="81"/>
      <c r="BD305" s="81"/>
      <c r="BE305" s="81"/>
      <c r="BF305" s="81"/>
      <c r="BG305" s="81"/>
    </row>
    <row r="306" spans="1:59" ht="12.75">
      <c r="A306" s="81">
        <v>936</v>
      </c>
      <c r="B306" s="81" t="s">
        <v>423</v>
      </c>
      <c r="C306" s="81">
        <v>6</v>
      </c>
      <c r="D306" s="81">
        <v>6739</v>
      </c>
      <c r="E306" s="100">
        <v>19139798.859249767</v>
      </c>
      <c r="F306" s="81">
        <v>7621334</v>
      </c>
      <c r="G306" s="81">
        <v>1768042.1017899374</v>
      </c>
      <c r="H306" s="81">
        <v>1640547.151878096</v>
      </c>
      <c r="I306" s="156">
        <v>3705193.5866434295</v>
      </c>
      <c r="J306" s="156">
        <v>1286057.2402841062</v>
      </c>
      <c r="K306" s="81">
        <v>1538779.9519659115</v>
      </c>
      <c r="L306" s="81">
        <v>383951</v>
      </c>
      <c r="M306" s="82">
        <v>21500</v>
      </c>
      <c r="N306" s="82">
        <v>62194.36271902355</v>
      </c>
      <c r="O306" s="214">
        <f t="shared" si="71"/>
        <v>-1112199.4639692642</v>
      </c>
      <c r="P306" s="215">
        <f t="shared" si="72"/>
        <v>-165.03924380015792</v>
      </c>
      <c r="Q306" s="81"/>
      <c r="R306" s="223">
        <v>49531160</v>
      </c>
      <c r="S306" s="156">
        <v>18704196.2375</v>
      </c>
      <c r="T306" s="156">
        <v>2460820.727817144</v>
      </c>
      <c r="U306" s="156">
        <v>21747115.010367043</v>
      </c>
      <c r="V306" s="156">
        <v>4025921.17063487</v>
      </c>
      <c r="W306" s="156">
        <v>2173493.1017899374</v>
      </c>
      <c r="X306" s="214">
        <f t="shared" si="73"/>
        <v>-419613.75189100206</v>
      </c>
      <c r="Y306" s="215">
        <f t="shared" si="74"/>
        <v>-62.266471567146766</v>
      </c>
      <c r="Z306" s="81"/>
      <c r="AA306" s="94">
        <f t="shared" si="75"/>
        <v>-692585.7120782621</v>
      </c>
      <c r="AB306" s="153">
        <f t="shared" si="76"/>
        <v>-102.77277223301115</v>
      </c>
      <c r="AD306" s="216">
        <v>720412.8655161625</v>
      </c>
      <c r="AE306" s="224">
        <v>604999.7521826625</v>
      </c>
      <c r="AF306" s="224">
        <v>497721.43701874604</v>
      </c>
      <c r="AG306" s="224">
        <v>397921.4273645447</v>
      </c>
      <c r="AH306" s="225">
        <v>298257.6053698411</v>
      </c>
      <c r="AJ306" s="81">
        <f t="shared" si="77"/>
        <v>11082862.2375</v>
      </c>
      <c r="AK306" s="81">
        <f t="shared" si="78"/>
        <v>820273.5759390478</v>
      </c>
      <c r="AL306" s="81">
        <f t="shared" si="79"/>
        <v>18041921.423723616</v>
      </c>
      <c r="AM306" s="81">
        <f t="shared" si="80"/>
        <v>30391361.140750233</v>
      </c>
      <c r="AN306" s="81">
        <f t="shared" si="81"/>
        <v>720412.8655161625</v>
      </c>
      <c r="AO306" s="81">
        <f t="shared" si="82"/>
        <v>604999.7521826625</v>
      </c>
      <c r="AP306" s="81">
        <f t="shared" si="83"/>
        <v>497721.43701874604</v>
      </c>
      <c r="AQ306" s="81">
        <f t="shared" si="84"/>
        <v>397921.4273645447</v>
      </c>
      <c r="AR306" s="81">
        <f t="shared" si="85"/>
        <v>298257.6053698411</v>
      </c>
      <c r="AS306" s="82">
        <v>3917</v>
      </c>
      <c r="AT306" s="82">
        <v>104</v>
      </c>
      <c r="AU306" s="82">
        <v>8</v>
      </c>
      <c r="AV306" s="82">
        <f t="shared" si="86"/>
        <v>112</v>
      </c>
      <c r="AW306" s="82">
        <v>15816.893092532877</v>
      </c>
      <c r="AX306" s="149">
        <v>-2613.1425631707734</v>
      </c>
      <c r="AY306" s="81">
        <f t="shared" si="87"/>
        <v>-2739863.9303507637</v>
      </c>
      <c r="AZ306" s="409"/>
      <c r="BA306" s="81"/>
      <c r="BB306" s="81"/>
      <c r="BC306" s="81"/>
      <c r="BD306" s="81"/>
      <c r="BE306" s="81"/>
      <c r="BF306" s="81"/>
      <c r="BG306" s="81"/>
    </row>
    <row r="307" spans="1:59" ht="12.75">
      <c r="A307" s="81">
        <v>946</v>
      </c>
      <c r="B307" s="81" t="s">
        <v>137</v>
      </c>
      <c r="C307" s="81">
        <v>15</v>
      </c>
      <c r="D307" s="81">
        <v>6613</v>
      </c>
      <c r="E307" s="100">
        <v>20786844.607411515</v>
      </c>
      <c r="F307" s="81">
        <v>8342378</v>
      </c>
      <c r="G307" s="81">
        <v>1659548.1760513491</v>
      </c>
      <c r="H307" s="81">
        <v>1113130.9464172127</v>
      </c>
      <c r="I307" s="156">
        <v>7169451.663162554</v>
      </c>
      <c r="J307" s="156">
        <v>1212609.3777424712</v>
      </c>
      <c r="K307" s="81">
        <v>-708578.7522560235</v>
      </c>
      <c r="L307" s="81">
        <v>722781</v>
      </c>
      <c r="M307" s="82">
        <v>-24000</v>
      </c>
      <c r="N307" s="82">
        <v>63639.1894397108</v>
      </c>
      <c r="O307" s="214">
        <f t="shared" si="71"/>
        <v>-1235885.0068542399</v>
      </c>
      <c r="P307" s="215">
        <f t="shared" si="72"/>
        <v>-186.8871929312324</v>
      </c>
      <c r="Q307" s="81"/>
      <c r="R307" s="223">
        <v>46218032</v>
      </c>
      <c r="S307" s="156">
        <v>19965468.075</v>
      </c>
      <c r="T307" s="156">
        <v>1669696.4196258192</v>
      </c>
      <c r="U307" s="156">
        <v>17115705.86362786</v>
      </c>
      <c r="V307" s="156">
        <v>3780143.5609715935</v>
      </c>
      <c r="W307" s="156">
        <v>2358329.1760513494</v>
      </c>
      <c r="X307" s="214">
        <f t="shared" si="73"/>
        <v>-1328688.904723376</v>
      </c>
      <c r="Y307" s="215">
        <f t="shared" si="74"/>
        <v>-200.9207477277145</v>
      </c>
      <c r="Z307" s="81"/>
      <c r="AA307" s="94">
        <f t="shared" si="75"/>
        <v>92803.89786913618</v>
      </c>
      <c r="AB307" s="153">
        <f t="shared" si="76"/>
        <v>14.03355479648211</v>
      </c>
      <c r="AD307" s="216">
        <v>-65497.03250560532</v>
      </c>
      <c r="AE307" s="224">
        <v>13246.646714705335</v>
      </c>
      <c r="AF307" s="224">
        <v>7169.128807155334</v>
      </c>
      <c r="AG307" s="224">
        <v>8430.093513605374</v>
      </c>
      <c r="AH307" s="225">
        <v>9824.699560351914</v>
      </c>
      <c r="AJ307" s="81">
        <f t="shared" si="77"/>
        <v>11623090.075</v>
      </c>
      <c r="AK307" s="81">
        <f t="shared" si="78"/>
        <v>556565.4732086065</v>
      </c>
      <c r="AL307" s="81">
        <f t="shared" si="79"/>
        <v>9946254.200465305</v>
      </c>
      <c r="AM307" s="81">
        <f t="shared" si="80"/>
        <v>25431187.392588485</v>
      </c>
      <c r="AN307" s="81">
        <f t="shared" si="81"/>
        <v>-65497.03250560532</v>
      </c>
      <c r="AO307" s="81">
        <f t="shared" si="82"/>
        <v>13246.646714705335</v>
      </c>
      <c r="AP307" s="81">
        <f t="shared" si="83"/>
        <v>7169.128807155334</v>
      </c>
      <c r="AQ307" s="81">
        <f t="shared" si="84"/>
        <v>8430.093513605374</v>
      </c>
      <c r="AR307" s="81">
        <f t="shared" si="85"/>
        <v>9824.699560351914</v>
      </c>
      <c r="AS307" s="82">
        <v>1694</v>
      </c>
      <c r="AT307" s="82">
        <v>11</v>
      </c>
      <c r="AU307" s="82"/>
      <c r="AV307" s="82">
        <f t="shared" si="86"/>
        <v>11</v>
      </c>
      <c r="AW307" s="82">
        <v>7497.972703632979</v>
      </c>
      <c r="AX307" s="149">
        <v>-2122.5207274691716</v>
      </c>
      <c r="AY307" s="81">
        <f t="shared" si="87"/>
        <v>-2567534.1832291223</v>
      </c>
      <c r="AZ307" s="409"/>
      <c r="BA307" s="81"/>
      <c r="BB307" s="81"/>
      <c r="BC307" s="81"/>
      <c r="BD307" s="81"/>
      <c r="BE307" s="81"/>
      <c r="BF307" s="81"/>
      <c r="BG307" s="81"/>
    </row>
    <row r="308" spans="1:59" ht="12.75">
      <c r="A308" s="81">
        <v>976</v>
      </c>
      <c r="B308" s="81" t="s">
        <v>424</v>
      </c>
      <c r="C308" s="81">
        <v>19</v>
      </c>
      <c r="D308" s="81">
        <v>4022</v>
      </c>
      <c r="E308" s="100">
        <v>9148645.282704223</v>
      </c>
      <c r="F308" s="81">
        <v>4010671</v>
      </c>
      <c r="G308" s="81">
        <v>1171184.427219577</v>
      </c>
      <c r="H308" s="81">
        <v>444587.77267470723</v>
      </c>
      <c r="I308" s="156">
        <v>3846862.578596814</v>
      </c>
      <c r="J308" s="156">
        <v>749362.6024082021</v>
      </c>
      <c r="K308" s="81">
        <v>-21842.857891273517</v>
      </c>
      <c r="L308" s="81">
        <v>-596543</v>
      </c>
      <c r="M308" s="82">
        <v>131400</v>
      </c>
      <c r="N308" s="82">
        <v>38105.86934444613</v>
      </c>
      <c r="O308" s="214">
        <f t="shared" si="71"/>
        <v>625143.10964825</v>
      </c>
      <c r="P308" s="215">
        <f t="shared" si="72"/>
        <v>155.43090742124565</v>
      </c>
      <c r="Q308" s="81"/>
      <c r="R308" s="223">
        <v>32125324</v>
      </c>
      <c r="S308" s="156">
        <v>11081310.4</v>
      </c>
      <c r="T308" s="156">
        <v>666881.6590120608</v>
      </c>
      <c r="U308" s="156">
        <v>17836040.602472153</v>
      </c>
      <c r="V308" s="156">
        <v>2352709.1022904036</v>
      </c>
      <c r="W308" s="156">
        <v>706041.4272195769</v>
      </c>
      <c r="X308" s="214">
        <f t="shared" si="73"/>
        <v>517659.19099419564</v>
      </c>
      <c r="Y308" s="215">
        <f t="shared" si="74"/>
        <v>128.70690974495167</v>
      </c>
      <c r="Z308" s="81"/>
      <c r="AA308" s="94">
        <f t="shared" si="75"/>
        <v>107483.9186540544</v>
      </c>
      <c r="AB308" s="153">
        <f t="shared" si="76"/>
        <v>26.723997676293983</v>
      </c>
      <c r="AD308" s="216">
        <v>-90875.99297855404</v>
      </c>
      <c r="AE308" s="224">
        <v>-39097.36140522512</v>
      </c>
      <c r="AF308" s="224">
        <v>4360.235303550394</v>
      </c>
      <c r="AG308" s="224">
        <v>5127.1489659338895</v>
      </c>
      <c r="AH308" s="225">
        <v>5975.342753929442</v>
      </c>
      <c r="AJ308" s="81">
        <f t="shared" si="77"/>
        <v>7070639.4</v>
      </c>
      <c r="AK308" s="81">
        <f t="shared" si="78"/>
        <v>222293.88633735362</v>
      </c>
      <c r="AL308" s="81">
        <f t="shared" si="79"/>
        <v>13989178.023875339</v>
      </c>
      <c r="AM308" s="81">
        <f t="shared" si="80"/>
        <v>22976678.717295777</v>
      </c>
      <c r="AN308" s="81">
        <f t="shared" si="81"/>
        <v>-90875.99297855404</v>
      </c>
      <c r="AO308" s="81">
        <f t="shared" si="82"/>
        <v>-39097.36140522512</v>
      </c>
      <c r="AP308" s="81">
        <f t="shared" si="83"/>
        <v>4360.235303550394</v>
      </c>
      <c r="AQ308" s="81">
        <f t="shared" si="84"/>
        <v>5127.1489659338895</v>
      </c>
      <c r="AR308" s="81">
        <f t="shared" si="85"/>
        <v>5975.342753929442</v>
      </c>
      <c r="AS308" s="82">
        <v>1500</v>
      </c>
      <c r="AT308" s="82">
        <v>33</v>
      </c>
      <c r="AU308" s="82"/>
      <c r="AV308" s="82">
        <f t="shared" si="86"/>
        <v>33</v>
      </c>
      <c r="AW308" s="82">
        <v>12438.3490030714</v>
      </c>
      <c r="AX308" s="149">
        <v>-1676.4848518453418</v>
      </c>
      <c r="AY308" s="81">
        <f t="shared" si="87"/>
        <v>-1603346.4998822014</v>
      </c>
      <c r="AZ308" s="409"/>
      <c r="BA308" s="81"/>
      <c r="BB308" s="81"/>
      <c r="BC308" s="81"/>
      <c r="BD308" s="81"/>
      <c r="BE308" s="81"/>
      <c r="BF308" s="81"/>
      <c r="BG308" s="81"/>
    </row>
    <row r="309" spans="1:59" ht="12.75">
      <c r="A309" s="81">
        <v>977</v>
      </c>
      <c r="B309" s="81" t="s">
        <v>425</v>
      </c>
      <c r="C309" s="81">
        <v>17</v>
      </c>
      <c r="D309" s="81">
        <v>15212</v>
      </c>
      <c r="E309" s="100">
        <v>45621909.658893175</v>
      </c>
      <c r="F309" s="81">
        <v>21266630</v>
      </c>
      <c r="G309" s="81">
        <v>4782020.04767892</v>
      </c>
      <c r="H309" s="81">
        <v>1908657.261110477</v>
      </c>
      <c r="I309" s="156">
        <v>15655420.16632691</v>
      </c>
      <c r="J309" s="156">
        <v>2226548.622395615</v>
      </c>
      <c r="K309" s="81">
        <v>-982242.2478835378</v>
      </c>
      <c r="L309" s="81">
        <v>256960</v>
      </c>
      <c r="M309" s="82">
        <v>-351900</v>
      </c>
      <c r="N309" s="82">
        <v>152815.30139047225</v>
      </c>
      <c r="O309" s="214">
        <f t="shared" si="71"/>
        <v>-707000.5078743175</v>
      </c>
      <c r="P309" s="215">
        <f t="shared" si="72"/>
        <v>-46.47649933436218</v>
      </c>
      <c r="Q309" s="81"/>
      <c r="R309" s="223">
        <v>102300856</v>
      </c>
      <c r="S309" s="156">
        <v>49559024.18</v>
      </c>
      <c r="T309" s="156">
        <v>2862985.8916657153</v>
      </c>
      <c r="U309" s="156">
        <v>36894470.28315032</v>
      </c>
      <c r="V309" s="156">
        <v>6774244.972086202</v>
      </c>
      <c r="W309" s="156">
        <v>4687080.04767892</v>
      </c>
      <c r="X309" s="214">
        <f t="shared" si="73"/>
        <v>-1523050.6254188418</v>
      </c>
      <c r="Y309" s="215">
        <f t="shared" si="74"/>
        <v>-100.1216556283751</v>
      </c>
      <c r="Z309" s="81"/>
      <c r="AA309" s="94">
        <f t="shared" si="75"/>
        <v>816050.1175445244</v>
      </c>
      <c r="AB309" s="153">
        <f t="shared" si="76"/>
        <v>53.64515629401291</v>
      </c>
      <c r="AD309" s="216">
        <v>-753235.6557404973</v>
      </c>
      <c r="AE309" s="224">
        <v>-557398.6235442073</v>
      </c>
      <c r="AF309" s="224">
        <v>-343198.844685845</v>
      </c>
      <c r="AG309" s="224">
        <v>-112118.22543368746</v>
      </c>
      <c r="AH309" s="225">
        <v>22599.928884329853</v>
      </c>
      <c r="AJ309" s="81">
        <f t="shared" si="77"/>
        <v>28292394.18</v>
      </c>
      <c r="AK309" s="81">
        <f t="shared" si="78"/>
        <v>954328.6305552383</v>
      </c>
      <c r="AL309" s="81">
        <f t="shared" si="79"/>
        <v>21239050.116823412</v>
      </c>
      <c r="AM309" s="81">
        <f t="shared" si="80"/>
        <v>56678946.341106825</v>
      </c>
      <c r="AN309" s="81">
        <f t="shared" si="81"/>
        <v>-753235.6557404973</v>
      </c>
      <c r="AO309" s="81">
        <f t="shared" si="82"/>
        <v>-557398.6235442073</v>
      </c>
      <c r="AP309" s="81">
        <f t="shared" si="83"/>
        <v>-343198.844685845</v>
      </c>
      <c r="AQ309" s="81">
        <f t="shared" si="84"/>
        <v>-112118.22543368746</v>
      </c>
      <c r="AR309" s="81">
        <f t="shared" si="85"/>
        <v>22599.928884329853</v>
      </c>
      <c r="AS309" s="82">
        <v>5846</v>
      </c>
      <c r="AT309" s="82"/>
      <c r="AU309" s="82">
        <v>467</v>
      </c>
      <c r="AV309" s="82">
        <f t="shared" si="86"/>
        <v>467</v>
      </c>
      <c r="AW309" s="82">
        <v>17090.235595754668</v>
      </c>
      <c r="AX309" s="149">
        <v>-4433.842250101577</v>
      </c>
      <c r="AY309" s="81">
        <f t="shared" si="87"/>
        <v>-4547696.349690587</v>
      </c>
      <c r="AZ309" s="409"/>
      <c r="BA309" s="81"/>
      <c r="BB309" s="81"/>
      <c r="BC309" s="81"/>
      <c r="BD309" s="81"/>
      <c r="BE309" s="81"/>
      <c r="BF309" s="81"/>
      <c r="BG309" s="81"/>
    </row>
    <row r="310" spans="1:59" ht="12.75">
      <c r="A310" s="81">
        <v>980</v>
      </c>
      <c r="B310" s="81" t="s">
        <v>426</v>
      </c>
      <c r="C310" s="81">
        <v>6</v>
      </c>
      <c r="D310" s="81">
        <v>32983</v>
      </c>
      <c r="E310" s="100">
        <v>86403160.5237965</v>
      </c>
      <c r="F310" s="81">
        <v>44739293</v>
      </c>
      <c r="G310" s="81">
        <v>7095661.581043726</v>
      </c>
      <c r="H310" s="81">
        <v>4143355.646118797</v>
      </c>
      <c r="I310" s="156">
        <v>28644456.89809889</v>
      </c>
      <c r="J310" s="156">
        <v>4078227.614851891</v>
      </c>
      <c r="K310" s="81">
        <v>-898469.3678676677</v>
      </c>
      <c r="L310" s="81">
        <v>-3844562</v>
      </c>
      <c r="M310" s="82">
        <v>363000</v>
      </c>
      <c r="N310" s="82">
        <v>399320.14638154337</v>
      </c>
      <c r="O310" s="214">
        <f t="shared" si="71"/>
        <v>-1682877.0051693171</v>
      </c>
      <c r="P310" s="215">
        <f t="shared" si="72"/>
        <v>-51.022557231583455</v>
      </c>
      <c r="Q310" s="81"/>
      <c r="R310" s="223">
        <v>184997484</v>
      </c>
      <c r="S310" s="156">
        <v>119091936.08999999</v>
      </c>
      <c r="T310" s="156">
        <v>6215033.469178195</v>
      </c>
      <c r="U310" s="156">
        <v>41446994.13521613</v>
      </c>
      <c r="V310" s="156">
        <v>12074299.15892878</v>
      </c>
      <c r="W310" s="156">
        <v>3614099.581043726</v>
      </c>
      <c r="X310" s="214">
        <f t="shared" si="73"/>
        <v>-2555121.5656331778</v>
      </c>
      <c r="Y310" s="215">
        <f t="shared" si="74"/>
        <v>-77.46783390331922</v>
      </c>
      <c r="Z310" s="81"/>
      <c r="AA310" s="94">
        <f t="shared" si="75"/>
        <v>872244.5604638606</v>
      </c>
      <c r="AB310" s="153">
        <f t="shared" si="76"/>
        <v>26.445276671735762</v>
      </c>
      <c r="AD310" s="216">
        <v>-736048.8338215896</v>
      </c>
      <c r="AE310" s="224">
        <v>-311430.58290584973</v>
      </c>
      <c r="AF310" s="224">
        <v>35756.7481394835</v>
      </c>
      <c r="AG310" s="224">
        <v>42045.93593818933</v>
      </c>
      <c r="AH310" s="225">
        <v>49001.67331000865</v>
      </c>
      <c r="AJ310" s="81">
        <f t="shared" si="77"/>
        <v>74352643.08999999</v>
      </c>
      <c r="AK310" s="81">
        <f t="shared" si="78"/>
        <v>2071677.8230593982</v>
      </c>
      <c r="AL310" s="81">
        <f t="shared" si="79"/>
        <v>12802537.237117242</v>
      </c>
      <c r="AM310" s="81">
        <f t="shared" si="80"/>
        <v>98594323.4762035</v>
      </c>
      <c r="AN310" s="81">
        <f t="shared" si="81"/>
        <v>-736048.8338215896</v>
      </c>
      <c r="AO310" s="81">
        <f t="shared" si="82"/>
        <v>-311430.58290584973</v>
      </c>
      <c r="AP310" s="81">
        <f t="shared" si="83"/>
        <v>35756.7481394835</v>
      </c>
      <c r="AQ310" s="81">
        <f t="shared" si="84"/>
        <v>42045.93593818933</v>
      </c>
      <c r="AR310" s="81">
        <f t="shared" si="85"/>
        <v>49001.67331000865</v>
      </c>
      <c r="AS310" s="82">
        <v>10231</v>
      </c>
      <c r="AT310" s="82">
        <v>101</v>
      </c>
      <c r="AU310" s="82"/>
      <c r="AV310" s="82">
        <f t="shared" si="86"/>
        <v>101</v>
      </c>
      <c r="AW310" s="82">
        <v>13047.550092575662</v>
      </c>
      <c r="AX310" s="149">
        <v>-296.6905917403958</v>
      </c>
      <c r="AY310" s="81">
        <f t="shared" si="87"/>
        <v>-7996071.544076889</v>
      </c>
      <c r="AZ310" s="409"/>
      <c r="BA310" s="81"/>
      <c r="BB310" s="81"/>
      <c r="BC310" s="81"/>
      <c r="BD310" s="81"/>
      <c r="BE310" s="81"/>
      <c r="BF310" s="81"/>
      <c r="BG310" s="81"/>
    </row>
    <row r="311" spans="1:59" ht="12.75">
      <c r="A311" s="81">
        <v>981</v>
      </c>
      <c r="B311" s="81" t="s">
        <v>427</v>
      </c>
      <c r="C311" s="81">
        <v>5</v>
      </c>
      <c r="D311" s="81">
        <v>2357</v>
      </c>
      <c r="E311" s="100">
        <v>5415720.971458158</v>
      </c>
      <c r="F311" s="81">
        <v>3090710</v>
      </c>
      <c r="G311" s="81">
        <v>469052.67938315746</v>
      </c>
      <c r="H311" s="81">
        <v>189378.560514528</v>
      </c>
      <c r="I311" s="156">
        <v>1369310.0629368955</v>
      </c>
      <c r="J311" s="156">
        <v>446485.9730315432</v>
      </c>
      <c r="K311" s="81">
        <v>111698.0451740946</v>
      </c>
      <c r="L311" s="81">
        <v>-573428</v>
      </c>
      <c r="M311" s="82">
        <v>4700</v>
      </c>
      <c r="N311" s="82">
        <v>21804.724318771838</v>
      </c>
      <c r="O311" s="214">
        <f t="shared" si="71"/>
        <v>-286008.9260991672</v>
      </c>
      <c r="P311" s="215">
        <f t="shared" si="72"/>
        <v>-121.34447437385117</v>
      </c>
      <c r="Q311" s="81"/>
      <c r="R311" s="223">
        <v>13722856</v>
      </c>
      <c r="S311" s="156">
        <v>7169141.62</v>
      </c>
      <c r="T311" s="156">
        <v>284067.840771792</v>
      </c>
      <c r="U311" s="156">
        <v>4716864.110322664</v>
      </c>
      <c r="V311" s="156">
        <v>1393797.0962985605</v>
      </c>
      <c r="W311" s="156">
        <v>-99675.32061684254</v>
      </c>
      <c r="X311" s="214">
        <f t="shared" si="73"/>
        <v>-258660.65322382748</v>
      </c>
      <c r="Y311" s="215">
        <f t="shared" si="74"/>
        <v>-109.74147357820428</v>
      </c>
      <c r="Z311" s="81"/>
      <c r="AA311" s="94">
        <f t="shared" si="75"/>
        <v>-27348.272875339724</v>
      </c>
      <c r="AB311" s="153">
        <f t="shared" si="76"/>
        <v>-11.603000795646892</v>
      </c>
      <c r="AD311" s="216">
        <v>37080.96328239377</v>
      </c>
      <c r="AE311" s="224">
        <v>4721.358885008389</v>
      </c>
      <c r="AF311" s="224">
        <v>2555.2149702805264</v>
      </c>
      <c r="AG311" s="224">
        <v>3004.646969842411</v>
      </c>
      <c r="AH311" s="225">
        <v>3501.711305572276</v>
      </c>
      <c r="AJ311" s="81">
        <f t="shared" si="77"/>
        <v>4078431.62</v>
      </c>
      <c r="AK311" s="81">
        <f t="shared" si="78"/>
        <v>94689.28025726398</v>
      </c>
      <c r="AL311" s="81">
        <f t="shared" si="79"/>
        <v>3347554.047385768</v>
      </c>
      <c r="AM311" s="81">
        <f t="shared" si="80"/>
        <v>8307135.028541842</v>
      </c>
      <c r="AN311" s="81">
        <f t="shared" si="81"/>
        <v>37080.96328239377</v>
      </c>
      <c r="AO311" s="81">
        <f t="shared" si="82"/>
        <v>4721.358885008389</v>
      </c>
      <c r="AP311" s="81">
        <f t="shared" si="83"/>
        <v>2555.2149702805264</v>
      </c>
      <c r="AQ311" s="81">
        <f t="shared" si="84"/>
        <v>3004.646969842411</v>
      </c>
      <c r="AR311" s="81">
        <f t="shared" si="85"/>
        <v>3501.711305572276</v>
      </c>
      <c r="AS311" s="82">
        <v>611</v>
      </c>
      <c r="AT311" s="82"/>
      <c r="AU311" s="82">
        <v>4</v>
      </c>
      <c r="AV311" s="82">
        <f t="shared" si="86"/>
        <v>4</v>
      </c>
      <c r="AW311" s="82">
        <v>2615.7016786787754</v>
      </c>
      <c r="AX311" s="149">
        <v>-798.1523554015844</v>
      </c>
      <c r="AY311" s="81">
        <f t="shared" si="87"/>
        <v>-947311.1232670173</v>
      </c>
      <c r="AZ311" s="409"/>
      <c r="BA311" s="81"/>
      <c r="BB311" s="81"/>
      <c r="BC311" s="81"/>
      <c r="BD311" s="81"/>
      <c r="BE311" s="81"/>
      <c r="BF311" s="81"/>
      <c r="BG311" s="81"/>
    </row>
    <row r="312" spans="1:59" ht="12.75">
      <c r="A312" s="81">
        <v>989</v>
      </c>
      <c r="B312" s="81" t="s">
        <v>428</v>
      </c>
      <c r="C312" s="81">
        <v>14</v>
      </c>
      <c r="D312" s="81">
        <v>5703</v>
      </c>
      <c r="E312" s="100">
        <v>15434456.700006977</v>
      </c>
      <c r="F312" s="81">
        <v>7348137</v>
      </c>
      <c r="G312" s="81">
        <v>1956159.3009676484</v>
      </c>
      <c r="H312" s="81">
        <v>856778.8704175008</v>
      </c>
      <c r="I312" s="156">
        <v>3544812.9898964595</v>
      </c>
      <c r="J312" s="156">
        <v>1059960.270567717</v>
      </c>
      <c r="K312" s="81">
        <v>-1296396.6051751282</v>
      </c>
      <c r="L312" s="81">
        <v>-190034</v>
      </c>
      <c r="M312" s="82">
        <v>412000</v>
      </c>
      <c r="N312" s="82">
        <v>53578.24098134748</v>
      </c>
      <c r="O312" s="214">
        <f t="shared" si="71"/>
        <v>-1689460.632351432</v>
      </c>
      <c r="P312" s="215">
        <f t="shared" si="72"/>
        <v>-296.24068601638294</v>
      </c>
      <c r="Q312" s="81"/>
      <c r="R312" s="223">
        <v>42658336</v>
      </c>
      <c r="S312" s="156">
        <v>17173877.54</v>
      </c>
      <c r="T312" s="156">
        <v>1285168.3056262513</v>
      </c>
      <c r="U312" s="156">
        <v>16247983.086519487</v>
      </c>
      <c r="V312" s="156">
        <v>3294440.7707454436</v>
      </c>
      <c r="W312" s="156">
        <v>2178125.3009676486</v>
      </c>
      <c r="X312" s="214">
        <f t="shared" si="73"/>
        <v>-2478740.996141173</v>
      </c>
      <c r="Y312" s="215">
        <f t="shared" si="74"/>
        <v>-434.6380845416751</v>
      </c>
      <c r="Z312" s="81"/>
      <c r="AA312" s="94">
        <f t="shared" si="75"/>
        <v>789280.363789741</v>
      </c>
      <c r="AB312" s="153">
        <f t="shared" si="76"/>
        <v>138.39739852529212</v>
      </c>
      <c r="AD312" s="216">
        <v>-765731.1345188797</v>
      </c>
      <c r="AE312" s="224">
        <v>-692311.5582228344</v>
      </c>
      <c r="AF312" s="224">
        <v>-612007.7626121823</v>
      </c>
      <c r="AG312" s="224">
        <v>-525375.3164121392</v>
      </c>
      <c r="AH312" s="225">
        <v>-438627.61895491934</v>
      </c>
      <c r="AJ312" s="81">
        <f t="shared" si="77"/>
        <v>9825740.54</v>
      </c>
      <c r="AK312" s="81">
        <f t="shared" si="78"/>
        <v>428389.4352087504</v>
      </c>
      <c r="AL312" s="81">
        <f t="shared" si="79"/>
        <v>12703170.096623028</v>
      </c>
      <c r="AM312" s="81">
        <f t="shared" si="80"/>
        <v>27223879.299993023</v>
      </c>
      <c r="AN312" s="81">
        <f t="shared" si="81"/>
        <v>-765731.1345188797</v>
      </c>
      <c r="AO312" s="81">
        <f t="shared" si="82"/>
        <v>-692311.5582228344</v>
      </c>
      <c r="AP312" s="81">
        <f t="shared" si="83"/>
        <v>-612007.7626121823</v>
      </c>
      <c r="AQ312" s="81">
        <f t="shared" si="84"/>
        <v>-525375.3164121392</v>
      </c>
      <c r="AR312" s="81">
        <f t="shared" si="85"/>
        <v>-438627.61895491934</v>
      </c>
      <c r="AS312" s="82">
        <v>2945</v>
      </c>
      <c r="AT312" s="82">
        <v>316</v>
      </c>
      <c r="AU312" s="82"/>
      <c r="AV312" s="82">
        <f t="shared" si="86"/>
        <v>316</v>
      </c>
      <c r="AW312" s="82">
        <v>10592.46886153919</v>
      </c>
      <c r="AX312" s="149">
        <v>-2082.1321536650817</v>
      </c>
      <c r="AY312" s="81">
        <f t="shared" si="87"/>
        <v>-2234480.5001777266</v>
      </c>
      <c r="AZ312" s="409"/>
      <c r="BA312" s="81"/>
      <c r="BB312" s="81"/>
      <c r="BC312" s="81"/>
      <c r="BD312" s="81"/>
      <c r="BE312" s="81"/>
      <c r="BF312" s="81"/>
      <c r="BG312" s="81"/>
    </row>
    <row r="313" spans="1:59" ht="12.75">
      <c r="A313" s="81">
        <v>992</v>
      </c>
      <c r="B313" s="81" t="s">
        <v>429</v>
      </c>
      <c r="C313" s="81">
        <v>13</v>
      </c>
      <c r="D313" s="81">
        <v>18851</v>
      </c>
      <c r="E313" s="100">
        <v>50573225.09203628</v>
      </c>
      <c r="F313" s="81">
        <v>25838496</v>
      </c>
      <c r="G313" s="81">
        <v>4748837.856458679</v>
      </c>
      <c r="H313" s="81">
        <v>5009563.200458678</v>
      </c>
      <c r="I313" s="156">
        <v>8589911.979483109</v>
      </c>
      <c r="J313" s="156">
        <v>2823599.91846974</v>
      </c>
      <c r="K313" s="81">
        <v>2506525.277622581</v>
      </c>
      <c r="L313" s="81">
        <v>-577591</v>
      </c>
      <c r="M313" s="82">
        <v>1818000</v>
      </c>
      <c r="N313" s="82">
        <v>208541.10566904338</v>
      </c>
      <c r="O313" s="214">
        <f t="shared" si="71"/>
        <v>392659.2461255491</v>
      </c>
      <c r="P313" s="215">
        <f t="shared" si="72"/>
        <v>20.82962421757727</v>
      </c>
      <c r="Q313" s="81"/>
      <c r="R313" s="223">
        <v>123503632</v>
      </c>
      <c r="S313" s="156">
        <v>63245580.925</v>
      </c>
      <c r="T313" s="156">
        <v>7514344.800688017</v>
      </c>
      <c r="U313" s="156">
        <v>41381315.67329396</v>
      </c>
      <c r="V313" s="156">
        <v>8553083.571479771</v>
      </c>
      <c r="W313" s="156">
        <v>5989246.856458679</v>
      </c>
      <c r="X313" s="214">
        <f t="shared" si="73"/>
        <v>3179939.82692042</v>
      </c>
      <c r="Y313" s="215">
        <f t="shared" si="74"/>
        <v>168.6881240740767</v>
      </c>
      <c r="Z313" s="81"/>
      <c r="AA313" s="94">
        <f t="shared" si="75"/>
        <v>-2787280.580794871</v>
      </c>
      <c r="AB313" s="153">
        <f t="shared" si="76"/>
        <v>-147.85849985649944</v>
      </c>
      <c r="AD313" s="216">
        <v>2865121.457699131</v>
      </c>
      <c r="AE313" s="224">
        <v>2542276.4362642285</v>
      </c>
      <c r="AF313" s="224">
        <v>2242186.8800756265</v>
      </c>
      <c r="AG313" s="224">
        <v>1963016.3826737346</v>
      </c>
      <c r="AH313" s="225">
        <v>1684226.8429167739</v>
      </c>
      <c r="AJ313" s="81">
        <f t="shared" si="77"/>
        <v>37407084.925</v>
      </c>
      <c r="AK313" s="81">
        <f t="shared" si="78"/>
        <v>2504781.6002293387</v>
      </c>
      <c r="AL313" s="81">
        <f t="shared" si="79"/>
        <v>32791403.693810854</v>
      </c>
      <c r="AM313" s="81">
        <f t="shared" si="80"/>
        <v>72930406.90796372</v>
      </c>
      <c r="AN313" s="81">
        <f t="shared" si="81"/>
        <v>2865121.457699131</v>
      </c>
      <c r="AO313" s="81">
        <f t="shared" si="82"/>
        <v>2542276.4362642285</v>
      </c>
      <c r="AP313" s="81">
        <f t="shared" si="83"/>
        <v>2242186.8800756265</v>
      </c>
      <c r="AQ313" s="81">
        <f t="shared" si="84"/>
        <v>1963016.3826737346</v>
      </c>
      <c r="AR313" s="81">
        <f t="shared" si="85"/>
        <v>1684226.8429167739</v>
      </c>
      <c r="AS313" s="82">
        <v>7152</v>
      </c>
      <c r="AT313" s="82">
        <v>143</v>
      </c>
      <c r="AU313" s="82"/>
      <c r="AV313" s="82">
        <f t="shared" si="86"/>
        <v>143</v>
      </c>
      <c r="AW313" s="82">
        <v>29295.218324851707</v>
      </c>
      <c r="AX313" s="149">
        <v>-2533.344115418914</v>
      </c>
      <c r="AY313" s="81">
        <f t="shared" si="87"/>
        <v>-5729483.653010031</v>
      </c>
      <c r="AZ313" s="409"/>
      <c r="BA313" s="81"/>
      <c r="BB313" s="81"/>
      <c r="BC313" s="81"/>
      <c r="BD313" s="81"/>
      <c r="BE313" s="81"/>
      <c r="BF313" s="81"/>
      <c r="BG313" s="81"/>
    </row>
    <row r="314" spans="4:59" ht="12.75">
      <c r="D314" s="81"/>
      <c r="E314" s="100"/>
      <c r="F314" s="81"/>
      <c r="G314" s="81"/>
      <c r="H314" s="81"/>
      <c r="I314" s="156"/>
      <c r="J314" s="156"/>
      <c r="K314" s="81"/>
      <c r="L314" s="81"/>
      <c r="M314" s="82"/>
      <c r="N314" s="82"/>
      <c r="O314" s="214"/>
      <c r="P314" s="215"/>
      <c r="Q314" s="81"/>
      <c r="R314" s="223"/>
      <c r="S314" s="156"/>
      <c r="T314" s="156"/>
      <c r="U314" s="156"/>
      <c r="V314" s="156"/>
      <c r="W314" s="156"/>
      <c r="X314" s="214"/>
      <c r="Y314" s="215"/>
      <c r="Z314" s="81"/>
      <c r="AA314" s="94"/>
      <c r="AB314" s="153"/>
      <c r="AD314" s="216"/>
      <c r="AE314" s="224"/>
      <c r="AF314" s="224"/>
      <c r="AG314" s="224"/>
      <c r="AH314" s="225"/>
      <c r="AJ314" s="81"/>
      <c r="AK314" s="81"/>
      <c r="AL314" s="81"/>
      <c r="AM314" s="81"/>
      <c r="AN314" s="81"/>
      <c r="AO314" s="81"/>
      <c r="AP314" s="81"/>
      <c r="AQ314" s="81"/>
      <c r="AR314" s="81"/>
      <c r="AS314" s="82"/>
      <c r="AT314" s="149"/>
      <c r="AU314" s="149"/>
      <c r="AV314" s="149"/>
      <c r="AW314" s="149"/>
      <c r="AX314" s="149"/>
      <c r="AY314" s="81"/>
      <c r="AZ314" s="409"/>
      <c r="BA314" s="81"/>
      <c r="BB314" s="81"/>
      <c r="BC314" s="81"/>
      <c r="BD314" s="81"/>
      <c r="BE314" s="81"/>
      <c r="BF314" s="81"/>
      <c r="BG314" s="81"/>
    </row>
    <row r="315" ht="12.75">
      <c r="AS315" s="3"/>
    </row>
    <row r="316" ht="12.75">
      <c r="AS316" s="3"/>
    </row>
    <row r="317" ht="12.75">
      <c r="AS317" s="3"/>
    </row>
    <row r="318" ht="12.75">
      <c r="AS318" s="3"/>
    </row>
    <row r="319" ht="12.75">
      <c r="AS319" s="3"/>
    </row>
    <row r="320" ht="12.75">
      <c r="AS320" s="3"/>
    </row>
    <row r="321" ht="12.75">
      <c r="AS321" s="3"/>
    </row>
    <row r="322" ht="12.75">
      <c r="AS322" s="3"/>
    </row>
    <row r="323" ht="12.75">
      <c r="AS323" s="3"/>
    </row>
    <row r="324" ht="12.75">
      <c r="AS324" s="3"/>
    </row>
    <row r="325" ht="12.75">
      <c r="AS325" s="3"/>
    </row>
    <row r="326" ht="12.75">
      <c r="AS326" s="3"/>
    </row>
    <row r="327" ht="12.75">
      <c r="AS327" s="3"/>
    </row>
    <row r="328" ht="12.75">
      <c r="AS328" s="3"/>
    </row>
    <row r="329" ht="12.75">
      <c r="AS329" s="3"/>
    </row>
  </sheetData>
  <sheetProtection/>
  <printOptions/>
  <pageMargins left="0.7" right="0.7" top="0.75" bottom="0.75" header="0.3" footer="0.3"/>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Z299"/>
  <sheetViews>
    <sheetView zoomScalePageLayoutView="0" workbookViewId="0" topLeftCell="A1">
      <selection activeCell="J24" sqref="J24"/>
    </sheetView>
  </sheetViews>
  <sheetFormatPr defaultColWidth="9.140625" defaultRowHeight="12.75"/>
  <cols>
    <col min="1" max="1" width="13.7109375" style="0" customWidth="1"/>
    <col min="2" max="2" width="14.28125" style="0" customWidth="1"/>
    <col min="3" max="3" width="15.140625" style="0" customWidth="1"/>
    <col min="4" max="4" width="14.140625" style="0" customWidth="1"/>
    <col min="5" max="5" width="14.00390625" style="0" customWidth="1"/>
    <col min="6" max="6" width="14.28125" style="0" customWidth="1"/>
    <col min="7" max="7" width="4.00390625" style="0" customWidth="1"/>
  </cols>
  <sheetData>
    <row r="1" ht="12.75">
      <c r="A1" s="3" t="s">
        <v>608</v>
      </c>
    </row>
    <row r="2" spans="1:26" ht="12.75">
      <c r="A2" s="162">
        <v>1</v>
      </c>
      <c r="B2" s="162">
        <v>2</v>
      </c>
      <c r="C2" s="162">
        <v>3</v>
      </c>
      <c r="D2" s="162">
        <v>4</v>
      </c>
      <c r="E2" s="162">
        <v>5</v>
      </c>
      <c r="F2" s="162">
        <v>6</v>
      </c>
      <c r="G2" s="162">
        <v>7</v>
      </c>
      <c r="H2" s="162">
        <v>8</v>
      </c>
      <c r="I2" s="162">
        <v>9</v>
      </c>
      <c r="J2" s="162">
        <v>10</v>
      </c>
      <c r="K2" s="162">
        <v>11</v>
      </c>
      <c r="L2" s="162">
        <v>12</v>
      </c>
      <c r="M2" s="162">
        <v>13</v>
      </c>
      <c r="N2" s="162">
        <v>14</v>
      </c>
      <c r="O2" s="162">
        <v>15</v>
      </c>
      <c r="P2" s="162">
        <v>16</v>
      </c>
      <c r="Q2" s="162">
        <v>17</v>
      </c>
      <c r="R2" s="162">
        <v>18</v>
      </c>
      <c r="S2" s="162">
        <v>19</v>
      </c>
      <c r="T2" s="162">
        <v>20</v>
      </c>
      <c r="U2" s="162">
        <v>21</v>
      </c>
      <c r="V2" s="162">
        <v>22</v>
      </c>
      <c r="W2" s="162">
        <v>23</v>
      </c>
      <c r="X2" s="162">
        <v>24</v>
      </c>
      <c r="Y2" s="162">
        <v>25</v>
      </c>
      <c r="Z2" s="162">
        <v>26</v>
      </c>
    </row>
    <row r="3" spans="2:12" ht="12.75">
      <c r="B3" s="2">
        <v>2020</v>
      </c>
      <c r="C3" s="2">
        <v>2021</v>
      </c>
      <c r="D3" s="2">
        <v>2022</v>
      </c>
      <c r="E3" s="2">
        <v>2023</v>
      </c>
      <c r="F3" s="2">
        <v>2024</v>
      </c>
      <c r="H3" s="2">
        <v>2020</v>
      </c>
      <c r="I3" s="2">
        <v>2021</v>
      </c>
      <c r="J3" s="2">
        <v>2022</v>
      </c>
      <c r="K3" s="2">
        <v>2023</v>
      </c>
      <c r="L3" s="2">
        <v>2024</v>
      </c>
    </row>
    <row r="4" spans="1:12" ht="12.75">
      <c r="A4" s="3" t="s">
        <v>606</v>
      </c>
      <c r="B4" s="45">
        <f>SUM(B5:B299)</f>
        <v>12032509853.186127</v>
      </c>
      <c r="C4" s="45">
        <f>SUM(C5:C299)</f>
        <v>12290097529.336197</v>
      </c>
      <c r="D4" s="45">
        <f>SUM(D5:D299)</f>
        <v>12543473824.313204</v>
      </c>
      <c r="E4" s="45">
        <f>SUM(E5:E299)</f>
        <v>12799832515.08282</v>
      </c>
      <c r="F4" s="45">
        <f>SUM(F5:F299)</f>
        <v>13053435118.632551</v>
      </c>
      <c r="H4" s="241">
        <f>B4/B4</f>
        <v>1</v>
      </c>
      <c r="I4" s="241">
        <f aca="true" t="shared" si="0" ref="I4:L5">C4/B4</f>
        <v>1.021407643068072</v>
      </c>
      <c r="J4" s="241">
        <f t="shared" si="0"/>
        <v>1.020616296524271</v>
      </c>
      <c r="K4" s="241">
        <f t="shared" si="0"/>
        <v>1.0204376151583074</v>
      </c>
      <c r="L4" s="241">
        <f t="shared" si="0"/>
        <v>1.019812962650167</v>
      </c>
    </row>
    <row r="5" spans="1:14" ht="12.75">
      <c r="A5" t="s">
        <v>144</v>
      </c>
      <c r="B5" s="109">
        <v>24256373.44521505</v>
      </c>
      <c r="C5" s="109">
        <v>24564183.337762706</v>
      </c>
      <c r="D5" s="109">
        <v>24853648.423244745</v>
      </c>
      <c r="E5" s="109">
        <v>25056814.755913477</v>
      </c>
      <c r="F5" s="109">
        <v>25284595.83107386</v>
      </c>
      <c r="H5" s="241">
        <f>B5/B5</f>
        <v>1</v>
      </c>
      <c r="I5" s="241">
        <f t="shared" si="0"/>
        <v>1.0126898562657303</v>
      </c>
      <c r="J5" s="241">
        <f t="shared" si="0"/>
        <v>1.0117840304927639</v>
      </c>
      <c r="K5" s="241">
        <f t="shared" si="0"/>
        <v>1.00817450738857</v>
      </c>
      <c r="L5" s="241">
        <f t="shared" si="0"/>
        <v>1.009090583834349</v>
      </c>
      <c r="N5" s="243" t="s">
        <v>609</v>
      </c>
    </row>
    <row r="6" spans="1:12" ht="12.75">
      <c r="A6" t="s">
        <v>145</v>
      </c>
      <c r="B6" s="109">
        <v>5310048.13200505</v>
      </c>
      <c r="C6" s="109">
        <v>5409843.053875618</v>
      </c>
      <c r="D6" s="109">
        <v>5475696.768163004</v>
      </c>
      <c r="E6" s="109">
        <v>5579935.0126606235</v>
      </c>
      <c r="F6" s="109">
        <v>5647504.243517306</v>
      </c>
      <c r="H6" s="241">
        <f aca="true" t="shared" si="1" ref="H6:H69">B6/B6</f>
        <v>1</v>
      </c>
      <c r="I6" s="241">
        <f aca="true" t="shared" si="2" ref="I6:I69">C6/B6</f>
        <v>1.0187936002442384</v>
      </c>
      <c r="J6" s="241">
        <f aca="true" t="shared" si="3" ref="J6:J69">D6/C6</f>
        <v>1.0121729435829396</v>
      </c>
      <c r="K6" s="241">
        <f aca="true" t="shared" si="4" ref="K6:K69">E6/D6</f>
        <v>1.0190365261100076</v>
      </c>
      <c r="L6" s="241">
        <f aca="true" t="shared" si="5" ref="L6:L69">F6/E6</f>
        <v>1.0121093221880488</v>
      </c>
    </row>
    <row r="7" spans="1:14" ht="12.75">
      <c r="A7" t="s">
        <v>146</v>
      </c>
      <c r="B7" s="109">
        <v>24272760.019972317</v>
      </c>
      <c r="C7" s="109">
        <v>24329135.373311605</v>
      </c>
      <c r="D7" s="109">
        <v>24516016.50531553</v>
      </c>
      <c r="E7" s="109">
        <v>24805753.865124837</v>
      </c>
      <c r="F7" s="109">
        <v>24944476.725973066</v>
      </c>
      <c r="H7" s="241">
        <f t="shared" si="1"/>
        <v>1</v>
      </c>
      <c r="I7" s="241">
        <f t="shared" si="2"/>
        <v>1.002322576966645</v>
      </c>
      <c r="J7" s="241">
        <f t="shared" si="3"/>
        <v>1.0076813717025443</v>
      </c>
      <c r="K7" s="241">
        <f t="shared" si="4"/>
        <v>1.0118182886582119</v>
      </c>
      <c r="L7" s="241">
        <f t="shared" si="5"/>
        <v>1.0055923662551238</v>
      </c>
      <c r="N7" s="243" t="s">
        <v>607</v>
      </c>
    </row>
    <row r="8" spans="1:12" ht="12.75">
      <c r="A8" t="s">
        <v>147</v>
      </c>
      <c r="B8" s="109">
        <v>15924686.325721748</v>
      </c>
      <c r="C8" s="109">
        <v>16063744.515783003</v>
      </c>
      <c r="D8" s="109">
        <v>16232517.092501083</v>
      </c>
      <c r="E8" s="109">
        <v>16338836.211307798</v>
      </c>
      <c r="F8" s="109">
        <v>16576189.24257964</v>
      </c>
      <c r="H8" s="241">
        <f t="shared" si="1"/>
        <v>1</v>
      </c>
      <c r="I8" s="241">
        <f t="shared" si="2"/>
        <v>1.0087322404483814</v>
      </c>
      <c r="J8" s="241">
        <f t="shared" si="3"/>
        <v>1.0105064280966531</v>
      </c>
      <c r="K8" s="241">
        <f t="shared" si="4"/>
        <v>1.006549761703675</v>
      </c>
      <c r="L8" s="241">
        <f t="shared" si="5"/>
        <v>1.0145269239621593</v>
      </c>
    </row>
    <row r="9" spans="1:12" ht="12.75">
      <c r="A9" t="s">
        <v>148</v>
      </c>
      <c r="B9" s="109">
        <v>11618588.183770375</v>
      </c>
      <c r="C9" s="109">
        <v>11955203.046796959</v>
      </c>
      <c r="D9" s="109">
        <v>12287324.559879903</v>
      </c>
      <c r="E9" s="109">
        <v>12516418.000354894</v>
      </c>
      <c r="F9" s="109">
        <v>12846512.627947845</v>
      </c>
      <c r="H9" s="241">
        <f t="shared" si="1"/>
        <v>1</v>
      </c>
      <c r="I9" s="241">
        <f t="shared" si="2"/>
        <v>1.028972096927989</v>
      </c>
      <c r="J9" s="241">
        <f t="shared" si="3"/>
        <v>1.027780499568506</v>
      </c>
      <c r="K9" s="241">
        <f t="shared" si="4"/>
        <v>1.0186446967652354</v>
      </c>
      <c r="L9" s="241">
        <f t="shared" si="5"/>
        <v>1.026372930944268</v>
      </c>
    </row>
    <row r="10" spans="1:12" ht="12.75">
      <c r="A10" t="s">
        <v>149</v>
      </c>
      <c r="B10" s="109">
        <v>7465209.351354531</v>
      </c>
      <c r="C10" s="109">
        <v>7673556.000522024</v>
      </c>
      <c r="D10" s="109">
        <v>7887694.23061088</v>
      </c>
      <c r="E10" s="109">
        <v>8013842.9157407805</v>
      </c>
      <c r="F10" s="109">
        <v>8179313.827998895</v>
      </c>
      <c r="H10" s="241">
        <f t="shared" si="1"/>
        <v>1</v>
      </c>
      <c r="I10" s="241">
        <f t="shared" si="2"/>
        <v>1.0279090162594957</v>
      </c>
      <c r="J10" s="241">
        <f t="shared" si="3"/>
        <v>1.0279059969164608</v>
      </c>
      <c r="K10" s="241">
        <f t="shared" si="4"/>
        <v>1.0159931003207932</v>
      </c>
      <c r="L10" s="241">
        <f t="shared" si="5"/>
        <v>1.0206481352327355</v>
      </c>
    </row>
    <row r="11" spans="1:12" ht="12.75">
      <c r="A11" t="s">
        <v>127</v>
      </c>
      <c r="B11" s="109">
        <v>30046447.350764632</v>
      </c>
      <c r="C11" s="109">
        <v>30365394.341754008</v>
      </c>
      <c r="D11" s="109">
        <v>30793774.791943155</v>
      </c>
      <c r="E11" s="109">
        <v>31174828.502891798</v>
      </c>
      <c r="F11" s="109">
        <v>31632465.90054497</v>
      </c>
      <c r="H11" s="241">
        <f t="shared" si="1"/>
        <v>1</v>
      </c>
      <c r="I11" s="241">
        <f t="shared" si="2"/>
        <v>1.0106151315417082</v>
      </c>
      <c r="J11" s="241">
        <f t="shared" si="3"/>
        <v>1.0141075213899033</v>
      </c>
      <c r="K11" s="241">
        <f t="shared" si="4"/>
        <v>1.012374374805402</v>
      </c>
      <c r="L11" s="241">
        <f t="shared" si="5"/>
        <v>1.0146797085863912</v>
      </c>
    </row>
    <row r="12" spans="1:12" ht="12.75">
      <c r="A12" t="s">
        <v>150</v>
      </c>
      <c r="B12" s="109">
        <v>3164227.4918779475</v>
      </c>
      <c r="C12" s="109">
        <v>3213760.925165707</v>
      </c>
      <c r="D12" s="109">
        <v>3264017.1148652304</v>
      </c>
      <c r="E12" s="109">
        <v>3316094.162869774</v>
      </c>
      <c r="F12" s="109">
        <v>3368956.3817190053</v>
      </c>
      <c r="H12" s="241">
        <f t="shared" si="1"/>
        <v>1</v>
      </c>
      <c r="I12" s="241">
        <f t="shared" si="2"/>
        <v>1.0156541947173214</v>
      </c>
      <c r="J12" s="241">
        <f t="shared" si="3"/>
        <v>1.0156378121676652</v>
      </c>
      <c r="K12" s="241">
        <f t="shared" si="4"/>
        <v>1.0159548942826833</v>
      </c>
      <c r="L12" s="241">
        <f t="shared" si="5"/>
        <v>1.0159411091039356</v>
      </c>
    </row>
    <row r="13" spans="1:12" ht="12.75">
      <c r="A13" t="s">
        <v>151</v>
      </c>
      <c r="B13" s="109">
        <v>6531955.697445111</v>
      </c>
      <c r="C13" s="109">
        <v>6712777.2939610835</v>
      </c>
      <c r="D13" s="109">
        <v>6859867.102818818</v>
      </c>
      <c r="E13" s="109">
        <v>7013115.675594283</v>
      </c>
      <c r="F13" s="109">
        <v>7166741.345370561</v>
      </c>
      <c r="H13" s="241">
        <f t="shared" si="1"/>
        <v>1</v>
      </c>
      <c r="I13" s="241">
        <f t="shared" si="2"/>
        <v>1.0276826122055143</v>
      </c>
      <c r="J13" s="241">
        <f t="shared" si="3"/>
        <v>1.0219119155032983</v>
      </c>
      <c r="K13" s="241">
        <f t="shared" si="4"/>
        <v>1.0223398748807384</v>
      </c>
      <c r="L13" s="241">
        <f t="shared" si="5"/>
        <v>1.0219054806568921</v>
      </c>
    </row>
    <row r="14" spans="1:12" ht="12.75">
      <c r="A14" t="s">
        <v>152</v>
      </c>
      <c r="B14" s="109">
        <v>680804449.9533501</v>
      </c>
      <c r="C14" s="109">
        <v>699667383.9929868</v>
      </c>
      <c r="D14" s="109">
        <v>717821804.4055663</v>
      </c>
      <c r="E14" s="109">
        <v>736443540.8861734</v>
      </c>
      <c r="F14" s="109">
        <v>755031915.073668</v>
      </c>
      <c r="H14" s="241">
        <f t="shared" si="1"/>
        <v>1</v>
      </c>
      <c r="I14" s="241">
        <f t="shared" si="2"/>
        <v>1.0277068312948443</v>
      </c>
      <c r="J14" s="241">
        <f t="shared" si="3"/>
        <v>1.0259472155311467</v>
      </c>
      <c r="K14" s="241">
        <f t="shared" si="4"/>
        <v>1.025942004500724</v>
      </c>
      <c r="L14" s="241">
        <f t="shared" si="5"/>
        <v>1.025240732188549</v>
      </c>
    </row>
    <row r="15" spans="1:12" ht="12.75">
      <c r="A15" t="s">
        <v>153</v>
      </c>
      <c r="B15" s="109">
        <v>24465262.7225634</v>
      </c>
      <c r="C15" s="109">
        <v>24711410.009301584</v>
      </c>
      <c r="D15" s="109">
        <v>24991859.725510225</v>
      </c>
      <c r="E15" s="109">
        <v>25392072.90093924</v>
      </c>
      <c r="F15" s="109">
        <v>25777520.69323841</v>
      </c>
      <c r="H15" s="241">
        <f t="shared" si="1"/>
        <v>1</v>
      </c>
      <c r="I15" s="241">
        <f t="shared" si="2"/>
        <v>1.0100610931314942</v>
      </c>
      <c r="J15" s="241">
        <f t="shared" si="3"/>
        <v>1.0113489969250269</v>
      </c>
      <c r="K15" s="241">
        <f t="shared" si="4"/>
        <v>1.0160137412671415</v>
      </c>
      <c r="L15" s="241">
        <f t="shared" si="5"/>
        <v>1.015179847419425</v>
      </c>
    </row>
    <row r="16" spans="1:12" ht="12.75">
      <c r="A16" t="s">
        <v>154</v>
      </c>
      <c r="B16" s="109">
        <v>27997519.44711418</v>
      </c>
      <c r="C16" s="109">
        <v>28657508.982642125</v>
      </c>
      <c r="D16" s="109">
        <v>29181637.143981975</v>
      </c>
      <c r="E16" s="109">
        <v>29709044.62506412</v>
      </c>
      <c r="F16" s="109">
        <v>30122547.657636855</v>
      </c>
      <c r="H16" s="241">
        <f t="shared" si="1"/>
        <v>1</v>
      </c>
      <c r="I16" s="241">
        <f t="shared" si="2"/>
        <v>1.0235731432127275</v>
      </c>
      <c r="J16" s="241">
        <f t="shared" si="3"/>
        <v>1.0182893831301707</v>
      </c>
      <c r="K16" s="241">
        <f t="shared" si="4"/>
        <v>1.0180732656800549</v>
      </c>
      <c r="L16" s="241">
        <f t="shared" si="5"/>
        <v>1.0139184224128124</v>
      </c>
    </row>
    <row r="17" spans="1:12" ht="12.75">
      <c r="A17" t="s">
        <v>155</v>
      </c>
      <c r="B17" s="109">
        <v>6428264.770734343</v>
      </c>
      <c r="C17" s="109">
        <v>6636297.94004178</v>
      </c>
      <c r="D17" s="109">
        <v>6751530.949813114</v>
      </c>
      <c r="E17" s="109">
        <v>6870684.351016673</v>
      </c>
      <c r="F17" s="109">
        <v>6994903.397914371</v>
      </c>
      <c r="H17" s="241">
        <f t="shared" si="1"/>
        <v>1</v>
      </c>
      <c r="I17" s="241">
        <f t="shared" si="2"/>
        <v>1.0323622589807657</v>
      </c>
      <c r="J17" s="241">
        <f t="shared" si="3"/>
        <v>1.0173640500791934</v>
      </c>
      <c r="K17" s="241">
        <f t="shared" si="4"/>
        <v>1.01764835295717</v>
      </c>
      <c r="L17" s="241">
        <f t="shared" si="5"/>
        <v>1.0180795741081188</v>
      </c>
    </row>
    <row r="18" spans="1:12" ht="12.75">
      <c r="A18" t="s">
        <v>156</v>
      </c>
      <c r="B18" s="109">
        <v>31106009.417470917</v>
      </c>
      <c r="C18" s="109">
        <v>31528727.106589176</v>
      </c>
      <c r="D18" s="109">
        <v>31832109.456238974</v>
      </c>
      <c r="E18" s="109">
        <v>32172648.922275506</v>
      </c>
      <c r="F18" s="109">
        <v>32374974.6491507</v>
      </c>
      <c r="H18" s="241">
        <f t="shared" si="1"/>
        <v>1</v>
      </c>
      <c r="I18" s="241">
        <f t="shared" si="2"/>
        <v>1.0135895827537695</v>
      </c>
      <c r="J18" s="241">
        <f t="shared" si="3"/>
        <v>1.0096224103378533</v>
      </c>
      <c r="K18" s="241">
        <f t="shared" si="4"/>
        <v>1.0106979861483791</v>
      </c>
      <c r="L18" s="241">
        <f t="shared" si="5"/>
        <v>1.0062887494083557</v>
      </c>
    </row>
    <row r="19" spans="1:12" ht="12.75">
      <c r="A19" t="s">
        <v>157</v>
      </c>
      <c r="B19" s="109">
        <v>18699677.35049651</v>
      </c>
      <c r="C19" s="109">
        <v>18888345.75218201</v>
      </c>
      <c r="D19" s="109">
        <v>19062079.132641364</v>
      </c>
      <c r="E19" s="109">
        <v>19196750.796191327</v>
      </c>
      <c r="F19" s="109">
        <v>19557574.8258667</v>
      </c>
      <c r="H19" s="241">
        <f t="shared" si="1"/>
        <v>1</v>
      </c>
      <c r="I19" s="241">
        <f t="shared" si="2"/>
        <v>1.010089393423705</v>
      </c>
      <c r="J19" s="241">
        <f t="shared" si="3"/>
        <v>1.0091979140332754</v>
      </c>
      <c r="K19" s="241">
        <f t="shared" si="4"/>
        <v>1.0070648989867719</v>
      </c>
      <c r="L19" s="241">
        <f t="shared" si="5"/>
        <v>1.0187960990641687</v>
      </c>
    </row>
    <row r="20" spans="1:12" ht="12.75">
      <c r="A20" t="s">
        <v>158</v>
      </c>
      <c r="B20" s="109">
        <v>17197199.406224832</v>
      </c>
      <c r="C20" s="109">
        <v>17364160.590779155</v>
      </c>
      <c r="D20" s="109">
        <v>17625672.267299347</v>
      </c>
      <c r="E20" s="109">
        <v>17785632.071135573</v>
      </c>
      <c r="F20" s="109">
        <v>18027460.97957345</v>
      </c>
      <c r="H20" s="241">
        <f t="shared" si="1"/>
        <v>1</v>
      </c>
      <c r="I20" s="241">
        <f t="shared" si="2"/>
        <v>1.0097086264228516</v>
      </c>
      <c r="J20" s="241">
        <f t="shared" si="3"/>
        <v>1.0150604272030899</v>
      </c>
      <c r="K20" s="241">
        <f t="shared" si="4"/>
        <v>1.009075387390074</v>
      </c>
      <c r="L20" s="241">
        <f t="shared" si="5"/>
        <v>1.013596868948523</v>
      </c>
    </row>
    <row r="21" spans="1:12" ht="12.75">
      <c r="A21" t="s">
        <v>159</v>
      </c>
      <c r="B21" s="109">
        <v>2094227.7559013863</v>
      </c>
      <c r="C21" s="109">
        <v>2137309.942007334</v>
      </c>
      <c r="D21" s="109">
        <v>2181280.6133325337</v>
      </c>
      <c r="E21" s="109">
        <v>2226158.6714579873</v>
      </c>
      <c r="F21" s="109">
        <v>2269194.12482711</v>
      </c>
      <c r="H21" s="241">
        <f t="shared" si="1"/>
        <v>1</v>
      </c>
      <c r="I21" s="241">
        <f t="shared" si="2"/>
        <v>1.0205718723689652</v>
      </c>
      <c r="J21" s="241">
        <f t="shared" si="3"/>
        <v>1.020572903564891</v>
      </c>
      <c r="K21" s="241">
        <f t="shared" si="4"/>
        <v>1.020574179154735</v>
      </c>
      <c r="L21" s="241">
        <f t="shared" si="5"/>
        <v>1.0193317097837136</v>
      </c>
    </row>
    <row r="22" spans="1:12" ht="12.75">
      <c r="A22" t="s">
        <v>160</v>
      </c>
      <c r="B22" s="109">
        <v>2867750.371803258</v>
      </c>
      <c r="C22" s="109">
        <v>2868568.727481897</v>
      </c>
      <c r="D22" s="109">
        <v>2912682.6493495284</v>
      </c>
      <c r="E22" s="109">
        <v>2914643.4519421933</v>
      </c>
      <c r="F22" s="109">
        <v>2960012.657630161</v>
      </c>
      <c r="H22" s="241">
        <f t="shared" si="1"/>
        <v>1</v>
      </c>
      <c r="I22" s="241">
        <f t="shared" si="2"/>
        <v>1.0002853650327048</v>
      </c>
      <c r="J22" s="241">
        <f t="shared" si="3"/>
        <v>1.0153783736973092</v>
      </c>
      <c r="K22" s="241">
        <f t="shared" si="4"/>
        <v>1.0006731947241498</v>
      </c>
      <c r="L22" s="241">
        <f t="shared" si="5"/>
        <v>1.0155659539274815</v>
      </c>
    </row>
    <row r="23" spans="1:12" ht="12.75">
      <c r="A23" t="s">
        <v>161</v>
      </c>
      <c r="B23" s="109">
        <v>34543553.18314089</v>
      </c>
      <c r="C23" s="109">
        <v>34894756.484416366</v>
      </c>
      <c r="D23" s="109">
        <v>35450414.98042849</v>
      </c>
      <c r="E23" s="109">
        <v>35811922.21118246</v>
      </c>
      <c r="F23" s="109">
        <v>36368184.11009575</v>
      </c>
      <c r="H23" s="241">
        <f t="shared" si="1"/>
        <v>1</v>
      </c>
      <c r="I23" s="241">
        <f t="shared" si="2"/>
        <v>1.0101669709370513</v>
      </c>
      <c r="J23" s="241">
        <f t="shared" si="3"/>
        <v>1.0159238393384482</v>
      </c>
      <c r="K23" s="241">
        <f t="shared" si="4"/>
        <v>1.0101975458102128</v>
      </c>
      <c r="L23" s="241">
        <f t="shared" si="5"/>
        <v>1.0155328690717302</v>
      </c>
    </row>
    <row r="24" spans="1:12" ht="12.75">
      <c r="A24" t="s">
        <v>162</v>
      </c>
      <c r="B24" s="109">
        <v>10460544.224456524</v>
      </c>
      <c r="C24" s="109">
        <v>10728301.921495233</v>
      </c>
      <c r="D24" s="109">
        <v>10883419.754221758</v>
      </c>
      <c r="E24" s="109">
        <v>10956997.449051123</v>
      </c>
      <c r="F24" s="109">
        <v>11045234.493795205</v>
      </c>
      <c r="H24" s="241">
        <f t="shared" si="1"/>
        <v>1</v>
      </c>
      <c r="I24" s="241">
        <f t="shared" si="2"/>
        <v>1.025596918410105</v>
      </c>
      <c r="J24" s="241">
        <f t="shared" si="3"/>
        <v>1.01445874975011</v>
      </c>
      <c r="K24" s="241">
        <f t="shared" si="4"/>
        <v>1.0067605308341456</v>
      </c>
      <c r="L24" s="241">
        <f t="shared" si="5"/>
        <v>1.008053031421644</v>
      </c>
    </row>
    <row r="25" spans="1:12" ht="12.75">
      <c r="A25" t="s">
        <v>163</v>
      </c>
      <c r="B25" s="109">
        <v>16085962.025945822</v>
      </c>
      <c r="C25" s="109">
        <v>16113040.285721771</v>
      </c>
      <c r="D25" s="109">
        <v>16226150.242862344</v>
      </c>
      <c r="E25" s="109">
        <v>16232445.423412386</v>
      </c>
      <c r="F25" s="109">
        <v>16297251.198412975</v>
      </c>
      <c r="H25" s="241">
        <f t="shared" si="1"/>
        <v>1</v>
      </c>
      <c r="I25" s="241">
        <f t="shared" si="2"/>
        <v>1.0016833472398028</v>
      </c>
      <c r="J25" s="241">
        <f t="shared" si="3"/>
        <v>1.007019777468117</v>
      </c>
      <c r="K25" s="241">
        <f t="shared" si="4"/>
        <v>1.0003879651338008</v>
      </c>
      <c r="L25" s="241">
        <f t="shared" si="5"/>
        <v>1.0039923605661485</v>
      </c>
    </row>
    <row r="26" spans="1:12" ht="12.75">
      <c r="A26" t="s">
        <v>164</v>
      </c>
      <c r="B26" s="109">
        <v>13621361.063006632</v>
      </c>
      <c r="C26" s="109">
        <v>13724709.07855304</v>
      </c>
      <c r="D26" s="109">
        <v>13836535.45009732</v>
      </c>
      <c r="E26" s="109">
        <v>14058018.144947369</v>
      </c>
      <c r="F26" s="109">
        <v>14290711.34714595</v>
      </c>
      <c r="H26" s="241">
        <f t="shared" si="1"/>
        <v>1</v>
      </c>
      <c r="I26" s="241">
        <f t="shared" si="2"/>
        <v>1.0075872018272156</v>
      </c>
      <c r="J26" s="241">
        <f t="shared" si="3"/>
        <v>1.0081478136187985</v>
      </c>
      <c r="K26" s="241">
        <f t="shared" si="4"/>
        <v>1.0160070919233246</v>
      </c>
      <c r="L26" s="241">
        <f t="shared" si="5"/>
        <v>1.0165523475499436</v>
      </c>
    </row>
    <row r="27" spans="1:12" ht="12.75">
      <c r="A27" t="s">
        <v>165</v>
      </c>
      <c r="B27" s="109">
        <v>5615454.639152733</v>
      </c>
      <c r="C27" s="109">
        <v>5667439.825161907</v>
      </c>
      <c r="D27" s="109">
        <v>5763430.621409343</v>
      </c>
      <c r="E27" s="109">
        <v>5862522.317835268</v>
      </c>
      <c r="F27" s="109">
        <v>5964058.7375931945</v>
      </c>
      <c r="H27" s="241">
        <f t="shared" si="1"/>
        <v>1</v>
      </c>
      <c r="I27" s="241">
        <f t="shared" si="2"/>
        <v>1.0092575204234964</v>
      </c>
      <c r="J27" s="241">
        <f t="shared" si="3"/>
        <v>1.0169372413662447</v>
      </c>
      <c r="K27" s="241">
        <f t="shared" si="4"/>
        <v>1.0171931793640112</v>
      </c>
      <c r="L27" s="241">
        <f t="shared" si="5"/>
        <v>1.0173195792277032</v>
      </c>
    </row>
    <row r="28" spans="1:12" ht="12.75">
      <c r="A28" t="s">
        <v>166</v>
      </c>
      <c r="B28" s="109">
        <v>19789522.74023184</v>
      </c>
      <c r="C28" s="109">
        <v>20122471.45111155</v>
      </c>
      <c r="D28" s="109">
        <v>20408037.822982542</v>
      </c>
      <c r="E28" s="109">
        <v>20701640.71462089</v>
      </c>
      <c r="F28" s="109">
        <v>20913495.72074121</v>
      </c>
      <c r="H28" s="241">
        <f t="shared" si="1"/>
        <v>1</v>
      </c>
      <c r="I28" s="241">
        <f t="shared" si="2"/>
        <v>1.0168244942159634</v>
      </c>
      <c r="J28" s="241">
        <f t="shared" si="3"/>
        <v>1.0141914164254022</v>
      </c>
      <c r="K28" s="241">
        <f t="shared" si="4"/>
        <v>1.0143866301202022</v>
      </c>
      <c r="L28" s="241">
        <f t="shared" si="5"/>
        <v>1.0102337302168853</v>
      </c>
    </row>
    <row r="29" spans="1:12" ht="12.75">
      <c r="A29" t="s">
        <v>167</v>
      </c>
      <c r="B29" s="109">
        <v>18108239.73913218</v>
      </c>
      <c r="C29" s="109">
        <v>18433068.936030272</v>
      </c>
      <c r="D29" s="109">
        <v>18706364.290461786</v>
      </c>
      <c r="E29" s="109">
        <v>18986834.18526985</v>
      </c>
      <c r="F29" s="109">
        <v>19355756.731074873</v>
      </c>
      <c r="H29" s="241">
        <f t="shared" si="1"/>
        <v>1</v>
      </c>
      <c r="I29" s="241">
        <f t="shared" si="2"/>
        <v>1.017938198388004</v>
      </c>
      <c r="J29" s="241">
        <f t="shared" si="3"/>
        <v>1.0148263620876128</v>
      </c>
      <c r="K29" s="241">
        <f t="shared" si="4"/>
        <v>1.014993287335427</v>
      </c>
      <c r="L29" s="241">
        <f t="shared" si="5"/>
        <v>1.0194304401779226</v>
      </c>
    </row>
    <row r="30" spans="1:12" ht="12.75">
      <c r="A30" t="s">
        <v>169</v>
      </c>
      <c r="B30" s="109">
        <v>6716454.431285856</v>
      </c>
      <c r="C30" s="109">
        <v>6741272.750293576</v>
      </c>
      <c r="D30" s="109">
        <v>6839125.095316104</v>
      </c>
      <c r="E30" s="109">
        <v>6974286.60123379</v>
      </c>
      <c r="F30" s="109">
        <v>7041042.70857512</v>
      </c>
      <c r="H30" s="241">
        <f t="shared" si="1"/>
        <v>1</v>
      </c>
      <c r="I30" s="241">
        <f t="shared" si="2"/>
        <v>1.0036951518485875</v>
      </c>
      <c r="J30" s="241">
        <f t="shared" si="3"/>
        <v>1.0145154110576917</v>
      </c>
      <c r="K30" s="241">
        <f t="shared" si="4"/>
        <v>1.0197629819653764</v>
      </c>
      <c r="L30" s="241">
        <f t="shared" si="5"/>
        <v>1.0095717470700905</v>
      </c>
    </row>
    <row r="31" spans="1:12" ht="12.75">
      <c r="A31" t="s">
        <v>170</v>
      </c>
      <c r="B31" s="109">
        <v>1404836571.2311337</v>
      </c>
      <c r="C31" s="109">
        <v>1449041385.834732</v>
      </c>
      <c r="D31" s="109">
        <v>1493080522.1460035</v>
      </c>
      <c r="E31" s="109">
        <v>1537973299.9582474</v>
      </c>
      <c r="F31" s="109">
        <v>1580733535.7860262</v>
      </c>
      <c r="H31" s="241">
        <f t="shared" si="1"/>
        <v>1</v>
      </c>
      <c r="I31" s="241">
        <f t="shared" si="2"/>
        <v>1.0314661616225291</v>
      </c>
      <c r="J31" s="241">
        <f t="shared" si="3"/>
        <v>1.0303919106395312</v>
      </c>
      <c r="K31" s="241">
        <f t="shared" si="4"/>
        <v>1.0300672181750248</v>
      </c>
      <c r="L31" s="241">
        <f t="shared" si="5"/>
        <v>1.027802976702482</v>
      </c>
    </row>
    <row r="32" spans="1:12" ht="12.75">
      <c r="A32" t="s">
        <v>412</v>
      </c>
      <c r="B32" s="109">
        <v>518035075.5551217</v>
      </c>
      <c r="C32" s="109">
        <v>531817466.0024652</v>
      </c>
      <c r="D32" s="109">
        <v>544893601.8527427</v>
      </c>
      <c r="E32" s="109">
        <v>558234338.011099</v>
      </c>
      <c r="F32" s="109">
        <v>571373398.8468224</v>
      </c>
      <c r="H32" s="241">
        <f t="shared" si="1"/>
        <v>1</v>
      </c>
      <c r="I32" s="241">
        <f t="shared" si="2"/>
        <v>1.026605129841014</v>
      </c>
      <c r="J32" s="241">
        <f t="shared" si="3"/>
        <v>1.0245876389667443</v>
      </c>
      <c r="K32" s="241">
        <f t="shared" si="4"/>
        <v>1.0244831947246127</v>
      </c>
      <c r="L32" s="241">
        <f t="shared" si="5"/>
        <v>1.023536819470002</v>
      </c>
    </row>
    <row r="33" spans="1:12" ht="12.75">
      <c r="A33" t="s">
        <v>171</v>
      </c>
      <c r="B33" s="109">
        <v>4970428.559037159</v>
      </c>
      <c r="C33" s="109">
        <v>5055101.305309319</v>
      </c>
      <c r="D33" s="109">
        <v>5085080.648183384</v>
      </c>
      <c r="E33" s="109">
        <v>5172477.920413581</v>
      </c>
      <c r="F33" s="109">
        <v>5373184.3728549285</v>
      </c>
      <c r="H33" s="241">
        <f t="shared" si="1"/>
        <v>1</v>
      </c>
      <c r="I33" s="241">
        <f t="shared" si="2"/>
        <v>1.0170353009336004</v>
      </c>
      <c r="J33" s="241">
        <f t="shared" si="3"/>
        <v>1.0059305127757932</v>
      </c>
      <c r="K33" s="241">
        <f t="shared" si="4"/>
        <v>1.0171869982556558</v>
      </c>
      <c r="L33" s="241">
        <f t="shared" si="5"/>
        <v>1.0388027663973671</v>
      </c>
    </row>
    <row r="34" spans="1:12" ht="12.75">
      <c r="A34" t="s">
        <v>172</v>
      </c>
      <c r="B34" s="109">
        <v>48672300.50785344</v>
      </c>
      <c r="C34" s="109">
        <v>48923436.320341334</v>
      </c>
      <c r="D34" s="109">
        <v>49400749.25466308</v>
      </c>
      <c r="E34" s="109">
        <v>49993284.72418477</v>
      </c>
      <c r="F34" s="109">
        <v>50451443.13184992</v>
      </c>
      <c r="H34" s="241">
        <f t="shared" si="1"/>
        <v>1</v>
      </c>
      <c r="I34" s="241">
        <f t="shared" si="2"/>
        <v>1.0051597276041508</v>
      </c>
      <c r="J34" s="241">
        <f t="shared" si="3"/>
        <v>1.0097563247846368</v>
      </c>
      <c r="K34" s="241">
        <f t="shared" si="4"/>
        <v>1.0119944632108138</v>
      </c>
      <c r="L34" s="241">
        <f t="shared" si="5"/>
        <v>1.0091643989826402</v>
      </c>
    </row>
    <row r="35" spans="1:12" ht="12.75">
      <c r="A35" t="s">
        <v>173</v>
      </c>
      <c r="B35" s="109">
        <v>3304218.137982666</v>
      </c>
      <c r="C35" s="109">
        <v>3362795.2370449714</v>
      </c>
      <c r="D35" s="109">
        <v>3423148.1297326</v>
      </c>
      <c r="E35" s="109">
        <v>3450090.1255305116</v>
      </c>
      <c r="F35" s="109">
        <v>3511926.4806039897</v>
      </c>
      <c r="H35" s="241">
        <f t="shared" si="1"/>
        <v>1</v>
      </c>
      <c r="I35" s="241">
        <f t="shared" si="2"/>
        <v>1.0177279757619357</v>
      </c>
      <c r="J35" s="241">
        <f t="shared" si="3"/>
        <v>1.0179472398505782</v>
      </c>
      <c r="K35" s="241">
        <f t="shared" si="4"/>
        <v>1.007870531679275</v>
      </c>
      <c r="L35" s="241">
        <f t="shared" si="5"/>
        <v>1.0179231129691053</v>
      </c>
    </row>
    <row r="36" spans="1:12" ht="12.75">
      <c r="A36" t="s">
        <v>174</v>
      </c>
      <c r="B36" s="109">
        <v>20223858.11634237</v>
      </c>
      <c r="C36" s="109">
        <v>20486293.794164743</v>
      </c>
      <c r="D36" s="109">
        <v>20692044.469895758</v>
      </c>
      <c r="E36" s="109">
        <v>20905809.549879123</v>
      </c>
      <c r="F36" s="109">
        <v>21184833.042819228</v>
      </c>
      <c r="H36" s="241">
        <f t="shared" si="1"/>
        <v>1</v>
      </c>
      <c r="I36" s="241">
        <f t="shared" si="2"/>
        <v>1.0129765387154446</v>
      </c>
      <c r="J36" s="241">
        <f t="shared" si="3"/>
        <v>1.0100433332548233</v>
      </c>
      <c r="K36" s="241">
        <f t="shared" si="4"/>
        <v>1.0103307858387007</v>
      </c>
      <c r="L36" s="241">
        <f t="shared" si="5"/>
        <v>1.0133466963943387</v>
      </c>
    </row>
    <row r="37" spans="1:12" ht="12.75">
      <c r="A37" t="s">
        <v>175</v>
      </c>
      <c r="B37" s="109">
        <v>5075160.805632354</v>
      </c>
      <c r="C37" s="109">
        <v>5131362.3298205575</v>
      </c>
      <c r="D37" s="109">
        <v>5224203.301828339</v>
      </c>
      <c r="E37" s="109">
        <v>5281575.83063862</v>
      </c>
      <c r="F37" s="109">
        <v>5379529.529393902</v>
      </c>
      <c r="H37" s="241">
        <f t="shared" si="1"/>
        <v>1</v>
      </c>
      <c r="I37" s="241">
        <f t="shared" si="2"/>
        <v>1.0110738410743225</v>
      </c>
      <c r="J37" s="241">
        <f t="shared" si="3"/>
        <v>1.0180928505999747</v>
      </c>
      <c r="K37" s="241">
        <f t="shared" si="4"/>
        <v>1.0109820628133293</v>
      </c>
      <c r="L37" s="241">
        <f t="shared" si="5"/>
        <v>1.0185463016903116</v>
      </c>
    </row>
    <row r="38" spans="1:12" ht="12.75">
      <c r="A38" t="s">
        <v>176</v>
      </c>
      <c r="B38" s="109">
        <v>6016240.753240856</v>
      </c>
      <c r="C38" s="109">
        <v>6083987.0023593595</v>
      </c>
      <c r="D38" s="109">
        <v>6157136.670124114</v>
      </c>
      <c r="E38" s="109">
        <v>6233387.508119667</v>
      </c>
      <c r="F38" s="109">
        <v>6315529.821513988</v>
      </c>
      <c r="H38" s="241">
        <f t="shared" si="1"/>
        <v>1</v>
      </c>
      <c r="I38" s="241">
        <f t="shared" si="2"/>
        <v>1.011260561519585</v>
      </c>
      <c r="J38" s="241">
        <f t="shared" si="3"/>
        <v>1.0120233109860994</v>
      </c>
      <c r="K38" s="241">
        <f t="shared" si="4"/>
        <v>1.0123841392648536</v>
      </c>
      <c r="L38" s="241">
        <f t="shared" si="5"/>
        <v>1.0131777967096256</v>
      </c>
    </row>
    <row r="39" spans="1:12" ht="12.75">
      <c r="A39" t="s">
        <v>177</v>
      </c>
      <c r="B39" s="109">
        <v>85969393.73636495</v>
      </c>
      <c r="C39" s="109">
        <v>87721277.73913456</v>
      </c>
      <c r="D39" s="109">
        <v>89377819.13117982</v>
      </c>
      <c r="E39" s="109">
        <v>91016393.62658584</v>
      </c>
      <c r="F39" s="109">
        <v>92573346.57926075</v>
      </c>
      <c r="H39" s="241">
        <f t="shared" si="1"/>
        <v>1</v>
      </c>
      <c r="I39" s="241">
        <f t="shared" si="2"/>
        <v>1.0203779964779323</v>
      </c>
      <c r="J39" s="241">
        <f t="shared" si="3"/>
        <v>1.0188841457254132</v>
      </c>
      <c r="K39" s="241">
        <f t="shared" si="4"/>
        <v>1.0183331223712349</v>
      </c>
      <c r="L39" s="241">
        <f t="shared" si="5"/>
        <v>1.0171062914123212</v>
      </c>
    </row>
    <row r="40" spans="1:12" ht="12.75">
      <c r="A40" t="s">
        <v>178</v>
      </c>
      <c r="B40" s="109">
        <v>22678112.148537476</v>
      </c>
      <c r="C40" s="109">
        <v>23068883.844974514</v>
      </c>
      <c r="D40" s="109">
        <v>23572749.090122547</v>
      </c>
      <c r="E40" s="109">
        <v>24062226.031003848</v>
      </c>
      <c r="F40" s="109">
        <v>24550101.67841864</v>
      </c>
      <c r="H40" s="241">
        <f t="shared" si="1"/>
        <v>1</v>
      </c>
      <c r="I40" s="241">
        <f t="shared" si="2"/>
        <v>1.017231226915078</v>
      </c>
      <c r="J40" s="241">
        <f t="shared" si="3"/>
        <v>1.0218417695686564</v>
      </c>
      <c r="K40" s="241">
        <f t="shared" si="4"/>
        <v>1.02076452513069</v>
      </c>
      <c r="L40" s="241">
        <f t="shared" si="5"/>
        <v>1.0202755824330705</v>
      </c>
    </row>
    <row r="41" spans="1:12" ht="12.75">
      <c r="A41" t="s">
        <v>179</v>
      </c>
      <c r="B41" s="109">
        <v>154510177.96130902</v>
      </c>
      <c r="C41" s="109">
        <v>157774575.63191977</v>
      </c>
      <c r="D41" s="109">
        <v>160899041.40803882</v>
      </c>
      <c r="E41" s="109">
        <v>163770290.51429224</v>
      </c>
      <c r="F41" s="109">
        <v>166853715.93915564</v>
      </c>
      <c r="H41" s="241">
        <f t="shared" si="1"/>
        <v>1</v>
      </c>
      <c r="I41" s="241">
        <f t="shared" si="2"/>
        <v>1.021127395707409</v>
      </c>
      <c r="J41" s="241">
        <f t="shared" si="3"/>
        <v>1.0198033540169886</v>
      </c>
      <c r="K41" s="241">
        <f t="shared" si="4"/>
        <v>1.0178450355025543</v>
      </c>
      <c r="L41" s="241">
        <f t="shared" si="5"/>
        <v>1.0188277459555115</v>
      </c>
    </row>
    <row r="42" spans="1:12" ht="12.75">
      <c r="A42" t="s">
        <v>168</v>
      </c>
      <c r="B42" s="109">
        <v>34945923.17465883</v>
      </c>
      <c r="C42" s="109">
        <v>35085714.26188069</v>
      </c>
      <c r="D42" s="109">
        <v>35428605.7233091</v>
      </c>
      <c r="E42" s="109">
        <v>35452393.563365765</v>
      </c>
      <c r="F42" s="109">
        <v>35891915.454158284</v>
      </c>
      <c r="H42" s="241">
        <f t="shared" si="1"/>
        <v>1</v>
      </c>
      <c r="I42" s="241">
        <f t="shared" si="2"/>
        <v>1.0040002115990236</v>
      </c>
      <c r="J42" s="241">
        <f t="shared" si="3"/>
        <v>1.0097729651124974</v>
      </c>
      <c r="K42" s="241">
        <f t="shared" si="4"/>
        <v>1.000671430319399</v>
      </c>
      <c r="L42" s="241">
        <f t="shared" si="5"/>
        <v>1.0123975237386142</v>
      </c>
    </row>
    <row r="43" spans="1:12" ht="12.75">
      <c r="A43" t="s">
        <v>180</v>
      </c>
      <c r="B43" s="109">
        <v>28825622.333092213</v>
      </c>
      <c r="C43" s="109">
        <v>29381626.910668004</v>
      </c>
      <c r="D43" s="109">
        <v>29908262.88887701</v>
      </c>
      <c r="E43" s="109">
        <v>30399408.599567667</v>
      </c>
      <c r="F43" s="109">
        <v>30838095.405846145</v>
      </c>
      <c r="H43" s="241">
        <f t="shared" si="1"/>
        <v>1</v>
      </c>
      <c r="I43" s="241">
        <f t="shared" si="2"/>
        <v>1.0192885541602859</v>
      </c>
      <c r="J43" s="241">
        <f t="shared" si="3"/>
        <v>1.0179239897031636</v>
      </c>
      <c r="K43" s="241">
        <f t="shared" si="4"/>
        <v>1.016421739788616</v>
      </c>
      <c r="L43" s="241">
        <f t="shared" si="5"/>
        <v>1.0144307677842364</v>
      </c>
    </row>
    <row r="44" spans="1:12" ht="12.75">
      <c r="A44" t="s">
        <v>181</v>
      </c>
      <c r="B44" s="109">
        <v>45037557.42732148</v>
      </c>
      <c r="C44" s="109">
        <v>45783263.65155265</v>
      </c>
      <c r="D44" s="109">
        <v>46809480.264621265</v>
      </c>
      <c r="E44" s="109">
        <v>47638280.89164421</v>
      </c>
      <c r="F44" s="109">
        <v>48583546.27956026</v>
      </c>
      <c r="H44" s="241">
        <f t="shared" si="1"/>
        <v>1</v>
      </c>
      <c r="I44" s="241">
        <f t="shared" si="2"/>
        <v>1.0165574304386853</v>
      </c>
      <c r="J44" s="241">
        <f t="shared" si="3"/>
        <v>1.022414667090554</v>
      </c>
      <c r="K44" s="241">
        <f t="shared" si="4"/>
        <v>1.0177058284419653</v>
      </c>
      <c r="L44" s="241">
        <f t="shared" si="5"/>
        <v>1.0198425587620616</v>
      </c>
    </row>
    <row r="45" spans="1:12" ht="12.75">
      <c r="A45" t="s">
        <v>182</v>
      </c>
      <c r="B45" s="109">
        <v>14468557.724351838</v>
      </c>
      <c r="C45" s="109">
        <v>14749805.019905815</v>
      </c>
      <c r="D45" s="109">
        <v>14978092.713938221</v>
      </c>
      <c r="E45" s="109">
        <v>15249516.060765423</v>
      </c>
      <c r="F45" s="109">
        <v>15586056.171625359</v>
      </c>
      <c r="H45" s="241">
        <f t="shared" si="1"/>
        <v>1</v>
      </c>
      <c r="I45" s="241">
        <f t="shared" si="2"/>
        <v>1.0194385163270705</v>
      </c>
      <c r="J45" s="241">
        <f t="shared" si="3"/>
        <v>1.0154773363935534</v>
      </c>
      <c r="K45" s="241">
        <f t="shared" si="4"/>
        <v>1.0181213557701256</v>
      </c>
      <c r="L45" s="241">
        <f t="shared" si="5"/>
        <v>1.0220689043192526</v>
      </c>
    </row>
    <row r="46" spans="1:12" ht="12.75">
      <c r="A46" t="s">
        <v>183</v>
      </c>
      <c r="B46" s="109">
        <v>16064500.798300343</v>
      </c>
      <c r="C46" s="109">
        <v>16261197.15200956</v>
      </c>
      <c r="D46" s="109">
        <v>16549330.625906413</v>
      </c>
      <c r="E46" s="109">
        <v>16959529.095840197</v>
      </c>
      <c r="F46" s="109">
        <v>17271113.710422333</v>
      </c>
      <c r="H46" s="241">
        <f t="shared" si="1"/>
        <v>1</v>
      </c>
      <c r="I46" s="241">
        <f t="shared" si="2"/>
        <v>1.0122441622169813</v>
      </c>
      <c r="J46" s="241">
        <f t="shared" si="3"/>
        <v>1.0177190812707935</v>
      </c>
      <c r="K46" s="241">
        <f t="shared" si="4"/>
        <v>1.024786408538582</v>
      </c>
      <c r="L46" s="241">
        <f t="shared" si="5"/>
        <v>1.018372244466302</v>
      </c>
    </row>
    <row r="47" spans="1:12" ht="12.75">
      <c r="A47" t="s">
        <v>184</v>
      </c>
      <c r="B47" s="109">
        <v>27959584.9614223</v>
      </c>
      <c r="C47" s="109">
        <v>28766459.53255545</v>
      </c>
      <c r="D47" s="109">
        <v>29446875.905320983</v>
      </c>
      <c r="E47" s="109">
        <v>30175996.705513675</v>
      </c>
      <c r="F47" s="109">
        <v>30783900.06193928</v>
      </c>
      <c r="H47" s="241">
        <f t="shared" si="1"/>
        <v>1</v>
      </c>
      <c r="I47" s="241">
        <f t="shared" si="2"/>
        <v>1.0288586033106875</v>
      </c>
      <c r="J47" s="241">
        <f t="shared" si="3"/>
        <v>1.0236531149061112</v>
      </c>
      <c r="K47" s="241">
        <f t="shared" si="4"/>
        <v>1.02476054853958</v>
      </c>
      <c r="L47" s="241">
        <f t="shared" si="5"/>
        <v>1.0201452618900415</v>
      </c>
    </row>
    <row r="48" spans="1:12" ht="12.75">
      <c r="A48" t="s">
        <v>185</v>
      </c>
      <c r="B48" s="109">
        <v>13592394.710946474</v>
      </c>
      <c r="C48" s="109">
        <v>13659419.290459944</v>
      </c>
      <c r="D48" s="109">
        <v>13730255.968206752</v>
      </c>
      <c r="E48" s="109">
        <v>13729052.30953696</v>
      </c>
      <c r="F48" s="109">
        <v>13811775.186424123</v>
      </c>
      <c r="H48" s="241">
        <f t="shared" si="1"/>
        <v>1</v>
      </c>
      <c r="I48" s="241">
        <f t="shared" si="2"/>
        <v>1.0049310354016936</v>
      </c>
      <c r="J48" s="241">
        <f t="shared" si="3"/>
        <v>1.0051859216150048</v>
      </c>
      <c r="K48" s="241">
        <f t="shared" si="4"/>
        <v>0.9999123353073257</v>
      </c>
      <c r="L48" s="241">
        <f t="shared" si="5"/>
        <v>1.00602538871745</v>
      </c>
    </row>
    <row r="49" spans="1:12" ht="12.75">
      <c r="A49" t="s">
        <v>187</v>
      </c>
      <c r="B49" s="109">
        <v>19454876.36478251</v>
      </c>
      <c r="C49" s="109">
        <v>19828324.347070057</v>
      </c>
      <c r="D49" s="109">
        <v>20168919.456364203</v>
      </c>
      <c r="E49" s="109">
        <v>20420872.756098635</v>
      </c>
      <c r="F49" s="109">
        <v>20873870.541710373</v>
      </c>
      <c r="H49" s="241">
        <f t="shared" si="1"/>
        <v>1</v>
      </c>
      <c r="I49" s="241">
        <f t="shared" si="2"/>
        <v>1.0191955978174998</v>
      </c>
      <c r="J49" s="241">
        <f t="shared" si="3"/>
        <v>1.0171772008230475</v>
      </c>
      <c r="K49" s="241">
        <f t="shared" si="4"/>
        <v>1.0124921565718747</v>
      </c>
      <c r="L49" s="241">
        <f t="shared" si="5"/>
        <v>1.0221830766501618</v>
      </c>
    </row>
    <row r="50" spans="1:12" ht="12.75">
      <c r="A50" t="s">
        <v>188</v>
      </c>
      <c r="B50" s="109">
        <v>13003660.997924296</v>
      </c>
      <c r="C50" s="109">
        <v>13037341.013253845</v>
      </c>
      <c r="D50" s="109">
        <v>13168367.326901833</v>
      </c>
      <c r="E50" s="109">
        <v>13291757.67049944</v>
      </c>
      <c r="F50" s="109">
        <v>13389258.492927946</v>
      </c>
      <c r="H50" s="241">
        <f t="shared" si="1"/>
        <v>1</v>
      </c>
      <c r="I50" s="241">
        <f t="shared" si="2"/>
        <v>1.0025900410149822</v>
      </c>
      <c r="J50" s="241">
        <f t="shared" si="3"/>
        <v>1.0100500794997067</v>
      </c>
      <c r="K50" s="241">
        <f t="shared" si="4"/>
        <v>1.0093702082068694</v>
      </c>
      <c r="L50" s="241">
        <f t="shared" si="5"/>
        <v>1.0073354348495915</v>
      </c>
    </row>
    <row r="51" spans="1:12" ht="12.75">
      <c r="A51" t="s">
        <v>189</v>
      </c>
      <c r="B51" s="109">
        <v>4356258.410681766</v>
      </c>
      <c r="C51" s="109">
        <v>4389173.716186106</v>
      </c>
      <c r="D51" s="109">
        <v>4457096.580294006</v>
      </c>
      <c r="E51" s="109">
        <v>4527814.601370694</v>
      </c>
      <c r="F51" s="109">
        <v>4602377.590130765</v>
      </c>
      <c r="H51" s="241">
        <f t="shared" si="1"/>
        <v>1</v>
      </c>
      <c r="I51" s="241">
        <f t="shared" si="2"/>
        <v>1.0075558661588186</v>
      </c>
      <c r="J51" s="241">
        <f t="shared" si="3"/>
        <v>1.0154750913269661</v>
      </c>
      <c r="K51" s="241">
        <f t="shared" si="4"/>
        <v>1.0158663874122342</v>
      </c>
      <c r="L51" s="241">
        <f t="shared" si="5"/>
        <v>1.0164677654287122</v>
      </c>
    </row>
    <row r="52" spans="1:12" ht="12.75">
      <c r="A52" t="s">
        <v>190</v>
      </c>
      <c r="B52" s="109">
        <v>10796470.350377643</v>
      </c>
      <c r="C52" s="109">
        <v>10943357.988206074</v>
      </c>
      <c r="D52" s="109">
        <v>11147056.156966394</v>
      </c>
      <c r="E52" s="109">
        <v>11356540.883573916</v>
      </c>
      <c r="F52" s="109">
        <v>11568948.64474969</v>
      </c>
      <c r="H52" s="241">
        <f t="shared" si="1"/>
        <v>1</v>
      </c>
      <c r="I52" s="241">
        <f t="shared" si="2"/>
        <v>1.013605153634613</v>
      </c>
      <c r="J52" s="241">
        <f t="shared" si="3"/>
        <v>1.0186138632200328</v>
      </c>
      <c r="K52" s="241">
        <f t="shared" si="4"/>
        <v>1.0187928295738067</v>
      </c>
      <c r="L52" s="241">
        <f t="shared" si="5"/>
        <v>1.0187035615292859</v>
      </c>
    </row>
    <row r="53" spans="1:12" ht="12.75">
      <c r="A53" t="s">
        <v>186</v>
      </c>
      <c r="B53" s="109">
        <v>61395621.09327129</v>
      </c>
      <c r="C53" s="109">
        <v>62125858.04808038</v>
      </c>
      <c r="D53" s="109">
        <v>62796412.964584954</v>
      </c>
      <c r="E53" s="109">
        <v>63514846.40697471</v>
      </c>
      <c r="F53" s="109">
        <v>64463654.460783236</v>
      </c>
      <c r="H53" s="241">
        <f t="shared" si="1"/>
        <v>1</v>
      </c>
      <c r="I53" s="241">
        <f t="shared" si="2"/>
        <v>1.0118939582629145</v>
      </c>
      <c r="J53" s="241">
        <f t="shared" si="3"/>
        <v>1.0107934914313075</v>
      </c>
      <c r="K53" s="241">
        <f t="shared" si="4"/>
        <v>1.011440676441104</v>
      </c>
      <c r="L53" s="241">
        <f t="shared" si="5"/>
        <v>1.0149383664998415</v>
      </c>
    </row>
    <row r="54" spans="1:12" ht="12.75">
      <c r="A54" t="s">
        <v>191</v>
      </c>
      <c r="B54" s="109">
        <v>32311495.857632454</v>
      </c>
      <c r="C54" s="109">
        <v>32824745.59258615</v>
      </c>
      <c r="D54" s="109">
        <v>33294308.36799793</v>
      </c>
      <c r="E54" s="109">
        <v>33539459.649608698</v>
      </c>
      <c r="F54" s="109">
        <v>34010606.213541396</v>
      </c>
      <c r="H54" s="241">
        <f t="shared" si="1"/>
        <v>1</v>
      </c>
      <c r="I54" s="241">
        <f t="shared" si="2"/>
        <v>1.0158844312629511</v>
      </c>
      <c r="J54" s="241">
        <f t="shared" si="3"/>
        <v>1.0143051459176529</v>
      </c>
      <c r="K54" s="241">
        <f t="shared" si="4"/>
        <v>1.0073631588588998</v>
      </c>
      <c r="L54" s="241">
        <f t="shared" si="5"/>
        <v>1.0140475299499405</v>
      </c>
    </row>
    <row r="55" spans="1:12" ht="12.75">
      <c r="A55" t="s">
        <v>192</v>
      </c>
      <c r="B55" s="109">
        <v>153368860.31708816</v>
      </c>
      <c r="C55" s="109">
        <v>157112146.11313948</v>
      </c>
      <c r="D55" s="109">
        <v>160675053.82066372</v>
      </c>
      <c r="E55" s="109">
        <v>164540712.38687333</v>
      </c>
      <c r="F55" s="109">
        <v>168618612.89245945</v>
      </c>
      <c r="H55" s="241">
        <f t="shared" si="1"/>
        <v>1</v>
      </c>
      <c r="I55" s="241">
        <f t="shared" si="2"/>
        <v>1.0244070783880908</v>
      </c>
      <c r="J55" s="241">
        <f t="shared" si="3"/>
        <v>1.0226774809947445</v>
      </c>
      <c r="K55" s="241">
        <f t="shared" si="4"/>
        <v>1.0240588596318396</v>
      </c>
      <c r="L55" s="241">
        <f t="shared" si="5"/>
        <v>1.0247835350074213</v>
      </c>
    </row>
    <row r="56" spans="1:12" ht="12.75">
      <c r="A56" t="s">
        <v>193</v>
      </c>
      <c r="B56" s="109">
        <v>12003576.233660487</v>
      </c>
      <c r="C56" s="109">
        <v>12076793.160514358</v>
      </c>
      <c r="D56" s="109">
        <v>12115746.369032215</v>
      </c>
      <c r="E56" s="109">
        <v>12303665.76400772</v>
      </c>
      <c r="F56" s="109">
        <v>12425930.523688518</v>
      </c>
      <c r="H56" s="241">
        <f t="shared" si="1"/>
        <v>1</v>
      </c>
      <c r="I56" s="241">
        <f t="shared" si="2"/>
        <v>1.00609959277374</v>
      </c>
      <c r="J56" s="241">
        <f t="shared" si="3"/>
        <v>1.0032254596067123</v>
      </c>
      <c r="K56" s="241">
        <f t="shared" si="4"/>
        <v>1.015510344080479</v>
      </c>
      <c r="L56" s="241">
        <f t="shared" si="5"/>
        <v>1.0099372627659038</v>
      </c>
    </row>
    <row r="57" spans="1:12" ht="12.75">
      <c r="A57" t="s">
        <v>194</v>
      </c>
      <c r="B57" s="109">
        <v>11378807.163108502</v>
      </c>
      <c r="C57" s="109">
        <v>11423813.016379144</v>
      </c>
      <c r="D57" s="109">
        <v>11531429.21512822</v>
      </c>
      <c r="E57" s="109">
        <v>11691252.637631493</v>
      </c>
      <c r="F57" s="109">
        <v>11784570.23934507</v>
      </c>
      <c r="H57" s="241">
        <f t="shared" si="1"/>
        <v>1</v>
      </c>
      <c r="I57" s="241">
        <f t="shared" si="2"/>
        <v>1.0039552347293974</v>
      </c>
      <c r="J57" s="241">
        <f t="shared" si="3"/>
        <v>1.009420339653212</v>
      </c>
      <c r="K57" s="241">
        <f t="shared" si="4"/>
        <v>1.0138598103948466</v>
      </c>
      <c r="L57" s="241">
        <f t="shared" si="5"/>
        <v>1.0079818309129005</v>
      </c>
    </row>
    <row r="58" spans="1:12" ht="12.75">
      <c r="A58" t="s">
        <v>195</v>
      </c>
      <c r="B58" s="109">
        <v>9303124.556419192</v>
      </c>
      <c r="C58" s="109">
        <v>9373365.521060051</v>
      </c>
      <c r="D58" s="109">
        <v>9523967.93077626</v>
      </c>
      <c r="E58" s="109">
        <v>9634428.43135524</v>
      </c>
      <c r="F58" s="109">
        <v>9790858.351587376</v>
      </c>
      <c r="H58" s="241">
        <f t="shared" si="1"/>
        <v>1</v>
      </c>
      <c r="I58" s="241">
        <f t="shared" si="2"/>
        <v>1.0075502552088689</v>
      </c>
      <c r="J58" s="241">
        <f t="shared" si="3"/>
        <v>1.0160670582383495</v>
      </c>
      <c r="K58" s="241">
        <f t="shared" si="4"/>
        <v>1.0115981596517174</v>
      </c>
      <c r="L58" s="241">
        <f t="shared" si="5"/>
        <v>1.0162365542851546</v>
      </c>
    </row>
    <row r="59" spans="1:12" ht="12.75">
      <c r="A59" t="s">
        <v>197</v>
      </c>
      <c r="B59" s="109">
        <v>10673263.262686606</v>
      </c>
      <c r="C59" s="109">
        <v>10349145.311960202</v>
      </c>
      <c r="D59" s="109">
        <v>10236184.349187747</v>
      </c>
      <c r="E59" s="109">
        <v>10021415.814308282</v>
      </c>
      <c r="F59" s="109">
        <v>9927294.761774546</v>
      </c>
      <c r="H59" s="241">
        <f t="shared" si="1"/>
        <v>1</v>
      </c>
      <c r="I59" s="241">
        <f t="shared" si="2"/>
        <v>0.9696327221816489</v>
      </c>
      <c r="J59" s="241">
        <f t="shared" si="3"/>
        <v>0.9890849959714152</v>
      </c>
      <c r="K59" s="241">
        <f t="shared" si="4"/>
        <v>0.97901869216565</v>
      </c>
      <c r="L59" s="241">
        <f t="shared" si="5"/>
        <v>0.9906080084613041</v>
      </c>
    </row>
    <row r="60" spans="1:12" ht="12.75">
      <c r="A60" t="s">
        <v>198</v>
      </c>
      <c r="B60" s="109">
        <v>3853890.363469787</v>
      </c>
      <c r="C60" s="109">
        <v>3926237.940750573</v>
      </c>
      <c r="D60" s="109">
        <v>4000970.9833211824</v>
      </c>
      <c r="E60" s="109">
        <v>4076608.565941875</v>
      </c>
      <c r="F60" s="109">
        <v>4119132.1938546095</v>
      </c>
      <c r="H60" s="241">
        <f t="shared" si="1"/>
        <v>1</v>
      </c>
      <c r="I60" s="241">
        <f t="shared" si="2"/>
        <v>1.0187726090930227</v>
      </c>
      <c r="J60" s="241">
        <f t="shared" si="3"/>
        <v>1.0190342622373831</v>
      </c>
      <c r="K60" s="241">
        <f t="shared" si="4"/>
        <v>1.0189048065922004</v>
      </c>
      <c r="L60" s="241">
        <f t="shared" si="5"/>
        <v>1.010431128528748</v>
      </c>
    </row>
    <row r="61" spans="1:12" ht="12.75">
      <c r="A61" t="s">
        <v>199</v>
      </c>
      <c r="B61" s="109">
        <v>12550420.721358053</v>
      </c>
      <c r="C61" s="109">
        <v>12539432.684891045</v>
      </c>
      <c r="D61" s="109">
        <v>12494019.86554434</v>
      </c>
      <c r="E61" s="109">
        <v>12529120.850334508</v>
      </c>
      <c r="F61" s="109">
        <v>12609573.571391469</v>
      </c>
      <c r="H61" s="241">
        <f t="shared" si="1"/>
        <v>1</v>
      </c>
      <c r="I61" s="241">
        <f t="shared" si="2"/>
        <v>0.9991244885959633</v>
      </c>
      <c r="J61" s="241">
        <f t="shared" si="3"/>
        <v>0.9963783992076911</v>
      </c>
      <c r="K61" s="241">
        <f t="shared" si="4"/>
        <v>1.0028094228413202</v>
      </c>
      <c r="L61" s="241">
        <f t="shared" si="5"/>
        <v>1.00642125828444</v>
      </c>
    </row>
    <row r="62" spans="1:12" ht="12.75">
      <c r="A62" t="s">
        <v>200</v>
      </c>
      <c r="B62" s="109">
        <v>263275431.3482609</v>
      </c>
      <c r="C62" s="109">
        <v>270044384.59215176</v>
      </c>
      <c r="D62" s="109">
        <v>275631458.71966666</v>
      </c>
      <c r="E62" s="109">
        <v>281628175.8246668</v>
      </c>
      <c r="F62" s="109">
        <v>287561468.61455584</v>
      </c>
      <c r="H62" s="241">
        <f t="shared" si="1"/>
        <v>1</v>
      </c>
      <c r="I62" s="241">
        <f t="shared" si="2"/>
        <v>1.025710538994187</v>
      </c>
      <c r="J62" s="241">
        <f t="shared" si="3"/>
        <v>1.0206894660518606</v>
      </c>
      <c r="K62" s="241">
        <f t="shared" si="4"/>
        <v>1.0217562869378387</v>
      </c>
      <c r="L62" s="241">
        <f t="shared" si="5"/>
        <v>1.021067823815977</v>
      </c>
    </row>
    <row r="63" spans="1:12" ht="12.75">
      <c r="A63" t="s">
        <v>201</v>
      </c>
      <c r="B63" s="109">
        <v>3947329.7497717906</v>
      </c>
      <c r="C63" s="109">
        <v>3934135.6364740813</v>
      </c>
      <c r="D63" s="109">
        <v>4009982.089379846</v>
      </c>
      <c r="E63" s="109">
        <v>4087968.699795362</v>
      </c>
      <c r="F63" s="109">
        <v>4164080.263022694</v>
      </c>
      <c r="H63" s="241">
        <f t="shared" si="1"/>
        <v>1</v>
      </c>
      <c r="I63" s="241">
        <f t="shared" si="2"/>
        <v>0.996657458551956</v>
      </c>
      <c r="J63" s="241">
        <f t="shared" si="3"/>
        <v>1.0192790640471514</v>
      </c>
      <c r="K63" s="241">
        <f t="shared" si="4"/>
        <v>1.0194481193873803</v>
      </c>
      <c r="L63" s="241">
        <f t="shared" si="5"/>
        <v>1.018618431014685</v>
      </c>
    </row>
    <row r="64" spans="1:12" ht="12.75">
      <c r="A64" t="s">
        <v>128</v>
      </c>
      <c r="B64" s="109">
        <v>43825570.548750766</v>
      </c>
      <c r="C64" s="109">
        <v>44218859.0886137</v>
      </c>
      <c r="D64" s="109">
        <v>44571467.307956934</v>
      </c>
      <c r="E64" s="109">
        <v>44697948.95846285</v>
      </c>
      <c r="F64" s="109">
        <v>45047953.48281404</v>
      </c>
      <c r="H64" s="241">
        <f t="shared" si="1"/>
        <v>1</v>
      </c>
      <c r="I64" s="241">
        <f t="shared" si="2"/>
        <v>1.008973951392725</v>
      </c>
      <c r="J64" s="241">
        <f t="shared" si="3"/>
        <v>1.0079741591395792</v>
      </c>
      <c r="K64" s="241">
        <f t="shared" si="4"/>
        <v>1.0028377268720372</v>
      </c>
      <c r="L64" s="241">
        <f t="shared" si="5"/>
        <v>1.007830438141053</v>
      </c>
    </row>
    <row r="65" spans="1:12" ht="12.75">
      <c r="A65" t="s">
        <v>202</v>
      </c>
      <c r="B65" s="109">
        <v>75830319.65705799</v>
      </c>
      <c r="C65" s="109">
        <v>77512842.2375955</v>
      </c>
      <c r="D65" s="109">
        <v>79172028.88996589</v>
      </c>
      <c r="E65" s="109">
        <v>81079131.39548123</v>
      </c>
      <c r="F65" s="109">
        <v>82531806.15212601</v>
      </c>
      <c r="H65" s="241">
        <f t="shared" si="1"/>
        <v>1</v>
      </c>
      <c r="I65" s="241">
        <f t="shared" si="2"/>
        <v>1.0221879927204145</v>
      </c>
      <c r="J65" s="241">
        <f t="shared" si="3"/>
        <v>1.021405313035543</v>
      </c>
      <c r="K65" s="241">
        <f t="shared" si="4"/>
        <v>1.0240880842925706</v>
      </c>
      <c r="L65" s="241">
        <f t="shared" si="5"/>
        <v>1.0179167528270505</v>
      </c>
    </row>
    <row r="66" spans="1:12" ht="12.75">
      <c r="A66" t="s">
        <v>203</v>
      </c>
      <c r="B66" s="109">
        <v>66695410.711615294</v>
      </c>
      <c r="C66" s="109">
        <v>68097910.1118767</v>
      </c>
      <c r="D66" s="109">
        <v>69414464.55555381</v>
      </c>
      <c r="E66" s="109">
        <v>70838813.89562295</v>
      </c>
      <c r="F66" s="109">
        <v>72091701.79685797</v>
      </c>
      <c r="H66" s="241">
        <f t="shared" si="1"/>
        <v>1</v>
      </c>
      <c r="I66" s="241">
        <f t="shared" si="2"/>
        <v>1.0210284243742898</v>
      </c>
      <c r="J66" s="241">
        <f t="shared" si="3"/>
        <v>1.019333257680216</v>
      </c>
      <c r="K66" s="241">
        <f t="shared" si="4"/>
        <v>1.020519488973789</v>
      </c>
      <c r="L66" s="241">
        <f t="shared" si="5"/>
        <v>1.0176864607456737</v>
      </c>
    </row>
    <row r="67" spans="1:12" ht="12.75">
      <c r="A67" t="s">
        <v>204</v>
      </c>
      <c r="B67" s="109">
        <v>5080913.408421568</v>
      </c>
      <c r="C67" s="109">
        <v>5165874.48863147</v>
      </c>
      <c r="D67" s="109">
        <v>5253940.292845153</v>
      </c>
      <c r="E67" s="109">
        <v>5344064.641220925</v>
      </c>
      <c r="F67" s="109">
        <v>5435708.946013584</v>
      </c>
      <c r="H67" s="241">
        <f t="shared" si="1"/>
        <v>1</v>
      </c>
      <c r="I67" s="241">
        <f t="shared" si="2"/>
        <v>1.016721615461716</v>
      </c>
      <c r="J67" s="241">
        <f t="shared" si="3"/>
        <v>1.0170476081847302</v>
      </c>
      <c r="K67" s="241">
        <f t="shared" si="4"/>
        <v>1.017153668171392</v>
      </c>
      <c r="L67" s="241">
        <f t="shared" si="5"/>
        <v>1.0171488016978254</v>
      </c>
    </row>
    <row r="68" spans="1:12" ht="12.75">
      <c r="A68" t="s">
        <v>205</v>
      </c>
      <c r="B68" s="109">
        <v>110976717.26402074</v>
      </c>
      <c r="C68" s="109">
        <v>112802298.94661468</v>
      </c>
      <c r="D68" s="109">
        <v>114532274.53844135</v>
      </c>
      <c r="E68" s="109">
        <v>116394798.75831732</v>
      </c>
      <c r="F68" s="109">
        <v>118058100.05198959</v>
      </c>
      <c r="H68" s="241">
        <f t="shared" si="1"/>
        <v>1</v>
      </c>
      <c r="I68" s="241">
        <f t="shared" si="2"/>
        <v>1.016450132312445</v>
      </c>
      <c r="J68" s="241">
        <f t="shared" si="3"/>
        <v>1.0153363504820536</v>
      </c>
      <c r="K68" s="241">
        <f t="shared" si="4"/>
        <v>1.016262003242159</v>
      </c>
      <c r="L68" s="241">
        <f t="shared" si="5"/>
        <v>1.014290168559215</v>
      </c>
    </row>
    <row r="69" spans="1:12" ht="12.75">
      <c r="A69" t="s">
        <v>206</v>
      </c>
      <c r="B69" s="109">
        <v>28412292.78359568</v>
      </c>
      <c r="C69" s="109">
        <v>28887309.590643823</v>
      </c>
      <c r="D69" s="109">
        <v>29465453.34607055</v>
      </c>
      <c r="E69" s="109">
        <v>29879589.601876855</v>
      </c>
      <c r="F69" s="109">
        <v>30402379.711701002</v>
      </c>
      <c r="H69" s="241">
        <f t="shared" si="1"/>
        <v>1</v>
      </c>
      <c r="I69" s="241">
        <f t="shared" si="2"/>
        <v>1.0167187073097599</v>
      </c>
      <c r="J69" s="241">
        <f t="shared" si="3"/>
        <v>1.020013762569775</v>
      </c>
      <c r="K69" s="241">
        <f t="shared" si="4"/>
        <v>1.014054976549734</v>
      </c>
      <c r="L69" s="241">
        <f t="shared" si="5"/>
        <v>1.0174965625964056</v>
      </c>
    </row>
    <row r="70" spans="1:12" ht="12.75">
      <c r="A70" t="s">
        <v>207</v>
      </c>
      <c r="B70" s="109">
        <v>69051596.24511656</v>
      </c>
      <c r="C70" s="109">
        <v>70174265.86854553</v>
      </c>
      <c r="D70" s="109">
        <v>71184911.46232681</v>
      </c>
      <c r="E70" s="109">
        <v>72178692.34404223</v>
      </c>
      <c r="F70" s="109">
        <v>73231831.3258318</v>
      </c>
      <c r="H70" s="241">
        <f aca="true" t="shared" si="6" ref="H70:H133">B70/B70</f>
        <v>1</v>
      </c>
      <c r="I70" s="241">
        <f aca="true" t="shared" si="7" ref="I70:I133">C70/B70</f>
        <v>1.016258416669236</v>
      </c>
      <c r="J70" s="241">
        <f aca="true" t="shared" si="8" ref="J70:J133">D70/C70</f>
        <v>1.0144019403875841</v>
      </c>
      <c r="K70" s="241">
        <f aca="true" t="shared" si="9" ref="K70:K133">E70/D70</f>
        <v>1.0139605551415394</v>
      </c>
      <c r="L70" s="241">
        <f aca="true" t="shared" si="10" ref="L70:L133">F70/E70</f>
        <v>1.0145907185013792</v>
      </c>
    </row>
    <row r="71" spans="1:12" ht="12.75">
      <c r="A71" t="s">
        <v>208</v>
      </c>
      <c r="B71" s="109">
        <v>12611401.11897666</v>
      </c>
      <c r="C71" s="109">
        <v>12700625.179487789</v>
      </c>
      <c r="D71" s="109">
        <v>12805683.735757282</v>
      </c>
      <c r="E71" s="109">
        <v>12765059.847573861</v>
      </c>
      <c r="F71" s="109">
        <v>12887955.030253846</v>
      </c>
      <c r="H71" s="241">
        <f t="shared" si="6"/>
        <v>1</v>
      </c>
      <c r="I71" s="241">
        <f t="shared" si="7"/>
        <v>1.0070748729399204</v>
      </c>
      <c r="J71" s="241">
        <f t="shared" si="8"/>
        <v>1.0082719200657277</v>
      </c>
      <c r="K71" s="241">
        <f t="shared" si="9"/>
        <v>0.996827667384133</v>
      </c>
      <c r="L71" s="241">
        <f t="shared" si="10"/>
        <v>1.009627466235761</v>
      </c>
    </row>
    <row r="72" spans="1:12" ht="12.75">
      <c r="A72" t="s">
        <v>209</v>
      </c>
      <c r="B72" s="109">
        <v>26265322.466731075</v>
      </c>
      <c r="C72" s="109">
        <v>26630737.906086467</v>
      </c>
      <c r="D72" s="109">
        <v>26871274.41870872</v>
      </c>
      <c r="E72" s="109">
        <v>27247696.567538</v>
      </c>
      <c r="F72" s="109">
        <v>27726350.96088553</v>
      </c>
      <c r="H72" s="241">
        <f t="shared" si="6"/>
        <v>1</v>
      </c>
      <c r="I72" s="241">
        <f t="shared" si="7"/>
        <v>1.0139124672776527</v>
      </c>
      <c r="J72" s="241">
        <f t="shared" si="8"/>
        <v>1.0090322886834944</v>
      </c>
      <c r="K72" s="241">
        <f t="shared" si="9"/>
        <v>1.01400834746294</v>
      </c>
      <c r="L72" s="241">
        <f t="shared" si="10"/>
        <v>1.0175667837522009</v>
      </c>
    </row>
    <row r="73" spans="1:12" ht="12.75">
      <c r="A73" t="s">
        <v>210</v>
      </c>
      <c r="B73" s="109">
        <v>2608259.96437221</v>
      </c>
      <c r="C73" s="109">
        <v>2653932.289554116</v>
      </c>
      <c r="D73" s="109">
        <v>2699897.3542964053</v>
      </c>
      <c r="E73" s="109">
        <v>2748678.1551842755</v>
      </c>
      <c r="F73" s="109">
        <v>2797819.625497953</v>
      </c>
      <c r="H73" s="241">
        <f t="shared" si="6"/>
        <v>1</v>
      </c>
      <c r="I73" s="241">
        <f t="shared" si="7"/>
        <v>1.0175106491706238</v>
      </c>
      <c r="J73" s="241">
        <f t="shared" si="8"/>
        <v>1.0173196071818442</v>
      </c>
      <c r="K73" s="241">
        <f t="shared" si="9"/>
        <v>1.0180676501683459</v>
      </c>
      <c r="L73" s="241">
        <f t="shared" si="10"/>
        <v>1.0178782191072433</v>
      </c>
    </row>
    <row r="74" spans="1:12" ht="12.75">
      <c r="A74" t="s">
        <v>211</v>
      </c>
      <c r="B74" s="109">
        <v>12000311.615111329</v>
      </c>
      <c r="C74" s="109">
        <v>12075067.294550324</v>
      </c>
      <c r="D74" s="109">
        <v>12345373.956876589</v>
      </c>
      <c r="E74" s="109">
        <v>12588781.945177224</v>
      </c>
      <c r="F74" s="109">
        <v>12920840.014037922</v>
      </c>
      <c r="H74" s="241">
        <f t="shared" si="6"/>
        <v>1</v>
      </c>
      <c r="I74" s="241">
        <f t="shared" si="7"/>
        <v>1.0062294781866215</v>
      </c>
      <c r="J74" s="241">
        <f t="shared" si="8"/>
        <v>1.0223855201575778</v>
      </c>
      <c r="K74" s="241">
        <f t="shared" si="9"/>
        <v>1.019716534237916</v>
      </c>
      <c r="L74" s="241">
        <f t="shared" si="10"/>
        <v>1.0263772992738118</v>
      </c>
    </row>
    <row r="75" spans="1:12" ht="12.75">
      <c r="A75" t="s">
        <v>212</v>
      </c>
      <c r="B75" s="109">
        <v>2492989.0728238234</v>
      </c>
      <c r="C75" s="109">
        <v>2568707.6180280773</v>
      </c>
      <c r="D75" s="109">
        <v>2609155.968634405</v>
      </c>
      <c r="E75" s="109">
        <v>2652403.7872519754</v>
      </c>
      <c r="F75" s="109">
        <v>2696345.078012197</v>
      </c>
      <c r="H75" s="241">
        <f t="shared" si="6"/>
        <v>1</v>
      </c>
      <c r="I75" s="241">
        <f t="shared" si="7"/>
        <v>1.0303725940998558</v>
      </c>
      <c r="J75" s="241">
        <f t="shared" si="8"/>
        <v>1.0157465763415219</v>
      </c>
      <c r="K75" s="241">
        <f t="shared" si="9"/>
        <v>1.0165754056627767</v>
      </c>
      <c r="L75" s="241">
        <f t="shared" si="10"/>
        <v>1.0165665917728715</v>
      </c>
    </row>
    <row r="76" spans="1:12" ht="12.75">
      <c r="A76" t="s">
        <v>213</v>
      </c>
      <c r="B76" s="109">
        <v>15437838.254373103</v>
      </c>
      <c r="C76" s="109">
        <v>15595317.917580971</v>
      </c>
      <c r="D76" s="109">
        <v>15701469.785579849</v>
      </c>
      <c r="E76" s="109">
        <v>15738190.476474252</v>
      </c>
      <c r="F76" s="109">
        <v>15989284.131351242</v>
      </c>
      <c r="H76" s="241">
        <f t="shared" si="6"/>
        <v>1</v>
      </c>
      <c r="I76" s="241">
        <f t="shared" si="7"/>
        <v>1.010200888272894</v>
      </c>
      <c r="J76" s="241">
        <f t="shared" si="8"/>
        <v>1.0068066498265618</v>
      </c>
      <c r="K76" s="241">
        <f t="shared" si="9"/>
        <v>1.0023386785693227</v>
      </c>
      <c r="L76" s="241">
        <f t="shared" si="10"/>
        <v>1.0159544170756054</v>
      </c>
    </row>
    <row r="77" spans="1:12" ht="12.75">
      <c r="A77" t="s">
        <v>214</v>
      </c>
      <c r="B77" s="109">
        <v>8411576.870582974</v>
      </c>
      <c r="C77" s="109">
        <v>8503135.257769065</v>
      </c>
      <c r="D77" s="109">
        <v>8596942.30541962</v>
      </c>
      <c r="E77" s="109">
        <v>8694074.53454091</v>
      </c>
      <c r="F77" s="109">
        <v>8771426.287492229</v>
      </c>
      <c r="H77" s="241">
        <f t="shared" si="6"/>
        <v>1</v>
      </c>
      <c r="I77" s="241">
        <f t="shared" si="7"/>
        <v>1.010884806570132</v>
      </c>
      <c r="J77" s="241">
        <f t="shared" si="8"/>
        <v>1.0110320540373443</v>
      </c>
      <c r="K77" s="241">
        <f t="shared" si="9"/>
        <v>1.0112984623684234</v>
      </c>
      <c r="L77" s="241">
        <f t="shared" si="10"/>
        <v>1.0088970657709462</v>
      </c>
    </row>
    <row r="78" spans="1:12" ht="12.75">
      <c r="A78" t="s">
        <v>215</v>
      </c>
      <c r="B78" s="109">
        <v>4841862.296506287</v>
      </c>
      <c r="C78" s="109">
        <v>4884013.732511099</v>
      </c>
      <c r="D78" s="109">
        <v>4961586.789646186</v>
      </c>
      <c r="E78" s="109">
        <v>5072290.7988284305</v>
      </c>
      <c r="F78" s="109">
        <v>5154640.825536654</v>
      </c>
      <c r="H78" s="241">
        <f t="shared" si="6"/>
        <v>1</v>
      </c>
      <c r="I78" s="241">
        <f t="shared" si="7"/>
        <v>1.008705624700485</v>
      </c>
      <c r="J78" s="241">
        <f t="shared" si="8"/>
        <v>1.0158830546725761</v>
      </c>
      <c r="K78" s="241">
        <f t="shared" si="9"/>
        <v>1.0223122186259568</v>
      </c>
      <c r="L78" s="241">
        <f t="shared" si="10"/>
        <v>1.0162352731683373</v>
      </c>
    </row>
    <row r="79" spans="1:12" ht="12.75">
      <c r="A79" t="s">
        <v>216</v>
      </c>
      <c r="B79" s="109">
        <v>2222837.13897476</v>
      </c>
      <c r="C79" s="109">
        <v>2235520.797131548</v>
      </c>
      <c r="D79" s="109">
        <v>2275168.040367519</v>
      </c>
      <c r="E79" s="109">
        <v>2315512.808759398</v>
      </c>
      <c r="F79" s="109">
        <v>2357422.1501485733</v>
      </c>
      <c r="H79" s="241">
        <f t="shared" si="6"/>
        <v>1</v>
      </c>
      <c r="I79" s="241">
        <f t="shared" si="7"/>
        <v>1.0057060672302056</v>
      </c>
      <c r="J79" s="241">
        <f t="shared" si="8"/>
        <v>1.0177351260998526</v>
      </c>
      <c r="K79" s="241">
        <f t="shared" si="9"/>
        <v>1.0177326543253313</v>
      </c>
      <c r="L79" s="241">
        <f t="shared" si="10"/>
        <v>1.0180993779134522</v>
      </c>
    </row>
    <row r="80" spans="1:12" ht="12.75">
      <c r="A80" t="s">
        <v>217</v>
      </c>
      <c r="B80" s="109">
        <v>29581094.32624525</v>
      </c>
      <c r="C80" s="109">
        <v>30138263.516358588</v>
      </c>
      <c r="D80" s="109">
        <v>30749363.319098596</v>
      </c>
      <c r="E80" s="109">
        <v>31407418.645130306</v>
      </c>
      <c r="F80" s="109">
        <v>31803627.934981864</v>
      </c>
      <c r="H80" s="241">
        <f t="shared" si="6"/>
        <v>1</v>
      </c>
      <c r="I80" s="241">
        <f t="shared" si="7"/>
        <v>1.0188353136624497</v>
      </c>
      <c r="J80" s="241">
        <f t="shared" si="8"/>
        <v>1.0202765432191643</v>
      </c>
      <c r="K80" s="241">
        <f t="shared" si="9"/>
        <v>1.0214006163055411</v>
      </c>
      <c r="L80" s="241">
        <f t="shared" si="10"/>
        <v>1.0126151497621723</v>
      </c>
    </row>
    <row r="81" spans="1:12" ht="12.75">
      <c r="A81" t="s">
        <v>218</v>
      </c>
      <c r="B81" s="109">
        <v>37714594.459376</v>
      </c>
      <c r="C81" s="109">
        <v>37999396.79788074</v>
      </c>
      <c r="D81" s="109">
        <v>38212903.02092786</v>
      </c>
      <c r="E81" s="109">
        <v>38551907.05314641</v>
      </c>
      <c r="F81" s="109">
        <v>38884400.682883464</v>
      </c>
      <c r="H81" s="241">
        <f t="shared" si="6"/>
        <v>1</v>
      </c>
      <c r="I81" s="241">
        <f t="shared" si="7"/>
        <v>1.0075515153374248</v>
      </c>
      <c r="J81" s="241">
        <f t="shared" si="8"/>
        <v>1.0056186740063997</v>
      </c>
      <c r="K81" s="241">
        <f t="shared" si="9"/>
        <v>1.0088714545459392</v>
      </c>
      <c r="L81" s="241">
        <f t="shared" si="10"/>
        <v>1.0086245702262846</v>
      </c>
    </row>
    <row r="82" spans="1:12" ht="12.75">
      <c r="A82" t="s">
        <v>219</v>
      </c>
      <c r="B82" s="109">
        <v>32038127.316199597</v>
      </c>
      <c r="C82" s="109">
        <v>32972324.849949285</v>
      </c>
      <c r="D82" s="109">
        <v>33819000.731177166</v>
      </c>
      <c r="E82" s="109">
        <v>34647911.4637913</v>
      </c>
      <c r="F82" s="109">
        <v>35548128.15689521</v>
      </c>
      <c r="H82" s="241">
        <f t="shared" si="6"/>
        <v>1</v>
      </c>
      <c r="I82" s="241">
        <f t="shared" si="7"/>
        <v>1.0291589306868547</v>
      </c>
      <c r="J82" s="241">
        <f t="shared" si="8"/>
        <v>1.0256783798255338</v>
      </c>
      <c r="K82" s="241">
        <f t="shared" si="9"/>
        <v>1.0245102077143864</v>
      </c>
      <c r="L82" s="241">
        <f t="shared" si="10"/>
        <v>1.0259818458046073</v>
      </c>
    </row>
    <row r="83" spans="1:12" ht="12.75">
      <c r="A83" t="s">
        <v>220</v>
      </c>
      <c r="B83" s="109">
        <v>9715651.238638232</v>
      </c>
      <c r="C83" s="109">
        <v>10011206.996767873</v>
      </c>
      <c r="D83" s="109">
        <v>10119117.482488995</v>
      </c>
      <c r="E83" s="109">
        <v>10320048.422380086</v>
      </c>
      <c r="F83" s="109">
        <v>10526005.761922572</v>
      </c>
      <c r="H83" s="241">
        <f t="shared" si="6"/>
        <v>1</v>
      </c>
      <c r="I83" s="241">
        <f t="shared" si="7"/>
        <v>1.0304205812734657</v>
      </c>
      <c r="J83" s="241">
        <f t="shared" si="8"/>
        <v>1.0107789685855024</v>
      </c>
      <c r="K83" s="241">
        <f t="shared" si="9"/>
        <v>1.019856567555303</v>
      </c>
      <c r="L83" s="241">
        <f t="shared" si="10"/>
        <v>1.019957012904692</v>
      </c>
    </row>
    <row r="84" spans="1:12" ht="12.75">
      <c r="A84" t="s">
        <v>221</v>
      </c>
      <c r="B84" s="109">
        <v>4896438.283284147</v>
      </c>
      <c r="C84" s="109">
        <v>4975913.287250922</v>
      </c>
      <c r="D84" s="109">
        <v>5058942.66302671</v>
      </c>
      <c r="E84" s="109">
        <v>5143315.456316211</v>
      </c>
      <c r="F84" s="109">
        <v>5232272.3082712</v>
      </c>
      <c r="H84" s="241">
        <f t="shared" si="6"/>
        <v>1</v>
      </c>
      <c r="I84" s="241">
        <f t="shared" si="7"/>
        <v>1.0162311867052614</v>
      </c>
      <c r="J84" s="241">
        <f t="shared" si="8"/>
        <v>1.0166862585786056</v>
      </c>
      <c r="K84" s="241">
        <f t="shared" si="9"/>
        <v>1.0166779500993637</v>
      </c>
      <c r="L84" s="241">
        <f t="shared" si="10"/>
        <v>1.0172956243323061</v>
      </c>
    </row>
    <row r="85" spans="1:12" ht="12.75">
      <c r="A85" t="s">
        <v>222</v>
      </c>
      <c r="B85" s="109">
        <v>47171127.30412022</v>
      </c>
      <c r="C85" s="109">
        <v>47709096.786884695</v>
      </c>
      <c r="D85" s="109">
        <v>48301208.54144117</v>
      </c>
      <c r="E85" s="109">
        <v>48755555.42254882</v>
      </c>
      <c r="F85" s="109">
        <v>49299350.60382785</v>
      </c>
      <c r="H85" s="241">
        <f t="shared" si="6"/>
        <v>1</v>
      </c>
      <c r="I85" s="241">
        <f t="shared" si="7"/>
        <v>1.0114046348584398</v>
      </c>
      <c r="J85" s="241">
        <f t="shared" si="8"/>
        <v>1.0124108774727265</v>
      </c>
      <c r="K85" s="241">
        <f t="shared" si="9"/>
        <v>1.009406532358664</v>
      </c>
      <c r="L85" s="241">
        <f t="shared" si="10"/>
        <v>1.0111535019253934</v>
      </c>
    </row>
    <row r="86" spans="1:12" ht="12.75">
      <c r="A86" t="s">
        <v>224</v>
      </c>
      <c r="B86" s="109">
        <v>22472035.291660458</v>
      </c>
      <c r="C86" s="109">
        <v>22890575.37010725</v>
      </c>
      <c r="D86" s="109">
        <v>23360853.970386136</v>
      </c>
      <c r="E86" s="109">
        <v>23716236.42880831</v>
      </c>
      <c r="F86" s="109">
        <v>23974250.911144543</v>
      </c>
      <c r="H86" s="241">
        <f t="shared" si="6"/>
        <v>1</v>
      </c>
      <c r="I86" s="241">
        <f t="shared" si="7"/>
        <v>1.0186249297411043</v>
      </c>
      <c r="J86" s="241">
        <f t="shared" si="8"/>
        <v>1.0205446386853614</v>
      </c>
      <c r="K86" s="241">
        <f t="shared" si="9"/>
        <v>1.0152127340410022</v>
      </c>
      <c r="L86" s="241">
        <f t="shared" si="10"/>
        <v>1.010879233857815</v>
      </c>
    </row>
    <row r="87" spans="1:12" ht="12.75">
      <c r="A87" t="s">
        <v>225</v>
      </c>
      <c r="B87" s="109">
        <v>43581423.40763996</v>
      </c>
      <c r="C87" s="109">
        <v>44565591.571609564</v>
      </c>
      <c r="D87" s="109">
        <v>45499711.109917544</v>
      </c>
      <c r="E87" s="109">
        <v>46434397.42337288</v>
      </c>
      <c r="F87" s="109">
        <v>47431894.40870623</v>
      </c>
      <c r="H87" s="241">
        <f t="shared" si="6"/>
        <v>1</v>
      </c>
      <c r="I87" s="241">
        <f t="shared" si="7"/>
        <v>1.0225822859148992</v>
      </c>
      <c r="J87" s="241">
        <f t="shared" si="8"/>
        <v>1.020960555113624</v>
      </c>
      <c r="K87" s="241">
        <f t="shared" si="9"/>
        <v>1.0205426867699738</v>
      </c>
      <c r="L87" s="241">
        <f t="shared" si="10"/>
        <v>1.021481854846495</v>
      </c>
    </row>
    <row r="88" spans="1:12" ht="12.75">
      <c r="A88" t="s">
        <v>226</v>
      </c>
      <c r="B88" s="109">
        <v>68925701.6342178</v>
      </c>
      <c r="C88" s="109">
        <v>70564177.86005877</v>
      </c>
      <c r="D88" s="109">
        <v>71985634.6821972</v>
      </c>
      <c r="E88" s="109">
        <v>73509734.8068567</v>
      </c>
      <c r="F88" s="109">
        <v>75037116.95309126</v>
      </c>
      <c r="H88" s="241">
        <f t="shared" si="6"/>
        <v>1</v>
      </c>
      <c r="I88" s="241">
        <f t="shared" si="7"/>
        <v>1.023771629261552</v>
      </c>
      <c r="J88" s="241">
        <f t="shared" si="8"/>
        <v>1.020144170388514</v>
      </c>
      <c r="K88" s="241">
        <f t="shared" si="9"/>
        <v>1.0211722815446183</v>
      </c>
      <c r="L88" s="241">
        <f t="shared" si="10"/>
        <v>1.0207779575079095</v>
      </c>
    </row>
    <row r="89" spans="1:12" ht="12.75">
      <c r="A89" t="s">
        <v>227</v>
      </c>
      <c r="B89" s="109">
        <v>22140170.0857254</v>
      </c>
      <c r="C89" s="109">
        <v>22502850.01334513</v>
      </c>
      <c r="D89" s="109">
        <v>22870873.93669414</v>
      </c>
      <c r="E89" s="109">
        <v>23075197.509366725</v>
      </c>
      <c r="F89" s="109">
        <v>23331980.975203875</v>
      </c>
      <c r="H89" s="241">
        <f t="shared" si="6"/>
        <v>1</v>
      </c>
      <c r="I89" s="241">
        <f t="shared" si="7"/>
        <v>1.0163810813654752</v>
      </c>
      <c r="J89" s="241">
        <f t="shared" si="8"/>
        <v>1.016354547229829</v>
      </c>
      <c r="K89" s="241">
        <f t="shared" si="9"/>
        <v>1.0089337894668189</v>
      </c>
      <c r="L89" s="241">
        <f t="shared" si="10"/>
        <v>1.0111281156199385</v>
      </c>
    </row>
    <row r="90" spans="1:12" ht="12.75">
      <c r="A90" t="s">
        <v>228</v>
      </c>
      <c r="B90" s="109">
        <v>13013964.105450368</v>
      </c>
      <c r="C90" s="109">
        <v>13092220.299840858</v>
      </c>
      <c r="D90" s="109">
        <v>13399391.133374372</v>
      </c>
      <c r="E90" s="109">
        <v>13486260.077530084</v>
      </c>
      <c r="F90" s="109">
        <v>13702608.724130984</v>
      </c>
      <c r="H90" s="241">
        <f t="shared" si="6"/>
        <v>1</v>
      </c>
      <c r="I90" s="241">
        <f t="shared" si="7"/>
        <v>1.0060132480585002</v>
      </c>
      <c r="J90" s="241">
        <f t="shared" si="8"/>
        <v>1.0234620886678212</v>
      </c>
      <c r="K90" s="241">
        <f t="shared" si="9"/>
        <v>1.0064830516021988</v>
      </c>
      <c r="L90" s="241">
        <f t="shared" si="10"/>
        <v>1.0160421529287698</v>
      </c>
    </row>
    <row r="91" spans="1:12" ht="12.75">
      <c r="A91" t="s">
        <v>229</v>
      </c>
      <c r="B91" s="109">
        <v>4650364.985780451</v>
      </c>
      <c r="C91" s="109">
        <v>4734270.579343375</v>
      </c>
      <c r="D91" s="109">
        <v>4819061.329858595</v>
      </c>
      <c r="E91" s="109">
        <v>4906143.85119567</v>
      </c>
      <c r="F91" s="109">
        <v>4996876.000721092</v>
      </c>
      <c r="H91" s="241">
        <f t="shared" si="6"/>
        <v>1</v>
      </c>
      <c r="I91" s="241">
        <f t="shared" si="7"/>
        <v>1.0180427974620236</v>
      </c>
      <c r="J91" s="241">
        <f t="shared" si="8"/>
        <v>1.0179099924886381</v>
      </c>
      <c r="K91" s="241">
        <f t="shared" si="9"/>
        <v>1.0180704322639593</v>
      </c>
      <c r="L91" s="241">
        <f t="shared" si="10"/>
        <v>1.0184935770897363</v>
      </c>
    </row>
    <row r="92" spans="1:12" ht="12.75">
      <c r="A92" t="s">
        <v>230</v>
      </c>
      <c r="B92" s="109">
        <v>102066028.81780389</v>
      </c>
      <c r="C92" s="109">
        <v>103859576.16265467</v>
      </c>
      <c r="D92" s="109">
        <v>105607065.5627301</v>
      </c>
      <c r="E92" s="109">
        <v>107214337.73466346</v>
      </c>
      <c r="F92" s="109">
        <v>109156193.13440484</v>
      </c>
      <c r="H92" s="241">
        <f t="shared" si="6"/>
        <v>1</v>
      </c>
      <c r="I92" s="241">
        <f t="shared" si="7"/>
        <v>1.0175724221430462</v>
      </c>
      <c r="J92" s="241">
        <f t="shared" si="8"/>
        <v>1.0168255009758436</v>
      </c>
      <c r="K92" s="241">
        <f t="shared" si="9"/>
        <v>1.0152193621077241</v>
      </c>
      <c r="L92" s="241">
        <f t="shared" si="10"/>
        <v>1.0181119003369412</v>
      </c>
    </row>
    <row r="93" spans="1:12" ht="12.75">
      <c r="A93" t="s">
        <v>231</v>
      </c>
      <c r="B93" s="109">
        <v>22639976.730821777</v>
      </c>
      <c r="C93" s="109">
        <v>22838847.426448792</v>
      </c>
      <c r="D93" s="109">
        <v>22888742.495292805</v>
      </c>
      <c r="E93" s="109">
        <v>22887932.70448289</v>
      </c>
      <c r="F93" s="109">
        <v>23067915.159442395</v>
      </c>
      <c r="H93" s="241">
        <f t="shared" si="6"/>
        <v>1</v>
      </c>
      <c r="I93" s="241">
        <f t="shared" si="7"/>
        <v>1.0087840503544456</v>
      </c>
      <c r="J93" s="241">
        <f t="shared" si="8"/>
        <v>1.0021846579169416</v>
      </c>
      <c r="K93" s="241">
        <f t="shared" si="9"/>
        <v>0.999964620563577</v>
      </c>
      <c r="L93" s="241">
        <f t="shared" si="10"/>
        <v>1.0078636396429221</v>
      </c>
    </row>
    <row r="94" spans="1:12" ht="12.75">
      <c r="A94" t="s">
        <v>232</v>
      </c>
      <c r="B94" s="109">
        <v>20049005.75305701</v>
      </c>
      <c r="C94" s="109">
        <v>20683123.422440317</v>
      </c>
      <c r="D94" s="109">
        <v>21198310.975076072</v>
      </c>
      <c r="E94" s="109">
        <v>21777621.434810635</v>
      </c>
      <c r="F94" s="109">
        <v>22391679.74383391</v>
      </c>
      <c r="H94" s="241">
        <f t="shared" si="6"/>
        <v>1</v>
      </c>
      <c r="I94" s="241">
        <f t="shared" si="7"/>
        <v>1.0316283848283407</v>
      </c>
      <c r="J94" s="241">
        <f t="shared" si="8"/>
        <v>1.0249085953853951</v>
      </c>
      <c r="K94" s="241">
        <f t="shared" si="9"/>
        <v>1.0273281423418916</v>
      </c>
      <c r="L94" s="241">
        <f t="shared" si="10"/>
        <v>1.0281967574310815</v>
      </c>
    </row>
    <row r="95" spans="1:12" ht="12.75">
      <c r="A95" t="s">
        <v>233</v>
      </c>
      <c r="B95" s="109">
        <v>18014286.866258852</v>
      </c>
      <c r="C95" s="109">
        <v>18149810.45091715</v>
      </c>
      <c r="D95" s="109">
        <v>18308819.22779388</v>
      </c>
      <c r="E95" s="109">
        <v>18475111.371740498</v>
      </c>
      <c r="F95" s="109">
        <v>18758984.805909544</v>
      </c>
      <c r="H95" s="241">
        <f t="shared" si="6"/>
        <v>1</v>
      </c>
      <c r="I95" s="241">
        <f t="shared" si="7"/>
        <v>1.007523116827463</v>
      </c>
      <c r="J95" s="241">
        <f t="shared" si="8"/>
        <v>1.0087609056472926</v>
      </c>
      <c r="K95" s="241">
        <f t="shared" si="9"/>
        <v>1.0090826252571317</v>
      </c>
      <c r="L95" s="241">
        <f t="shared" si="10"/>
        <v>1.015365181213644</v>
      </c>
    </row>
    <row r="96" spans="1:12" ht="12.75">
      <c r="A96" t="s">
        <v>234</v>
      </c>
      <c r="B96" s="109">
        <v>2488820.258428399</v>
      </c>
      <c r="C96" s="109">
        <v>2494028.1399304075</v>
      </c>
      <c r="D96" s="109">
        <v>2534464.2195477346</v>
      </c>
      <c r="E96" s="109">
        <v>2576258.7174259285</v>
      </c>
      <c r="F96" s="109">
        <v>2582000.5318061677</v>
      </c>
      <c r="H96" s="241">
        <f t="shared" si="6"/>
        <v>1</v>
      </c>
      <c r="I96" s="241">
        <f t="shared" si="7"/>
        <v>1.0020925100896185</v>
      </c>
      <c r="J96" s="241">
        <f t="shared" si="8"/>
        <v>1.0162131609382945</v>
      </c>
      <c r="K96" s="241">
        <f t="shared" si="9"/>
        <v>1.0164904667250154</v>
      </c>
      <c r="L96" s="241">
        <f t="shared" si="10"/>
        <v>1.0022287413687925</v>
      </c>
    </row>
    <row r="97" spans="1:12" ht="12.75">
      <c r="A97" t="s">
        <v>235</v>
      </c>
      <c r="B97" s="109">
        <v>15781341.122957245</v>
      </c>
      <c r="C97" s="109">
        <v>15943078.81255597</v>
      </c>
      <c r="D97" s="109">
        <v>16013313.241968462</v>
      </c>
      <c r="E97" s="109">
        <v>16147807.397930581</v>
      </c>
      <c r="F97" s="109">
        <v>16262612.585182067</v>
      </c>
      <c r="H97" s="241">
        <f t="shared" si="6"/>
        <v>1</v>
      </c>
      <c r="I97" s="241">
        <f t="shared" si="7"/>
        <v>1.0102486657083565</v>
      </c>
      <c r="J97" s="241">
        <f t="shared" si="8"/>
        <v>1.0044053241057291</v>
      </c>
      <c r="K97" s="241">
        <f t="shared" si="9"/>
        <v>1.0083988962140347</v>
      </c>
      <c r="L97" s="241">
        <f t="shared" si="10"/>
        <v>1.0071096455650195</v>
      </c>
    </row>
    <row r="98" spans="1:12" ht="12.75">
      <c r="A98" t="s">
        <v>236</v>
      </c>
      <c r="B98" s="109">
        <v>113689971.3893519</v>
      </c>
      <c r="C98" s="109">
        <v>116240673.57773063</v>
      </c>
      <c r="D98" s="109">
        <v>118859668.55278416</v>
      </c>
      <c r="E98" s="109">
        <v>121249603.32974625</v>
      </c>
      <c r="F98" s="109">
        <v>123825953.29639693</v>
      </c>
      <c r="H98" s="241">
        <f t="shared" si="6"/>
        <v>1</v>
      </c>
      <c r="I98" s="241">
        <f t="shared" si="7"/>
        <v>1.0224355953054416</v>
      </c>
      <c r="J98" s="241">
        <f t="shared" si="8"/>
        <v>1.0225307966174353</v>
      </c>
      <c r="K98" s="241">
        <f t="shared" si="9"/>
        <v>1.020107197050619</v>
      </c>
      <c r="L98" s="241">
        <f t="shared" si="10"/>
        <v>1.0212483166616564</v>
      </c>
    </row>
    <row r="99" spans="1:12" ht="12.75">
      <c r="A99" t="s">
        <v>237</v>
      </c>
      <c r="B99" s="109">
        <v>9833707.258490762</v>
      </c>
      <c r="C99" s="109">
        <v>10101518.62159371</v>
      </c>
      <c r="D99" s="109">
        <v>10248471.374904761</v>
      </c>
      <c r="E99" s="109">
        <v>10460726.188063668</v>
      </c>
      <c r="F99" s="109">
        <v>10634331.822213737</v>
      </c>
      <c r="H99" s="241">
        <f t="shared" si="6"/>
        <v>1</v>
      </c>
      <c r="I99" s="241">
        <f t="shared" si="7"/>
        <v>1.027234018266276</v>
      </c>
      <c r="J99" s="241">
        <f t="shared" si="8"/>
        <v>1.0145475902006371</v>
      </c>
      <c r="K99" s="241">
        <f t="shared" si="9"/>
        <v>1.020710875348557</v>
      </c>
      <c r="L99" s="241">
        <f t="shared" si="10"/>
        <v>1.01659594477754</v>
      </c>
    </row>
    <row r="100" spans="1:12" ht="12.75">
      <c r="A100" t="s">
        <v>238</v>
      </c>
      <c r="B100" s="109">
        <v>6404365.998020067</v>
      </c>
      <c r="C100" s="109">
        <v>6512381.318625243</v>
      </c>
      <c r="D100" s="109">
        <v>6621159.058375592</v>
      </c>
      <c r="E100" s="109">
        <v>6731697.037144295</v>
      </c>
      <c r="F100" s="109">
        <v>6846121.503068983</v>
      </c>
      <c r="H100" s="241">
        <f t="shared" si="6"/>
        <v>1</v>
      </c>
      <c r="I100" s="241">
        <f t="shared" si="7"/>
        <v>1.016865888151703</v>
      </c>
      <c r="J100" s="241">
        <f t="shared" si="8"/>
        <v>1.0167032202858342</v>
      </c>
      <c r="K100" s="241">
        <f t="shared" si="9"/>
        <v>1.0166946569013282</v>
      </c>
      <c r="L100" s="241">
        <f t="shared" si="10"/>
        <v>1.016997863286674</v>
      </c>
    </row>
    <row r="101" spans="1:12" ht="12.75">
      <c r="A101" t="s">
        <v>239</v>
      </c>
      <c r="B101" s="109">
        <v>33807951.26320095</v>
      </c>
      <c r="C101" s="109">
        <v>34562888.90631021</v>
      </c>
      <c r="D101" s="109">
        <v>35521222.038422555</v>
      </c>
      <c r="E101" s="109">
        <v>36381720.32583101</v>
      </c>
      <c r="F101" s="109">
        <v>37140354.88266174</v>
      </c>
      <c r="H101" s="241">
        <f t="shared" si="6"/>
        <v>1</v>
      </c>
      <c r="I101" s="241">
        <f t="shared" si="7"/>
        <v>1.0223301801766078</v>
      </c>
      <c r="J101" s="241">
        <f t="shared" si="8"/>
        <v>1.0277272288988952</v>
      </c>
      <c r="K101" s="241">
        <f t="shared" si="9"/>
        <v>1.0242249066340587</v>
      </c>
      <c r="L101" s="241">
        <f t="shared" si="10"/>
        <v>1.0208520803864267</v>
      </c>
    </row>
    <row r="102" spans="1:12" ht="12.75">
      <c r="A102" t="s">
        <v>240</v>
      </c>
      <c r="B102" s="109">
        <v>5273025.360808075</v>
      </c>
      <c r="C102" s="109">
        <v>5312011.743710225</v>
      </c>
      <c r="D102" s="109">
        <v>5421389.0351425065</v>
      </c>
      <c r="E102" s="109">
        <v>5531306.427317657</v>
      </c>
      <c r="F102" s="109">
        <v>5610062.9859412275</v>
      </c>
      <c r="H102" s="241">
        <f t="shared" si="6"/>
        <v>1</v>
      </c>
      <c r="I102" s="241">
        <f t="shared" si="7"/>
        <v>1.0073935511844714</v>
      </c>
      <c r="J102" s="241">
        <f t="shared" si="8"/>
        <v>1.020590559040422</v>
      </c>
      <c r="K102" s="241">
        <f t="shared" si="9"/>
        <v>1.0202747656481843</v>
      </c>
      <c r="L102" s="241">
        <f t="shared" si="10"/>
        <v>1.0142383286224415</v>
      </c>
    </row>
    <row r="103" spans="1:12" ht="12.75">
      <c r="A103" t="s">
        <v>241</v>
      </c>
      <c r="B103" s="109">
        <v>5685479.552688871</v>
      </c>
      <c r="C103" s="109">
        <v>5793294.624936825</v>
      </c>
      <c r="D103" s="109">
        <v>5900856.978224218</v>
      </c>
      <c r="E103" s="109">
        <v>6015105.7186219</v>
      </c>
      <c r="F103" s="109">
        <v>6130377.693916408</v>
      </c>
      <c r="H103" s="241">
        <f t="shared" si="6"/>
        <v>1</v>
      </c>
      <c r="I103" s="241">
        <f t="shared" si="7"/>
        <v>1.018963232784289</v>
      </c>
      <c r="J103" s="241">
        <f t="shared" si="8"/>
        <v>1.0185666982694783</v>
      </c>
      <c r="K103" s="241">
        <f t="shared" si="9"/>
        <v>1.0193613810365667</v>
      </c>
      <c r="L103" s="241">
        <f t="shared" si="10"/>
        <v>1.0191637488494412</v>
      </c>
    </row>
    <row r="104" spans="1:12" ht="12.75">
      <c r="A104" t="s">
        <v>242</v>
      </c>
      <c r="B104" s="109">
        <v>101213165.98096046</v>
      </c>
      <c r="C104" s="109">
        <v>102898579.3302702</v>
      </c>
      <c r="D104" s="109">
        <v>104908110.22892806</v>
      </c>
      <c r="E104" s="109">
        <v>106483608.20038715</v>
      </c>
      <c r="F104" s="109">
        <v>108010706.83797808</v>
      </c>
      <c r="H104" s="241">
        <f t="shared" si="6"/>
        <v>1</v>
      </c>
      <c r="I104" s="241">
        <f t="shared" si="7"/>
        <v>1.016652115690431</v>
      </c>
      <c r="J104" s="241">
        <f t="shared" si="8"/>
        <v>1.019529238515606</v>
      </c>
      <c r="K104" s="241">
        <f t="shared" si="9"/>
        <v>1.015017885347673</v>
      </c>
      <c r="L104" s="241">
        <f t="shared" si="10"/>
        <v>1.014341161643557</v>
      </c>
    </row>
    <row r="105" spans="1:12" ht="12.75">
      <c r="A105" t="s">
        <v>243</v>
      </c>
      <c r="B105" s="109">
        <v>207949305.34554672</v>
      </c>
      <c r="C105" s="109">
        <v>211027100.42655572</v>
      </c>
      <c r="D105" s="109">
        <v>214245943.54051846</v>
      </c>
      <c r="E105" s="109">
        <v>217412773.99789014</v>
      </c>
      <c r="F105" s="109">
        <v>220870688.54475215</v>
      </c>
      <c r="H105" s="241">
        <f t="shared" si="6"/>
        <v>1</v>
      </c>
      <c r="I105" s="241">
        <f t="shared" si="7"/>
        <v>1.0148006990256335</v>
      </c>
      <c r="J105" s="241">
        <f t="shared" si="8"/>
        <v>1.0152532215410077</v>
      </c>
      <c r="K105" s="241">
        <f t="shared" si="9"/>
        <v>1.01478128549385</v>
      </c>
      <c r="L105" s="241">
        <f t="shared" si="10"/>
        <v>1.0159048361477396</v>
      </c>
    </row>
    <row r="106" spans="1:12" ht="12.75">
      <c r="A106" t="s">
        <v>244</v>
      </c>
      <c r="B106" s="109">
        <v>13668861.843986306</v>
      </c>
      <c r="C106" s="109">
        <v>13918149.633035658</v>
      </c>
      <c r="D106" s="109">
        <v>14269433.676549848</v>
      </c>
      <c r="E106" s="109">
        <v>14552713.442135485</v>
      </c>
      <c r="F106" s="109">
        <v>14819754.240473002</v>
      </c>
      <c r="H106" s="241">
        <f t="shared" si="6"/>
        <v>1</v>
      </c>
      <c r="I106" s="241">
        <f t="shared" si="7"/>
        <v>1.0182376405508136</v>
      </c>
      <c r="J106" s="241">
        <f t="shared" si="8"/>
        <v>1.025239277689643</v>
      </c>
      <c r="K106" s="241">
        <f t="shared" si="9"/>
        <v>1.0198522080137753</v>
      </c>
      <c r="L106" s="241">
        <f t="shared" si="10"/>
        <v>1.0183498973850702</v>
      </c>
    </row>
    <row r="107" spans="1:12" ht="12.75">
      <c r="A107" t="s">
        <v>245</v>
      </c>
      <c r="B107" s="109">
        <v>15860539.786227329</v>
      </c>
      <c r="C107" s="109">
        <v>16084051.085483095</v>
      </c>
      <c r="D107" s="109">
        <v>16514856.972456466</v>
      </c>
      <c r="E107" s="109">
        <v>16768774.684236849</v>
      </c>
      <c r="F107" s="109">
        <v>16941244.746040747</v>
      </c>
      <c r="H107" s="241">
        <f t="shared" si="6"/>
        <v>1</v>
      </c>
      <c r="I107" s="241">
        <f t="shared" si="7"/>
        <v>1.0140922882996615</v>
      </c>
      <c r="J107" s="241">
        <f t="shared" si="8"/>
        <v>1.0267846629362054</v>
      </c>
      <c r="K107" s="241">
        <f t="shared" si="9"/>
        <v>1.0153751081346856</v>
      </c>
      <c r="L107" s="241">
        <f t="shared" si="10"/>
        <v>1.01028519167629</v>
      </c>
    </row>
    <row r="108" spans="1:12" ht="12.75">
      <c r="A108" t="s">
        <v>246</v>
      </c>
      <c r="B108" s="109">
        <v>22737829.736462466</v>
      </c>
      <c r="C108" s="109">
        <v>22813818.917026713</v>
      </c>
      <c r="D108" s="109">
        <v>22922640.576971263</v>
      </c>
      <c r="E108" s="109">
        <v>22704252.59818221</v>
      </c>
      <c r="F108" s="109">
        <v>22810883.052829843</v>
      </c>
      <c r="H108" s="241">
        <f t="shared" si="6"/>
        <v>1</v>
      </c>
      <c r="I108" s="241">
        <f t="shared" si="7"/>
        <v>1.003341971570945</v>
      </c>
      <c r="J108" s="241">
        <f t="shared" si="8"/>
        <v>1.004769988766034</v>
      </c>
      <c r="K108" s="241">
        <f t="shared" si="9"/>
        <v>0.9904728262847495</v>
      </c>
      <c r="L108" s="241">
        <f t="shared" si="10"/>
        <v>1.0046964970190726</v>
      </c>
    </row>
    <row r="109" spans="1:12" ht="12.75">
      <c r="A109" t="s">
        <v>247</v>
      </c>
      <c r="B109" s="109">
        <v>5662860.184306391</v>
      </c>
      <c r="C109" s="109">
        <v>5728279.016017005</v>
      </c>
      <c r="D109" s="109">
        <v>5801181.315387604</v>
      </c>
      <c r="E109" s="109">
        <v>5825201.846305268</v>
      </c>
      <c r="F109" s="109">
        <v>5915805.055737245</v>
      </c>
      <c r="H109" s="241">
        <f t="shared" si="6"/>
        <v>1</v>
      </c>
      <c r="I109" s="241">
        <f t="shared" si="7"/>
        <v>1.0115522597382698</v>
      </c>
      <c r="J109" s="241">
        <f t="shared" si="8"/>
        <v>1.0127267368029307</v>
      </c>
      <c r="K109" s="241">
        <f t="shared" si="9"/>
        <v>1.0041406275052893</v>
      </c>
      <c r="L109" s="241">
        <f t="shared" si="10"/>
        <v>1.0155536600829451</v>
      </c>
    </row>
    <row r="110" spans="1:12" ht="12.75">
      <c r="A110" t="s">
        <v>248</v>
      </c>
      <c r="B110" s="109">
        <v>218279994.05016336</v>
      </c>
      <c r="C110" s="109">
        <v>224070365.04091477</v>
      </c>
      <c r="D110" s="109">
        <v>229834687.01777047</v>
      </c>
      <c r="E110" s="109">
        <v>236330977.61518908</v>
      </c>
      <c r="F110" s="109">
        <v>242588076.39329</v>
      </c>
      <c r="H110" s="241">
        <f t="shared" si="6"/>
        <v>1</v>
      </c>
      <c r="I110" s="241">
        <f t="shared" si="7"/>
        <v>1.026527263828955</v>
      </c>
      <c r="J110" s="241">
        <f t="shared" si="8"/>
        <v>1.0257254991118667</v>
      </c>
      <c r="K110" s="241">
        <f t="shared" si="9"/>
        <v>1.0282650572971013</v>
      </c>
      <c r="L110" s="241">
        <f t="shared" si="10"/>
        <v>1.0264759992161891</v>
      </c>
    </row>
    <row r="111" spans="1:12" ht="12.75">
      <c r="A111" t="s">
        <v>249</v>
      </c>
      <c r="B111" s="109">
        <v>9575853.345159585</v>
      </c>
      <c r="C111" s="109">
        <v>9712379.740425065</v>
      </c>
      <c r="D111" s="109">
        <v>9813877.82098324</v>
      </c>
      <c r="E111" s="109">
        <v>9958036.291949999</v>
      </c>
      <c r="F111" s="109">
        <v>10106632.466119258</v>
      </c>
      <c r="H111" s="241">
        <f t="shared" si="6"/>
        <v>1</v>
      </c>
      <c r="I111" s="241">
        <f t="shared" si="7"/>
        <v>1.0142573607118255</v>
      </c>
      <c r="J111" s="241">
        <f t="shared" si="8"/>
        <v>1.0104503822205095</v>
      </c>
      <c r="K111" s="241">
        <f t="shared" si="9"/>
        <v>1.0146892465543569</v>
      </c>
      <c r="L111" s="241">
        <f t="shared" si="10"/>
        <v>1.014922236655171</v>
      </c>
    </row>
    <row r="112" spans="1:12" ht="12.75">
      <c r="A112" t="s">
        <v>250</v>
      </c>
      <c r="B112" s="109">
        <v>48201482.08705458</v>
      </c>
      <c r="C112" s="109">
        <v>48449360.23010298</v>
      </c>
      <c r="D112" s="109">
        <v>48859299.69444989</v>
      </c>
      <c r="E112" s="109">
        <v>49346179.634618856</v>
      </c>
      <c r="F112" s="109">
        <v>50020254.99228977</v>
      </c>
      <c r="H112" s="241">
        <f t="shared" si="6"/>
        <v>1</v>
      </c>
      <c r="I112" s="241">
        <f t="shared" si="7"/>
        <v>1.005142541936796</v>
      </c>
      <c r="J112" s="241">
        <f t="shared" si="8"/>
        <v>1.0084611945833746</v>
      </c>
      <c r="K112" s="241">
        <f t="shared" si="9"/>
        <v>1.0099649389822154</v>
      </c>
      <c r="L112" s="241">
        <f t="shared" si="10"/>
        <v>1.01366013261132</v>
      </c>
    </row>
    <row r="113" spans="1:12" ht="12.75">
      <c r="A113" t="s">
        <v>251</v>
      </c>
      <c r="B113" s="109">
        <v>1915285.9577804268</v>
      </c>
      <c r="C113" s="109">
        <v>1956631.9534457924</v>
      </c>
      <c r="D113" s="109">
        <v>1997800.9982110264</v>
      </c>
      <c r="E113" s="109">
        <v>2037660.9152989353</v>
      </c>
      <c r="F113" s="109">
        <v>2081648.8531301417</v>
      </c>
      <c r="H113" s="241">
        <f t="shared" si="6"/>
        <v>1</v>
      </c>
      <c r="I113" s="241">
        <f t="shared" si="7"/>
        <v>1.0215873747193762</v>
      </c>
      <c r="J113" s="241">
        <f t="shared" si="8"/>
        <v>1.0210407709496576</v>
      </c>
      <c r="K113" s="241">
        <f t="shared" si="9"/>
        <v>1.0199518956710916</v>
      </c>
      <c r="L113" s="241">
        <f t="shared" si="10"/>
        <v>1.0215874670318998</v>
      </c>
    </row>
    <row r="114" spans="1:12" ht="12.75">
      <c r="A114" t="s">
        <v>252</v>
      </c>
      <c r="B114" s="109">
        <v>32290968.05073713</v>
      </c>
      <c r="C114" s="109">
        <v>32197064.901157513</v>
      </c>
      <c r="D114" s="109">
        <v>32536314.98162014</v>
      </c>
      <c r="E114" s="109">
        <v>32625960.49297325</v>
      </c>
      <c r="F114" s="109">
        <v>32789024.95246757</v>
      </c>
      <c r="H114" s="241">
        <f t="shared" si="6"/>
        <v>1</v>
      </c>
      <c r="I114" s="241">
        <f t="shared" si="7"/>
        <v>0.9970919685829154</v>
      </c>
      <c r="J114" s="241">
        <f t="shared" si="8"/>
        <v>1.0105366772252098</v>
      </c>
      <c r="K114" s="241">
        <f t="shared" si="9"/>
        <v>1.0027552447597017</v>
      </c>
      <c r="L114" s="241">
        <f t="shared" si="10"/>
        <v>1.004997997209291</v>
      </c>
    </row>
    <row r="115" spans="1:12" ht="12.75">
      <c r="A115" t="s">
        <v>312</v>
      </c>
      <c r="B115" s="109">
        <v>13952318.518851787</v>
      </c>
      <c r="C115" s="109">
        <v>14091567.726207497</v>
      </c>
      <c r="D115" s="109">
        <v>14279185.471684054</v>
      </c>
      <c r="E115" s="109">
        <v>14363811.249100745</v>
      </c>
      <c r="F115" s="109">
        <v>14614226.882869905</v>
      </c>
      <c r="H115" s="241">
        <f t="shared" si="6"/>
        <v>1</v>
      </c>
      <c r="I115" s="241">
        <f t="shared" si="7"/>
        <v>1.0099803632756492</v>
      </c>
      <c r="J115" s="241">
        <f t="shared" si="8"/>
        <v>1.0133141854137084</v>
      </c>
      <c r="K115" s="241">
        <f t="shared" si="9"/>
        <v>1.005926512936225</v>
      </c>
      <c r="L115" s="241">
        <f t="shared" si="10"/>
        <v>1.017433787553066</v>
      </c>
    </row>
    <row r="116" spans="1:12" ht="12.75">
      <c r="A116" t="s">
        <v>253</v>
      </c>
      <c r="B116" s="109">
        <v>2844085.99906161</v>
      </c>
      <c r="C116" s="109">
        <v>2885145.534237127</v>
      </c>
      <c r="D116" s="109">
        <v>2927419.6178097716</v>
      </c>
      <c r="E116" s="109">
        <v>2971669.5880049686</v>
      </c>
      <c r="F116" s="109">
        <v>3018582.6116385893</v>
      </c>
      <c r="H116" s="241">
        <f t="shared" si="6"/>
        <v>1</v>
      </c>
      <c r="I116" s="241">
        <f t="shared" si="7"/>
        <v>1.0144368121038057</v>
      </c>
      <c r="J116" s="241">
        <f t="shared" si="8"/>
        <v>1.0146523227584159</v>
      </c>
      <c r="K116" s="241">
        <f t="shared" si="9"/>
        <v>1.0151156909402363</v>
      </c>
      <c r="L116" s="241">
        <f t="shared" si="10"/>
        <v>1.0157867563146936</v>
      </c>
    </row>
    <row r="117" spans="1:12" ht="12.75">
      <c r="A117" t="s">
        <v>254</v>
      </c>
      <c r="B117" s="109">
        <v>8008742.540675767</v>
      </c>
      <c r="C117" s="109">
        <v>8124007.419202269</v>
      </c>
      <c r="D117" s="109">
        <v>8275437.914677799</v>
      </c>
      <c r="E117" s="109">
        <v>8376943.444759618</v>
      </c>
      <c r="F117" s="109">
        <v>8499346.823891472</v>
      </c>
      <c r="H117" s="241">
        <f t="shared" si="6"/>
        <v>1</v>
      </c>
      <c r="I117" s="241">
        <f t="shared" si="7"/>
        <v>1.0143923815681526</v>
      </c>
      <c r="J117" s="241">
        <f t="shared" si="8"/>
        <v>1.018639876561117</v>
      </c>
      <c r="K117" s="241">
        <f t="shared" si="9"/>
        <v>1.0122658802021562</v>
      </c>
      <c r="L117" s="241">
        <f t="shared" si="10"/>
        <v>1.014611938105948</v>
      </c>
    </row>
    <row r="118" spans="1:12" ht="12.75">
      <c r="A118" t="s">
        <v>255</v>
      </c>
      <c r="B118" s="109">
        <v>7853865.628344044</v>
      </c>
      <c r="C118" s="109">
        <v>7960755.2372161215</v>
      </c>
      <c r="D118" s="109">
        <v>8029380.140210189</v>
      </c>
      <c r="E118" s="109">
        <v>8078654.4094183445</v>
      </c>
      <c r="F118" s="109">
        <v>8256840.970597809</v>
      </c>
      <c r="H118" s="241">
        <f t="shared" si="6"/>
        <v>1</v>
      </c>
      <c r="I118" s="241">
        <f t="shared" si="7"/>
        <v>1.0136098087146181</v>
      </c>
      <c r="J118" s="241">
        <f t="shared" si="8"/>
        <v>1.0086204010736632</v>
      </c>
      <c r="K118" s="241">
        <f t="shared" si="9"/>
        <v>1.0061367463425221</v>
      </c>
      <c r="L118" s="241">
        <f t="shared" si="10"/>
        <v>1.0220564653652877</v>
      </c>
    </row>
    <row r="119" spans="1:12" ht="12.75">
      <c r="A119" t="s">
        <v>223</v>
      </c>
      <c r="B119" s="109">
        <v>15919900.030829249</v>
      </c>
      <c r="C119" s="109">
        <v>16130409.319413241</v>
      </c>
      <c r="D119" s="109">
        <v>16071610.248678543</v>
      </c>
      <c r="E119" s="109">
        <v>16281303.452891076</v>
      </c>
      <c r="F119" s="109">
        <v>16312048.625177344</v>
      </c>
      <c r="H119" s="241">
        <f t="shared" si="6"/>
        <v>1</v>
      </c>
      <c r="I119" s="241">
        <f t="shared" si="7"/>
        <v>1.01322302829643</v>
      </c>
      <c r="J119" s="241">
        <f t="shared" si="8"/>
        <v>0.9963547688362792</v>
      </c>
      <c r="K119" s="241">
        <f t="shared" si="9"/>
        <v>1.013047429658131</v>
      </c>
      <c r="L119" s="241">
        <f t="shared" si="10"/>
        <v>1.0018883729042474</v>
      </c>
    </row>
    <row r="120" spans="1:12" ht="12.75">
      <c r="A120" t="s">
        <v>129</v>
      </c>
      <c r="B120" s="109">
        <v>14965191.355082974</v>
      </c>
      <c r="C120" s="109">
        <v>15022080.423756408</v>
      </c>
      <c r="D120" s="109">
        <v>15115464.643461479</v>
      </c>
      <c r="E120" s="109">
        <v>15197968.480421415</v>
      </c>
      <c r="F120" s="109">
        <v>15328249.112878699</v>
      </c>
      <c r="H120" s="241">
        <f t="shared" si="6"/>
        <v>1</v>
      </c>
      <c r="I120" s="241">
        <f t="shared" si="7"/>
        <v>1.0038014260775965</v>
      </c>
      <c r="J120" s="241">
        <f t="shared" si="8"/>
        <v>1.0062164638366196</v>
      </c>
      <c r="K120" s="241">
        <f t="shared" si="9"/>
        <v>1.0054582402133185</v>
      </c>
      <c r="L120" s="241">
        <f t="shared" si="10"/>
        <v>1.0085722399428</v>
      </c>
    </row>
    <row r="121" spans="1:12" ht="12.75">
      <c r="A121" t="s">
        <v>256</v>
      </c>
      <c r="B121" s="109">
        <v>274701870.9772536</v>
      </c>
      <c r="C121" s="109">
        <v>280647340.0152929</v>
      </c>
      <c r="D121" s="109">
        <v>287209553.29105496</v>
      </c>
      <c r="E121" s="109">
        <v>293414113.87819237</v>
      </c>
      <c r="F121" s="109">
        <v>299478233.68212974</v>
      </c>
      <c r="H121" s="241">
        <f t="shared" si="6"/>
        <v>1</v>
      </c>
      <c r="I121" s="241">
        <f t="shared" si="7"/>
        <v>1.0216433510878111</v>
      </c>
      <c r="J121" s="241">
        <f t="shared" si="8"/>
        <v>1.0233824175044899</v>
      </c>
      <c r="K121" s="241">
        <f t="shared" si="9"/>
        <v>1.0216029046250066</v>
      </c>
      <c r="L121" s="241">
        <f t="shared" si="10"/>
        <v>1.0206674441245687</v>
      </c>
    </row>
    <row r="122" spans="1:12" ht="12.75">
      <c r="A122" t="s">
        <v>257</v>
      </c>
      <c r="B122" s="109">
        <v>17779466.13383795</v>
      </c>
      <c r="C122" s="109">
        <v>18281961.364198852</v>
      </c>
      <c r="D122" s="109">
        <v>18715765.034584083</v>
      </c>
      <c r="E122" s="109">
        <v>19223477.36854799</v>
      </c>
      <c r="F122" s="109">
        <v>19523756.576232817</v>
      </c>
      <c r="H122" s="241">
        <f t="shared" si="6"/>
        <v>1</v>
      </c>
      <c r="I122" s="241">
        <f t="shared" si="7"/>
        <v>1.0282626726009816</v>
      </c>
      <c r="J122" s="241">
        <f t="shared" si="8"/>
        <v>1.0237285082132783</v>
      </c>
      <c r="K122" s="241">
        <f t="shared" si="9"/>
        <v>1.0271275223334835</v>
      </c>
      <c r="L122" s="241">
        <f t="shared" si="10"/>
        <v>1.0156204417092674</v>
      </c>
    </row>
    <row r="123" spans="1:12" ht="12.75">
      <c r="A123" t="s">
        <v>258</v>
      </c>
      <c r="B123" s="109">
        <v>21005372.46947647</v>
      </c>
      <c r="C123" s="109">
        <v>21519265.9699901</v>
      </c>
      <c r="D123" s="109">
        <v>22063336.970840123</v>
      </c>
      <c r="E123" s="109">
        <v>22592517.699473884</v>
      </c>
      <c r="F123" s="109">
        <v>23048207.658861436</v>
      </c>
      <c r="H123" s="241">
        <f t="shared" si="6"/>
        <v>1</v>
      </c>
      <c r="I123" s="241">
        <f t="shared" si="7"/>
        <v>1.0244648601809079</v>
      </c>
      <c r="J123" s="241">
        <f t="shared" si="8"/>
        <v>1.0252829720869086</v>
      </c>
      <c r="K123" s="241">
        <f t="shared" si="9"/>
        <v>1.0239846188875759</v>
      </c>
      <c r="L123" s="241">
        <f t="shared" si="10"/>
        <v>1.0201699503105033</v>
      </c>
    </row>
    <row r="124" spans="1:12" ht="12.75">
      <c r="A124" t="s">
        <v>260</v>
      </c>
      <c r="B124" s="109">
        <v>22023371.28194409</v>
      </c>
      <c r="C124" s="109">
        <v>22262908.966368858</v>
      </c>
      <c r="D124" s="109">
        <v>22435996.183061812</v>
      </c>
      <c r="E124" s="109">
        <v>22729196.82078003</v>
      </c>
      <c r="F124" s="109">
        <v>22897984.54607024</v>
      </c>
      <c r="H124" s="241">
        <f t="shared" si="6"/>
        <v>1</v>
      </c>
      <c r="I124" s="241">
        <f t="shared" si="7"/>
        <v>1.0108765220981928</v>
      </c>
      <c r="J124" s="241">
        <f t="shared" si="8"/>
        <v>1.007774690044074</v>
      </c>
      <c r="K124" s="241">
        <f t="shared" si="9"/>
        <v>1.013068313763557</v>
      </c>
      <c r="L124" s="241">
        <f t="shared" si="10"/>
        <v>1.0074260312241168</v>
      </c>
    </row>
    <row r="125" spans="1:12" ht="12.75">
      <c r="A125" t="s">
        <v>261</v>
      </c>
      <c r="B125" s="109">
        <v>6890089.553336157</v>
      </c>
      <c r="C125" s="109">
        <v>6955061.4262406975</v>
      </c>
      <c r="D125" s="109">
        <v>7059688.004902365</v>
      </c>
      <c r="E125" s="109">
        <v>7165735.79076719</v>
      </c>
      <c r="F125" s="109">
        <v>7277400.03993614</v>
      </c>
      <c r="H125" s="241">
        <f t="shared" si="6"/>
        <v>1</v>
      </c>
      <c r="I125" s="241">
        <f t="shared" si="7"/>
        <v>1.009429757393078</v>
      </c>
      <c r="J125" s="241">
        <f t="shared" si="8"/>
        <v>1.015043228556821</v>
      </c>
      <c r="K125" s="241">
        <f t="shared" si="9"/>
        <v>1.015021596675545</v>
      </c>
      <c r="L125" s="241">
        <f t="shared" si="10"/>
        <v>1.0155830821048168</v>
      </c>
    </row>
    <row r="126" spans="1:12" ht="12.75">
      <c r="A126" t="s">
        <v>262</v>
      </c>
      <c r="B126" s="109">
        <v>145955822.35078257</v>
      </c>
      <c r="C126" s="109">
        <v>148937204.93064052</v>
      </c>
      <c r="D126" s="109">
        <v>151925651.52627608</v>
      </c>
      <c r="E126" s="109">
        <v>155039667.329999</v>
      </c>
      <c r="F126" s="109">
        <v>158040235.75529185</v>
      </c>
      <c r="H126" s="241">
        <f t="shared" si="6"/>
        <v>1</v>
      </c>
      <c r="I126" s="241">
        <f t="shared" si="7"/>
        <v>1.0204266094482524</v>
      </c>
      <c r="J126" s="241">
        <f t="shared" si="8"/>
        <v>1.0200651448845657</v>
      </c>
      <c r="K126" s="241">
        <f t="shared" si="9"/>
        <v>1.0204969718572137</v>
      </c>
      <c r="L126" s="241">
        <f t="shared" si="10"/>
        <v>1.0193535530420494</v>
      </c>
    </row>
    <row r="127" spans="1:12" ht="12.75">
      <c r="A127" t="s">
        <v>259</v>
      </c>
      <c r="B127" s="109">
        <v>6233726.903772343</v>
      </c>
      <c r="C127" s="109">
        <v>6312118.992272981</v>
      </c>
      <c r="D127" s="109">
        <v>6431664.333815568</v>
      </c>
      <c r="E127" s="109">
        <v>6552751.518308419</v>
      </c>
      <c r="F127" s="109">
        <v>6677604.238456273</v>
      </c>
      <c r="H127" s="241">
        <f t="shared" si="6"/>
        <v>1</v>
      </c>
      <c r="I127" s="241">
        <f t="shared" si="7"/>
        <v>1.01257547687134</v>
      </c>
      <c r="J127" s="241">
        <f t="shared" si="8"/>
        <v>1.018939019002799</v>
      </c>
      <c r="K127" s="241">
        <f t="shared" si="9"/>
        <v>1.0188267263663333</v>
      </c>
      <c r="L127" s="241">
        <f t="shared" si="10"/>
        <v>1.0190534800227073</v>
      </c>
    </row>
    <row r="128" spans="1:12" ht="12.75">
      <c r="A128" t="s">
        <v>263</v>
      </c>
      <c r="B128" s="109">
        <v>33863345.26933808</v>
      </c>
      <c r="C128" s="109">
        <v>34668808.57544772</v>
      </c>
      <c r="D128" s="109">
        <v>35615940.04563568</v>
      </c>
      <c r="E128" s="109">
        <v>36477617.3613441</v>
      </c>
      <c r="F128" s="109">
        <v>37284265.27662468</v>
      </c>
      <c r="H128" s="241">
        <f t="shared" si="6"/>
        <v>1</v>
      </c>
      <c r="I128" s="241">
        <f t="shared" si="7"/>
        <v>1.0237856980668405</v>
      </c>
      <c r="J128" s="241">
        <f t="shared" si="8"/>
        <v>1.0273194121490148</v>
      </c>
      <c r="K128" s="241">
        <f t="shared" si="9"/>
        <v>1.0241935862033777</v>
      </c>
      <c r="L128" s="241">
        <f t="shared" si="10"/>
        <v>1.022113503392779</v>
      </c>
    </row>
    <row r="129" spans="1:12" ht="12.75">
      <c r="A129" t="s">
        <v>264</v>
      </c>
      <c r="B129" s="109">
        <v>46517732.710421495</v>
      </c>
      <c r="C129" s="109">
        <v>47502657.36288237</v>
      </c>
      <c r="D129" s="109">
        <v>48459577.833157785</v>
      </c>
      <c r="E129" s="109">
        <v>49587171.19038281</v>
      </c>
      <c r="F129" s="109">
        <v>50692213.35786586</v>
      </c>
      <c r="H129" s="241">
        <f t="shared" si="6"/>
        <v>1</v>
      </c>
      <c r="I129" s="241">
        <f t="shared" si="7"/>
        <v>1.0211731009890819</v>
      </c>
      <c r="J129" s="241">
        <f t="shared" si="8"/>
        <v>1.0201445671336933</v>
      </c>
      <c r="K129" s="241">
        <f t="shared" si="9"/>
        <v>1.0232687408278138</v>
      </c>
      <c r="L129" s="241">
        <f t="shared" si="10"/>
        <v>1.022284839827632</v>
      </c>
    </row>
    <row r="130" spans="1:12" ht="12.75">
      <c r="A130" t="s">
        <v>265</v>
      </c>
      <c r="B130" s="109">
        <v>6774975.0962793715</v>
      </c>
      <c r="C130" s="109">
        <v>6891244.074437996</v>
      </c>
      <c r="D130" s="109">
        <v>6992425.326575151</v>
      </c>
      <c r="E130" s="109">
        <v>7131219.5957440715</v>
      </c>
      <c r="F130" s="109">
        <v>7274267.619721201</v>
      </c>
      <c r="H130" s="241">
        <f t="shared" si="6"/>
        <v>1</v>
      </c>
      <c r="I130" s="241">
        <f t="shared" si="7"/>
        <v>1.0171615358737593</v>
      </c>
      <c r="J130" s="241">
        <f t="shared" si="8"/>
        <v>1.0146825814097153</v>
      </c>
      <c r="K130" s="241">
        <f t="shared" si="9"/>
        <v>1.0198492315164847</v>
      </c>
      <c r="L130" s="241">
        <f t="shared" si="10"/>
        <v>1.020059405275151</v>
      </c>
    </row>
    <row r="131" spans="1:12" ht="12.75">
      <c r="A131" t="s">
        <v>266</v>
      </c>
      <c r="B131" s="109">
        <v>49937992.45414639</v>
      </c>
      <c r="C131" s="109">
        <v>51347741.068043195</v>
      </c>
      <c r="D131" s="109">
        <v>52667717.56063381</v>
      </c>
      <c r="E131" s="109">
        <v>53942397.19274872</v>
      </c>
      <c r="F131" s="109">
        <v>55143582.49034793</v>
      </c>
      <c r="H131" s="241">
        <f t="shared" si="6"/>
        <v>1</v>
      </c>
      <c r="I131" s="241">
        <f t="shared" si="7"/>
        <v>1.0282299817156497</v>
      </c>
      <c r="J131" s="241">
        <f t="shared" si="8"/>
        <v>1.0257066126987253</v>
      </c>
      <c r="K131" s="241">
        <f t="shared" si="9"/>
        <v>1.0242022949000482</v>
      </c>
      <c r="L131" s="241">
        <f t="shared" si="10"/>
        <v>1.0222679257895622</v>
      </c>
    </row>
    <row r="132" spans="1:12" ht="12.75">
      <c r="A132" t="s">
        <v>267</v>
      </c>
      <c r="B132" s="109">
        <v>18716496.97240924</v>
      </c>
      <c r="C132" s="109">
        <v>18856561.45744235</v>
      </c>
      <c r="D132" s="109">
        <v>19022838.35057844</v>
      </c>
      <c r="E132" s="109">
        <v>19186169.910879068</v>
      </c>
      <c r="F132" s="109">
        <v>19307304.205803312</v>
      </c>
      <c r="H132" s="241">
        <f t="shared" si="6"/>
        <v>1</v>
      </c>
      <c r="I132" s="241">
        <f t="shared" si="7"/>
        <v>1.0074834775567023</v>
      </c>
      <c r="J132" s="241">
        <f t="shared" si="8"/>
        <v>1.0088179859043422</v>
      </c>
      <c r="K132" s="241">
        <f t="shared" si="9"/>
        <v>1.0085860772872342</v>
      </c>
      <c r="L132" s="241">
        <f t="shared" si="10"/>
        <v>1.0063136256734366</v>
      </c>
    </row>
    <row r="133" spans="1:12" ht="12.75">
      <c r="A133" t="s">
        <v>268</v>
      </c>
      <c r="B133" s="109">
        <v>2101977.4474509587</v>
      </c>
      <c r="C133" s="109">
        <v>2137221.747020343</v>
      </c>
      <c r="D133" s="109">
        <v>2140721.266197207</v>
      </c>
      <c r="E133" s="109">
        <v>2179963.6698661726</v>
      </c>
      <c r="F133" s="109">
        <v>2218736.577782821</v>
      </c>
      <c r="H133" s="241">
        <f t="shared" si="6"/>
        <v>1</v>
      </c>
      <c r="I133" s="241">
        <f t="shared" si="7"/>
        <v>1.0167672110907395</v>
      </c>
      <c r="J133" s="241">
        <f t="shared" si="8"/>
        <v>1.0016374151076008</v>
      </c>
      <c r="K133" s="241">
        <f t="shared" si="9"/>
        <v>1.018331393389984</v>
      </c>
      <c r="L133" s="241">
        <f t="shared" si="10"/>
        <v>1.01778603398424</v>
      </c>
    </row>
    <row r="134" spans="1:12" ht="12.75">
      <c r="A134" t="s">
        <v>269</v>
      </c>
      <c r="B134" s="109">
        <v>21473626.138111662</v>
      </c>
      <c r="C134" s="109">
        <v>21907294.73487803</v>
      </c>
      <c r="D134" s="109">
        <v>22245890.210061803</v>
      </c>
      <c r="E134" s="109">
        <v>22598427.985126205</v>
      </c>
      <c r="F134" s="109">
        <v>22841764.84676786</v>
      </c>
      <c r="H134" s="241">
        <f aca="true" t="shared" si="11" ref="H134:H197">B134/B134</f>
        <v>1</v>
      </c>
      <c r="I134" s="241">
        <f aca="true" t="shared" si="12" ref="I134:I197">C134/B134</f>
        <v>1.0201954059355018</v>
      </c>
      <c r="J134" s="241">
        <f aca="true" t="shared" si="13" ref="J134:J197">D134/C134</f>
        <v>1.0154558323737117</v>
      </c>
      <c r="K134" s="241">
        <f aca="true" t="shared" si="14" ref="K134:K197">E134/D134</f>
        <v>1.0158473215382924</v>
      </c>
      <c r="L134" s="241">
        <f aca="true" t="shared" si="15" ref="L134:L197">F134/E134</f>
        <v>1.0107678667649722</v>
      </c>
    </row>
    <row r="135" spans="1:12" ht="12.75">
      <c r="A135" t="s">
        <v>270</v>
      </c>
      <c r="B135" s="109">
        <v>38168550.39104726</v>
      </c>
      <c r="C135" s="109">
        <v>39114001.26706615</v>
      </c>
      <c r="D135" s="109">
        <v>40151409.19952658</v>
      </c>
      <c r="E135" s="109">
        <v>41196011.9459861</v>
      </c>
      <c r="F135" s="109">
        <v>42219428.4008463</v>
      </c>
      <c r="H135" s="241">
        <f t="shared" si="11"/>
        <v>1</v>
      </c>
      <c r="I135" s="241">
        <f t="shared" si="12"/>
        <v>1.024770416123549</v>
      </c>
      <c r="J135" s="241">
        <f t="shared" si="13"/>
        <v>1.0265226747163279</v>
      </c>
      <c r="K135" s="241">
        <f t="shared" si="14"/>
        <v>1.0260165898852645</v>
      </c>
      <c r="L135" s="241">
        <f t="shared" si="15"/>
        <v>1.0248426099157864</v>
      </c>
    </row>
    <row r="136" spans="1:12" ht="12.75">
      <c r="A136" t="s">
        <v>271</v>
      </c>
      <c r="B136" s="109">
        <v>28820117.30247296</v>
      </c>
      <c r="C136" s="109">
        <v>29372131.08989445</v>
      </c>
      <c r="D136" s="109">
        <v>29875620.480127648</v>
      </c>
      <c r="E136" s="109">
        <v>30334773.642500747</v>
      </c>
      <c r="F136" s="109">
        <v>30997202.693931945</v>
      </c>
      <c r="H136" s="241">
        <f t="shared" si="11"/>
        <v>1</v>
      </c>
      <c r="I136" s="241">
        <f t="shared" si="12"/>
        <v>1.0191537661567438</v>
      </c>
      <c r="J136" s="241">
        <f t="shared" si="13"/>
        <v>1.0171417384966808</v>
      </c>
      <c r="K136" s="241">
        <f t="shared" si="14"/>
        <v>1.015368824312068</v>
      </c>
      <c r="L136" s="241">
        <f t="shared" si="15"/>
        <v>1.0218372834832397</v>
      </c>
    </row>
    <row r="137" spans="1:12" ht="12.75">
      <c r="A137" t="s">
        <v>272</v>
      </c>
      <c r="B137" s="109">
        <v>24648939.243327186</v>
      </c>
      <c r="C137" s="109">
        <v>25073665.409361757</v>
      </c>
      <c r="D137" s="109">
        <v>25509903.47970607</v>
      </c>
      <c r="E137" s="109">
        <v>25936748.6426211</v>
      </c>
      <c r="F137" s="109">
        <v>26308954.988414116</v>
      </c>
      <c r="H137" s="241">
        <f t="shared" si="11"/>
        <v>1</v>
      </c>
      <c r="I137" s="241">
        <f t="shared" si="12"/>
        <v>1.0172310119247647</v>
      </c>
      <c r="J137" s="241">
        <f t="shared" si="13"/>
        <v>1.017398256825324</v>
      </c>
      <c r="K137" s="241">
        <f t="shared" si="14"/>
        <v>1.0167325275556058</v>
      </c>
      <c r="L137" s="241">
        <f t="shared" si="15"/>
        <v>1.0143505398815247</v>
      </c>
    </row>
    <row r="138" spans="1:12" ht="12.75">
      <c r="A138" t="s">
        <v>274</v>
      </c>
      <c r="B138" s="109">
        <v>30109406.156938024</v>
      </c>
      <c r="C138" s="109">
        <v>30708223.33919798</v>
      </c>
      <c r="D138" s="109">
        <v>30986777.309690114</v>
      </c>
      <c r="E138" s="109">
        <v>31403273.970895685</v>
      </c>
      <c r="F138" s="109">
        <v>31769256.134497542</v>
      </c>
      <c r="H138" s="241">
        <f t="shared" si="11"/>
        <v>1</v>
      </c>
      <c r="I138" s="241">
        <f t="shared" si="12"/>
        <v>1.019888043594708</v>
      </c>
      <c r="J138" s="241">
        <f t="shared" si="13"/>
        <v>1.0090709894680416</v>
      </c>
      <c r="K138" s="241">
        <f t="shared" si="14"/>
        <v>1.013441109317145</v>
      </c>
      <c r="L138" s="241">
        <f t="shared" si="15"/>
        <v>1.0116542677665088</v>
      </c>
    </row>
    <row r="139" spans="1:12" ht="12.75">
      <c r="A139" t="s">
        <v>275</v>
      </c>
      <c r="B139" s="109">
        <v>16783561.674441498</v>
      </c>
      <c r="C139" s="109">
        <v>16981924.131618198</v>
      </c>
      <c r="D139" s="109">
        <v>17228929.422462314</v>
      </c>
      <c r="E139" s="109">
        <v>17391070.314459626</v>
      </c>
      <c r="F139" s="109">
        <v>17675848.02087328</v>
      </c>
      <c r="H139" s="241">
        <f t="shared" si="11"/>
        <v>1</v>
      </c>
      <c r="I139" s="241">
        <f t="shared" si="12"/>
        <v>1.0118188535320707</v>
      </c>
      <c r="J139" s="241">
        <f t="shared" si="13"/>
        <v>1.014545188691794</v>
      </c>
      <c r="K139" s="241">
        <f t="shared" si="14"/>
        <v>1.0094109673341582</v>
      </c>
      <c r="L139" s="241">
        <f t="shared" si="15"/>
        <v>1.0163749384749987</v>
      </c>
    </row>
    <row r="140" spans="1:12" ht="12.75">
      <c r="A140" t="s">
        <v>276</v>
      </c>
      <c r="B140" s="109">
        <v>40891554.301417954</v>
      </c>
      <c r="C140" s="109">
        <v>41686878.970693715</v>
      </c>
      <c r="D140" s="109">
        <v>42278728.571282044</v>
      </c>
      <c r="E140" s="109">
        <v>43076818.17407489</v>
      </c>
      <c r="F140" s="109">
        <v>43920298.516891584</v>
      </c>
      <c r="H140" s="241">
        <f t="shared" si="11"/>
        <v>1</v>
      </c>
      <c r="I140" s="241">
        <f t="shared" si="12"/>
        <v>1.0194496072077206</v>
      </c>
      <c r="J140" s="241">
        <f t="shared" si="13"/>
        <v>1.0141975032720585</v>
      </c>
      <c r="K140" s="241">
        <f t="shared" si="14"/>
        <v>1.0188768591147972</v>
      </c>
      <c r="L140" s="241">
        <f t="shared" si="15"/>
        <v>1.0195808413566703</v>
      </c>
    </row>
    <row r="141" spans="1:12" ht="12.75">
      <c r="A141" t="s">
        <v>277</v>
      </c>
      <c r="B141" s="109">
        <v>1774399.7402139471</v>
      </c>
      <c r="C141" s="109">
        <v>1800750.7174077732</v>
      </c>
      <c r="D141" s="109">
        <v>1827449.7434113985</v>
      </c>
      <c r="E141" s="109">
        <v>1817881.0044050065</v>
      </c>
      <c r="F141" s="109">
        <v>1845927.5971979522</v>
      </c>
      <c r="H141" s="241">
        <f t="shared" si="11"/>
        <v>1</v>
      </c>
      <c r="I141" s="241">
        <f t="shared" si="12"/>
        <v>1.0148506430634672</v>
      </c>
      <c r="J141" s="241">
        <f t="shared" si="13"/>
        <v>1.0148266085613777</v>
      </c>
      <c r="K141" s="241">
        <f t="shared" si="14"/>
        <v>0.9947638839093165</v>
      </c>
      <c r="L141" s="241">
        <f t="shared" si="15"/>
        <v>1.0154281785908894</v>
      </c>
    </row>
    <row r="142" spans="1:12" ht="12.75">
      <c r="A142" t="s">
        <v>278</v>
      </c>
      <c r="B142" s="109">
        <v>5311236.272342215</v>
      </c>
      <c r="C142" s="109">
        <v>5508029.909899209</v>
      </c>
      <c r="D142" s="109">
        <v>5587505.985070165</v>
      </c>
      <c r="E142" s="109">
        <v>5704066.5175238745</v>
      </c>
      <c r="F142" s="109">
        <v>5819635.526968988</v>
      </c>
      <c r="H142" s="241">
        <f t="shared" si="11"/>
        <v>1</v>
      </c>
      <c r="I142" s="241">
        <f t="shared" si="12"/>
        <v>1.0370523221837782</v>
      </c>
      <c r="J142" s="241">
        <f t="shared" si="13"/>
        <v>1.0144291291933836</v>
      </c>
      <c r="K142" s="241">
        <f t="shared" si="14"/>
        <v>1.020860923060335</v>
      </c>
      <c r="L142" s="241">
        <f t="shared" si="15"/>
        <v>1.0202608102640573</v>
      </c>
    </row>
    <row r="143" spans="1:12" ht="12.75">
      <c r="A143" t="s">
        <v>279</v>
      </c>
      <c r="B143" s="109">
        <v>14552214.807606315</v>
      </c>
      <c r="C143" s="109">
        <v>15055557.258286767</v>
      </c>
      <c r="D143" s="109">
        <v>15575478.936260285</v>
      </c>
      <c r="E143" s="109">
        <v>16057019.812404817</v>
      </c>
      <c r="F143" s="109">
        <v>16461728.926647222</v>
      </c>
      <c r="H143" s="241">
        <f t="shared" si="11"/>
        <v>1</v>
      </c>
      <c r="I143" s="241">
        <f t="shared" si="12"/>
        <v>1.0345887177543145</v>
      </c>
      <c r="J143" s="241">
        <f t="shared" si="13"/>
        <v>1.0345335392808093</v>
      </c>
      <c r="K143" s="241">
        <f t="shared" si="14"/>
        <v>1.0309166015449764</v>
      </c>
      <c r="L143" s="241">
        <f t="shared" si="15"/>
        <v>1.0252044974080277</v>
      </c>
    </row>
    <row r="144" spans="1:12" ht="12.75">
      <c r="A144" t="s">
        <v>280</v>
      </c>
      <c r="B144" s="109">
        <v>8945408.64789656</v>
      </c>
      <c r="C144" s="109">
        <v>9095481.006628215</v>
      </c>
      <c r="D144" s="109">
        <v>9220737.528863234</v>
      </c>
      <c r="E144" s="109">
        <v>9380112.472125072</v>
      </c>
      <c r="F144" s="109">
        <v>9510969.586417744</v>
      </c>
      <c r="H144" s="241">
        <f t="shared" si="11"/>
        <v>1</v>
      </c>
      <c r="I144" s="241">
        <f t="shared" si="12"/>
        <v>1.016776467642643</v>
      </c>
      <c r="J144" s="241">
        <f t="shared" si="13"/>
        <v>1.0137712917154948</v>
      </c>
      <c r="K144" s="241">
        <f t="shared" si="14"/>
        <v>1.017284402984355</v>
      </c>
      <c r="L144" s="241">
        <f t="shared" si="15"/>
        <v>1.0139504845684464</v>
      </c>
    </row>
    <row r="145" spans="1:12" ht="12.75">
      <c r="A145" t="s">
        <v>273</v>
      </c>
      <c r="B145" s="109">
        <v>101040264.66439018</v>
      </c>
      <c r="C145" s="109">
        <v>102607176.39848511</v>
      </c>
      <c r="D145" s="109">
        <v>103848421.4803746</v>
      </c>
      <c r="E145" s="109">
        <v>105424578.45298202</v>
      </c>
      <c r="F145" s="109">
        <v>107115511.7939641</v>
      </c>
      <c r="H145" s="241">
        <f t="shared" si="11"/>
        <v>1</v>
      </c>
      <c r="I145" s="241">
        <f t="shared" si="12"/>
        <v>1.015507795226977</v>
      </c>
      <c r="J145" s="241">
        <f t="shared" si="13"/>
        <v>1.0120970591478806</v>
      </c>
      <c r="K145" s="241">
        <f t="shared" si="14"/>
        <v>1.0151774764617416</v>
      </c>
      <c r="L145" s="241">
        <f t="shared" si="15"/>
        <v>1.0160392705932062</v>
      </c>
    </row>
    <row r="146" spans="1:12" ht="12.75">
      <c r="A146" t="s">
        <v>130</v>
      </c>
      <c r="B146" s="109">
        <v>37010256.40047568</v>
      </c>
      <c r="C146" s="109">
        <v>37563234.65248198</v>
      </c>
      <c r="D146" s="109">
        <v>38153241.696523555</v>
      </c>
      <c r="E146" s="109">
        <v>38711023.37496332</v>
      </c>
      <c r="F146" s="109">
        <v>39528028.92870125</v>
      </c>
      <c r="H146" s="241">
        <f t="shared" si="11"/>
        <v>1</v>
      </c>
      <c r="I146" s="241">
        <f t="shared" si="12"/>
        <v>1.0149412164569385</v>
      </c>
      <c r="J146" s="241">
        <f t="shared" si="13"/>
        <v>1.01570703507033</v>
      </c>
      <c r="K146" s="241">
        <f t="shared" si="14"/>
        <v>1.014619509473833</v>
      </c>
      <c r="L146" s="241">
        <f t="shared" si="15"/>
        <v>1.0211052429646263</v>
      </c>
    </row>
    <row r="147" spans="1:12" ht="12.75">
      <c r="A147" t="s">
        <v>282</v>
      </c>
      <c r="B147" s="109">
        <v>14514283.41381712</v>
      </c>
      <c r="C147" s="109">
        <v>14821579.624042151</v>
      </c>
      <c r="D147" s="109">
        <v>15218300.207142452</v>
      </c>
      <c r="E147" s="109">
        <v>15428084.752379395</v>
      </c>
      <c r="F147" s="109">
        <v>15614837.841686672</v>
      </c>
      <c r="H147" s="241">
        <f t="shared" si="11"/>
        <v>1</v>
      </c>
      <c r="I147" s="241">
        <f t="shared" si="12"/>
        <v>1.0211719863436381</v>
      </c>
      <c r="J147" s="241">
        <f t="shared" si="13"/>
        <v>1.0267664171541324</v>
      </c>
      <c r="K147" s="241">
        <f t="shared" si="14"/>
        <v>1.0137850181939823</v>
      </c>
      <c r="L147" s="241">
        <f t="shared" si="15"/>
        <v>1.0121047487296486</v>
      </c>
    </row>
    <row r="148" spans="1:12" ht="12.75">
      <c r="A148" t="s">
        <v>283</v>
      </c>
      <c r="B148" s="109">
        <v>4359616.067933874</v>
      </c>
      <c r="C148" s="109">
        <v>4456182.828658904</v>
      </c>
      <c r="D148" s="109">
        <v>4551921.408422081</v>
      </c>
      <c r="E148" s="109">
        <v>4650480.433390384</v>
      </c>
      <c r="F148" s="109">
        <v>4752670.108135818</v>
      </c>
      <c r="H148" s="241">
        <f t="shared" si="11"/>
        <v>1</v>
      </c>
      <c r="I148" s="241">
        <f t="shared" si="12"/>
        <v>1.0221502901219452</v>
      </c>
      <c r="J148" s="241">
        <f t="shared" si="13"/>
        <v>1.0214844371167755</v>
      </c>
      <c r="K148" s="241">
        <f t="shared" si="14"/>
        <v>1.0216521807221772</v>
      </c>
      <c r="L148" s="241">
        <f t="shared" si="15"/>
        <v>1.0219740038065128</v>
      </c>
    </row>
    <row r="149" spans="1:12" ht="12.75">
      <c r="A149" t="s">
        <v>284</v>
      </c>
      <c r="B149" s="109">
        <v>20565242.182304196</v>
      </c>
      <c r="C149" s="109">
        <v>20776644.38351118</v>
      </c>
      <c r="D149" s="109">
        <v>21119665.08908522</v>
      </c>
      <c r="E149" s="109">
        <v>21514283.793039806</v>
      </c>
      <c r="F149" s="109">
        <v>21899590.289408695</v>
      </c>
      <c r="H149" s="241">
        <f t="shared" si="11"/>
        <v>1</v>
      </c>
      <c r="I149" s="241">
        <f t="shared" si="12"/>
        <v>1.0102795872439998</v>
      </c>
      <c r="J149" s="241">
        <f t="shared" si="13"/>
        <v>1.0165099185047548</v>
      </c>
      <c r="K149" s="241">
        <f t="shared" si="14"/>
        <v>1.0186848940212847</v>
      </c>
      <c r="L149" s="241">
        <f t="shared" si="15"/>
        <v>1.0179093340998664</v>
      </c>
    </row>
    <row r="150" spans="1:12" ht="12.75">
      <c r="A150" t="s">
        <v>285</v>
      </c>
      <c r="B150" s="109">
        <v>2549354.086794863</v>
      </c>
      <c r="C150" s="109">
        <v>2593632.5908073075</v>
      </c>
      <c r="D150" s="109">
        <v>2638667.818672121</v>
      </c>
      <c r="E150" s="109">
        <v>2653814.055244911</v>
      </c>
      <c r="F150" s="109">
        <v>2700565.221995149</v>
      </c>
      <c r="H150" s="241">
        <f t="shared" si="11"/>
        <v>1</v>
      </c>
      <c r="I150" s="241">
        <f t="shared" si="12"/>
        <v>1.0173685186541164</v>
      </c>
      <c r="J150" s="241">
        <f t="shared" si="13"/>
        <v>1.0173637654093464</v>
      </c>
      <c r="K150" s="241">
        <f t="shared" si="14"/>
        <v>1.0057401073623629</v>
      </c>
      <c r="L150" s="241">
        <f t="shared" si="15"/>
        <v>1.0176165947489202</v>
      </c>
    </row>
    <row r="151" spans="1:12" ht="12.75">
      <c r="A151" t="s">
        <v>286</v>
      </c>
      <c r="B151" s="109">
        <v>7696111.338487773</v>
      </c>
      <c r="C151" s="109">
        <v>7657357.691921717</v>
      </c>
      <c r="D151" s="109">
        <v>7771199.454847812</v>
      </c>
      <c r="E151" s="109">
        <v>7888867.787735931</v>
      </c>
      <c r="F151" s="109">
        <v>8010131.133299375</v>
      </c>
      <c r="H151" s="241">
        <f t="shared" si="11"/>
        <v>1</v>
      </c>
      <c r="I151" s="241">
        <f t="shared" si="12"/>
        <v>0.9949645158624133</v>
      </c>
      <c r="J151" s="241">
        <f t="shared" si="13"/>
        <v>1.0148669772924668</v>
      </c>
      <c r="K151" s="241">
        <f t="shared" si="14"/>
        <v>1.0151415921791476</v>
      </c>
      <c r="L151" s="241">
        <f t="shared" si="15"/>
        <v>1.0153714511164658</v>
      </c>
    </row>
    <row r="152" spans="1:12" ht="12.75">
      <c r="A152" t="s">
        <v>287</v>
      </c>
      <c r="B152" s="109">
        <v>4342958.500193223</v>
      </c>
      <c r="C152" s="109">
        <v>4379395.441130969</v>
      </c>
      <c r="D152" s="109">
        <v>4446818.075951638</v>
      </c>
      <c r="E152" s="109">
        <v>4517339.746960441</v>
      </c>
      <c r="F152" s="109">
        <v>4556396.273421092</v>
      </c>
      <c r="H152" s="241">
        <f t="shared" si="11"/>
        <v>1</v>
      </c>
      <c r="I152" s="241">
        <f t="shared" si="12"/>
        <v>1.0083898892738958</v>
      </c>
      <c r="J152" s="241">
        <f t="shared" si="13"/>
        <v>1.0153954206070182</v>
      </c>
      <c r="K152" s="241">
        <f t="shared" si="14"/>
        <v>1.0158589062570793</v>
      </c>
      <c r="L152" s="241">
        <f t="shared" si="15"/>
        <v>1.0086459130037608</v>
      </c>
    </row>
    <row r="153" spans="1:12" ht="12.75">
      <c r="A153" t="s">
        <v>288</v>
      </c>
      <c r="B153" s="109">
        <v>122690011.27557118</v>
      </c>
      <c r="C153" s="109">
        <v>125074592.34477076</v>
      </c>
      <c r="D153" s="109">
        <v>127114360.32222733</v>
      </c>
      <c r="E153" s="109">
        <v>129498449.7994134</v>
      </c>
      <c r="F153" s="109">
        <v>132154080.83940229</v>
      </c>
      <c r="H153" s="241">
        <f t="shared" si="11"/>
        <v>1</v>
      </c>
      <c r="I153" s="241">
        <f t="shared" si="12"/>
        <v>1.019435820768193</v>
      </c>
      <c r="J153" s="241">
        <f t="shared" si="13"/>
        <v>1.016308411958153</v>
      </c>
      <c r="K153" s="241">
        <f t="shared" si="14"/>
        <v>1.0187554692573093</v>
      </c>
      <c r="L153" s="241">
        <f t="shared" si="15"/>
        <v>1.020507048880526</v>
      </c>
    </row>
    <row r="154" spans="1:12" ht="12.75">
      <c r="A154" t="s">
        <v>289</v>
      </c>
      <c r="B154" s="109">
        <v>21158684.034087118</v>
      </c>
      <c r="C154" s="109">
        <v>21473318.807112228</v>
      </c>
      <c r="D154" s="109">
        <v>21716884.469500676</v>
      </c>
      <c r="E154" s="109">
        <v>21961618.799197957</v>
      </c>
      <c r="F154" s="109">
        <v>22302590.39408726</v>
      </c>
      <c r="H154" s="241">
        <f t="shared" si="11"/>
        <v>1</v>
      </c>
      <c r="I154" s="241">
        <f t="shared" si="12"/>
        <v>1.0148702429942347</v>
      </c>
      <c r="J154" s="241">
        <f t="shared" si="13"/>
        <v>1.0113427116030045</v>
      </c>
      <c r="K154" s="241">
        <f t="shared" si="14"/>
        <v>1.0112693112145523</v>
      </c>
      <c r="L154" s="241">
        <f t="shared" si="15"/>
        <v>1.0155257951614092</v>
      </c>
    </row>
    <row r="155" spans="1:12" ht="12.75">
      <c r="A155" t="s">
        <v>290</v>
      </c>
      <c r="B155" s="109">
        <v>3904613.112934137</v>
      </c>
      <c r="C155" s="109">
        <v>3963923.7652298734</v>
      </c>
      <c r="D155" s="109">
        <v>4066534.835031605</v>
      </c>
      <c r="E155" s="109">
        <v>4089663.5406382154</v>
      </c>
      <c r="F155" s="109">
        <v>4153926.8296395894</v>
      </c>
      <c r="H155" s="241">
        <f t="shared" si="11"/>
        <v>1</v>
      </c>
      <c r="I155" s="241">
        <f t="shared" si="12"/>
        <v>1.0151898922070584</v>
      </c>
      <c r="J155" s="241">
        <f t="shared" si="13"/>
        <v>1.02588623694073</v>
      </c>
      <c r="K155" s="241">
        <f t="shared" si="14"/>
        <v>1.0056875710020643</v>
      </c>
      <c r="L155" s="241">
        <f t="shared" si="15"/>
        <v>1.0157135882604527</v>
      </c>
    </row>
    <row r="156" spans="1:12" ht="12.75">
      <c r="A156" t="s">
        <v>291</v>
      </c>
      <c r="B156" s="109">
        <v>6886483.250165154</v>
      </c>
      <c r="C156" s="109">
        <v>7059223.721065597</v>
      </c>
      <c r="D156" s="109">
        <v>7200158.308586779</v>
      </c>
      <c r="E156" s="109">
        <v>7346801.805963168</v>
      </c>
      <c r="F156" s="109">
        <v>7529445.159189353</v>
      </c>
      <c r="H156" s="241">
        <f t="shared" si="11"/>
        <v>1</v>
      </c>
      <c r="I156" s="241">
        <f t="shared" si="12"/>
        <v>1.0250839891168397</v>
      </c>
      <c r="J156" s="241">
        <f t="shared" si="13"/>
        <v>1.0199646013626988</v>
      </c>
      <c r="K156" s="241">
        <f t="shared" si="14"/>
        <v>1.0203667046044675</v>
      </c>
      <c r="L156" s="241">
        <f t="shared" si="15"/>
        <v>1.024860253216296</v>
      </c>
    </row>
    <row r="157" spans="1:12" ht="12.75">
      <c r="A157" t="s">
        <v>292</v>
      </c>
      <c r="B157" s="109">
        <v>42985402.63374655</v>
      </c>
      <c r="C157" s="109">
        <v>44034884.49594119</v>
      </c>
      <c r="D157" s="109">
        <v>45190685.48912321</v>
      </c>
      <c r="E157" s="109">
        <v>46313224.001985304</v>
      </c>
      <c r="F157" s="109">
        <v>47484719.02711828</v>
      </c>
      <c r="H157" s="241">
        <f t="shared" si="11"/>
        <v>1</v>
      </c>
      <c r="I157" s="241">
        <f t="shared" si="12"/>
        <v>1.0244148431302753</v>
      </c>
      <c r="J157" s="241">
        <f t="shared" si="13"/>
        <v>1.0262473946829258</v>
      </c>
      <c r="K157" s="241">
        <f t="shared" si="14"/>
        <v>1.0248400417190457</v>
      </c>
      <c r="L157" s="241">
        <f t="shared" si="15"/>
        <v>1.0252950437024804</v>
      </c>
    </row>
    <row r="158" spans="1:12" ht="12.75">
      <c r="A158" t="s">
        <v>293</v>
      </c>
      <c r="B158" s="109">
        <v>22924307.380551256</v>
      </c>
      <c r="C158" s="109">
        <v>23391004.77048631</v>
      </c>
      <c r="D158" s="109">
        <v>23782710.54277173</v>
      </c>
      <c r="E158" s="109">
        <v>24237675.239622395</v>
      </c>
      <c r="F158" s="109">
        <v>24668811.83726343</v>
      </c>
      <c r="H158" s="241">
        <f t="shared" si="11"/>
        <v>1</v>
      </c>
      <c r="I158" s="241">
        <f t="shared" si="12"/>
        <v>1.0203581893309892</v>
      </c>
      <c r="J158" s="241">
        <f t="shared" si="13"/>
        <v>1.0167460002735607</v>
      </c>
      <c r="K158" s="241">
        <f t="shared" si="14"/>
        <v>1.0191300607234166</v>
      </c>
      <c r="L158" s="241">
        <f t="shared" si="15"/>
        <v>1.0177878692316265</v>
      </c>
    </row>
    <row r="159" spans="1:12" ht="12.75">
      <c r="A159" t="s">
        <v>294</v>
      </c>
      <c r="B159" s="109">
        <v>15857705.966063527</v>
      </c>
      <c r="C159" s="109">
        <v>16012014.57620349</v>
      </c>
      <c r="D159" s="109">
        <v>16303208.76097111</v>
      </c>
      <c r="E159" s="109">
        <v>16571513.874075083</v>
      </c>
      <c r="F159" s="109">
        <v>16725500.684329694</v>
      </c>
      <c r="H159" s="241">
        <f t="shared" si="11"/>
        <v>1</v>
      </c>
      <c r="I159" s="241">
        <f t="shared" si="12"/>
        <v>1.0097308280573616</v>
      </c>
      <c r="J159" s="241">
        <f t="shared" si="13"/>
        <v>1.0181859804949456</v>
      </c>
      <c r="K159" s="241">
        <f t="shared" si="14"/>
        <v>1.016457196680587</v>
      </c>
      <c r="L159" s="241">
        <f t="shared" si="15"/>
        <v>1.0092922596827747</v>
      </c>
    </row>
    <row r="160" spans="1:12" ht="12.75">
      <c r="A160" t="s">
        <v>295</v>
      </c>
      <c r="B160" s="109">
        <v>3920207.119955944</v>
      </c>
      <c r="C160" s="109">
        <v>3966836.324607082</v>
      </c>
      <c r="D160" s="109">
        <v>4048935.6286080964</v>
      </c>
      <c r="E160" s="109">
        <v>4131980.0146101504</v>
      </c>
      <c r="F160" s="109">
        <v>4179371.036278228</v>
      </c>
      <c r="H160" s="241">
        <f t="shared" si="11"/>
        <v>1</v>
      </c>
      <c r="I160" s="241">
        <f t="shared" si="12"/>
        <v>1.0118945767976826</v>
      </c>
      <c r="J160" s="241">
        <f t="shared" si="13"/>
        <v>1.0206964183250353</v>
      </c>
      <c r="K160" s="241">
        <f t="shared" si="14"/>
        <v>1.0205101769006395</v>
      </c>
      <c r="L160" s="241">
        <f t="shared" si="15"/>
        <v>1.011469324996856</v>
      </c>
    </row>
    <row r="161" spans="1:12" ht="12.75">
      <c r="A161" t="s">
        <v>296</v>
      </c>
      <c r="B161" s="109">
        <v>45366680.0653547</v>
      </c>
      <c r="C161" s="109">
        <v>46287856.21970945</v>
      </c>
      <c r="D161" s="109">
        <v>47160712.758096285</v>
      </c>
      <c r="E161" s="109">
        <v>48094379.57708549</v>
      </c>
      <c r="F161" s="109">
        <v>48824509.00932187</v>
      </c>
      <c r="H161" s="241">
        <f t="shared" si="11"/>
        <v>1</v>
      </c>
      <c r="I161" s="241">
        <f t="shared" si="12"/>
        <v>1.0203051259873483</v>
      </c>
      <c r="J161" s="241">
        <f t="shared" si="13"/>
        <v>1.0188571389922174</v>
      </c>
      <c r="K161" s="241">
        <f t="shared" si="14"/>
        <v>1.0197975553036762</v>
      </c>
      <c r="L161" s="241">
        <f t="shared" si="15"/>
        <v>1.0151811799768855</v>
      </c>
    </row>
    <row r="162" spans="1:12" ht="12.75">
      <c r="A162" t="s">
        <v>298</v>
      </c>
      <c r="B162" s="109">
        <v>14351305.07901061</v>
      </c>
      <c r="C162" s="109">
        <v>14397555.404091608</v>
      </c>
      <c r="D162" s="109">
        <v>14670738.931821194</v>
      </c>
      <c r="E162" s="109">
        <v>14884891.713990027</v>
      </c>
      <c r="F162" s="109">
        <v>14965606.012468638</v>
      </c>
      <c r="H162" s="241">
        <f t="shared" si="11"/>
        <v>1</v>
      </c>
      <c r="I162" s="241">
        <f t="shared" si="12"/>
        <v>1.0032227260744837</v>
      </c>
      <c r="J162" s="241">
        <f t="shared" si="13"/>
        <v>1.0189742994600286</v>
      </c>
      <c r="K162" s="241">
        <f t="shared" si="14"/>
        <v>1.0145972730592547</v>
      </c>
      <c r="L162" s="241">
        <f t="shared" si="15"/>
        <v>1.005422565379011</v>
      </c>
    </row>
    <row r="163" spans="1:12" ht="12.75">
      <c r="A163" t="s">
        <v>297</v>
      </c>
      <c r="B163" s="109">
        <v>21056284.62825835</v>
      </c>
      <c r="C163" s="109">
        <v>21203952.94152641</v>
      </c>
      <c r="D163" s="109">
        <v>21297876.804189347</v>
      </c>
      <c r="E163" s="109">
        <v>21452244.784778804</v>
      </c>
      <c r="F163" s="109">
        <v>21484775.11063877</v>
      </c>
      <c r="H163" s="241">
        <f t="shared" si="11"/>
        <v>1</v>
      </c>
      <c r="I163" s="241">
        <f t="shared" si="12"/>
        <v>1.0070130279807237</v>
      </c>
      <c r="J163" s="241">
        <f t="shared" si="13"/>
        <v>1.0044295449495644</v>
      </c>
      <c r="K163" s="241">
        <f t="shared" si="14"/>
        <v>1.0072480455215653</v>
      </c>
      <c r="L163" s="241">
        <f t="shared" si="15"/>
        <v>1.001516406613216</v>
      </c>
    </row>
    <row r="164" spans="1:12" ht="12.75">
      <c r="A164" t="s">
        <v>299</v>
      </c>
      <c r="B164" s="109">
        <v>35791162.13585984</v>
      </c>
      <c r="C164" s="109">
        <v>36154767.010576315</v>
      </c>
      <c r="D164" s="109">
        <v>36532647.7553363</v>
      </c>
      <c r="E164" s="109">
        <v>36906617.82913114</v>
      </c>
      <c r="F164" s="109">
        <v>37180632.92669857</v>
      </c>
      <c r="H164" s="241">
        <f t="shared" si="11"/>
        <v>1</v>
      </c>
      <c r="I164" s="241">
        <f t="shared" si="12"/>
        <v>1.0101590686923287</v>
      </c>
      <c r="J164" s="241">
        <f t="shared" si="13"/>
        <v>1.0104517543882787</v>
      </c>
      <c r="K164" s="241">
        <f t="shared" si="14"/>
        <v>1.0102365992276106</v>
      </c>
      <c r="L164" s="241">
        <f t="shared" si="15"/>
        <v>1.0074245518469358</v>
      </c>
    </row>
    <row r="165" spans="1:12" ht="12.75">
      <c r="A165" t="s">
        <v>300</v>
      </c>
      <c r="B165" s="109">
        <v>10921909.3356107</v>
      </c>
      <c r="C165" s="109">
        <v>11055947.429152925</v>
      </c>
      <c r="D165" s="109">
        <v>11152115.58840073</v>
      </c>
      <c r="E165" s="109">
        <v>11356824.67984029</v>
      </c>
      <c r="F165" s="109">
        <v>11568400.889118817</v>
      </c>
      <c r="H165" s="241">
        <f t="shared" si="11"/>
        <v>1</v>
      </c>
      <c r="I165" s="241">
        <f t="shared" si="12"/>
        <v>1.0122724048903422</v>
      </c>
      <c r="J165" s="241">
        <f t="shared" si="13"/>
        <v>1.0086983191503087</v>
      </c>
      <c r="K165" s="241">
        <f t="shared" si="14"/>
        <v>1.0183560769090734</v>
      </c>
      <c r="L165" s="241">
        <f t="shared" si="15"/>
        <v>1.0186298736876778</v>
      </c>
    </row>
    <row r="166" spans="1:12" ht="12.75">
      <c r="A166" t="s">
        <v>301</v>
      </c>
      <c r="B166" s="109">
        <v>28082732.346690197</v>
      </c>
      <c r="C166" s="109">
        <v>28621073.26127532</v>
      </c>
      <c r="D166" s="109">
        <v>29005695.593060784</v>
      </c>
      <c r="E166" s="109">
        <v>29486694.837607335</v>
      </c>
      <c r="F166" s="109">
        <v>29849513.3302126</v>
      </c>
      <c r="H166" s="241">
        <f t="shared" si="11"/>
        <v>1</v>
      </c>
      <c r="I166" s="241">
        <f t="shared" si="12"/>
        <v>1.0191698196578287</v>
      </c>
      <c r="J166" s="241">
        <f t="shared" si="13"/>
        <v>1.0134384314757987</v>
      </c>
      <c r="K166" s="241">
        <f t="shared" si="14"/>
        <v>1.0165829239641342</v>
      </c>
      <c r="L166" s="241">
        <f t="shared" si="15"/>
        <v>1.0123044815501847</v>
      </c>
    </row>
    <row r="167" spans="1:12" ht="12.75">
      <c r="A167" t="s">
        <v>302</v>
      </c>
      <c r="B167" s="109">
        <v>66769302.14317025</v>
      </c>
      <c r="C167" s="109">
        <v>68083667.64297809</v>
      </c>
      <c r="D167" s="109">
        <v>69327698.28398673</v>
      </c>
      <c r="E167" s="109">
        <v>70385370.96059698</v>
      </c>
      <c r="F167" s="109">
        <v>71459687.85640635</v>
      </c>
      <c r="H167" s="241">
        <f t="shared" si="11"/>
        <v>1</v>
      </c>
      <c r="I167" s="241">
        <f t="shared" si="12"/>
        <v>1.0196851765350117</v>
      </c>
      <c r="J167" s="241">
        <f t="shared" si="13"/>
        <v>1.018272086156289</v>
      </c>
      <c r="K167" s="241">
        <f t="shared" si="14"/>
        <v>1.0152561343126913</v>
      </c>
      <c r="L167" s="241">
        <f t="shared" si="15"/>
        <v>1.0152633548867815</v>
      </c>
    </row>
    <row r="168" spans="1:12" ht="12.75">
      <c r="A168" t="s">
        <v>303</v>
      </c>
      <c r="B168" s="109">
        <v>11179314.459523497</v>
      </c>
      <c r="C168" s="109">
        <v>11453370.224641448</v>
      </c>
      <c r="D168" s="109">
        <v>11627926.917190569</v>
      </c>
      <c r="E168" s="109">
        <v>11884944.970746348</v>
      </c>
      <c r="F168" s="109">
        <v>12146335.969379626</v>
      </c>
      <c r="H168" s="241">
        <f t="shared" si="11"/>
        <v>1</v>
      </c>
      <c r="I168" s="241">
        <f t="shared" si="12"/>
        <v>1.024514541218982</v>
      </c>
      <c r="J168" s="241">
        <f t="shared" si="13"/>
        <v>1.0152406400147242</v>
      </c>
      <c r="K168" s="241">
        <f t="shared" si="14"/>
        <v>1.0221035147009574</v>
      </c>
      <c r="L168" s="241">
        <f t="shared" si="15"/>
        <v>1.0219934546837757</v>
      </c>
    </row>
    <row r="169" spans="1:12" ht="12.75">
      <c r="A169" t="s">
        <v>304</v>
      </c>
      <c r="B169" s="109">
        <v>17855321.729300167</v>
      </c>
      <c r="C169" s="109">
        <v>17883844.65925443</v>
      </c>
      <c r="D169" s="109">
        <v>18057059.751150183</v>
      </c>
      <c r="E169" s="109">
        <v>18230356.13645446</v>
      </c>
      <c r="F169" s="109">
        <v>18488034.64611875</v>
      </c>
      <c r="H169" s="241">
        <f t="shared" si="11"/>
        <v>1</v>
      </c>
      <c r="I169" s="241">
        <f t="shared" si="12"/>
        <v>1.0015974469901294</v>
      </c>
      <c r="J169" s="241">
        <f t="shared" si="13"/>
        <v>1.0096855623159373</v>
      </c>
      <c r="K169" s="241">
        <f t="shared" si="14"/>
        <v>1.0095971541154831</v>
      </c>
      <c r="L169" s="241">
        <f t="shared" si="15"/>
        <v>1.0141345845213094</v>
      </c>
    </row>
    <row r="170" spans="1:12" ht="12.75">
      <c r="A170" t="s">
        <v>305</v>
      </c>
      <c r="B170" s="109">
        <v>90799710.42189606</v>
      </c>
      <c r="C170" s="109">
        <v>92194212.45506476</v>
      </c>
      <c r="D170" s="109">
        <v>93768016.99763212</v>
      </c>
      <c r="E170" s="109">
        <v>95602827.05980226</v>
      </c>
      <c r="F170" s="109">
        <v>97362593.50275457</v>
      </c>
      <c r="H170" s="241">
        <f t="shared" si="11"/>
        <v>1</v>
      </c>
      <c r="I170" s="241">
        <f t="shared" si="12"/>
        <v>1.0153580008866683</v>
      </c>
      <c r="J170" s="241">
        <f t="shared" si="13"/>
        <v>1.0170705351307645</v>
      </c>
      <c r="K170" s="241">
        <f t="shared" si="14"/>
        <v>1.0195675468130725</v>
      </c>
      <c r="L170" s="241">
        <f t="shared" si="15"/>
        <v>1.0184070544467427</v>
      </c>
    </row>
    <row r="171" spans="1:12" ht="12.75">
      <c r="A171" t="s">
        <v>306</v>
      </c>
      <c r="B171" s="109">
        <v>22505196.06796175</v>
      </c>
      <c r="C171" s="109">
        <v>23069040.04759526</v>
      </c>
      <c r="D171" s="109">
        <v>23510141.767843135</v>
      </c>
      <c r="E171" s="109">
        <v>24085252.19982506</v>
      </c>
      <c r="F171" s="109">
        <v>24549754.711187128</v>
      </c>
      <c r="H171" s="241">
        <f t="shared" si="11"/>
        <v>1</v>
      </c>
      <c r="I171" s="241">
        <f t="shared" si="12"/>
        <v>1.0250539465610875</v>
      </c>
      <c r="J171" s="241">
        <f t="shared" si="13"/>
        <v>1.0191209395509224</v>
      </c>
      <c r="K171" s="241">
        <f t="shared" si="14"/>
        <v>1.0244622273085802</v>
      </c>
      <c r="L171" s="241">
        <f t="shared" si="15"/>
        <v>1.0192857648949776</v>
      </c>
    </row>
    <row r="172" spans="1:12" ht="12.75">
      <c r="A172" t="s">
        <v>307</v>
      </c>
      <c r="B172" s="109">
        <v>32222447.727632362</v>
      </c>
      <c r="C172" s="109">
        <v>32562253.17701193</v>
      </c>
      <c r="D172" s="109">
        <v>33002951.931468718</v>
      </c>
      <c r="E172" s="109">
        <v>33496911.170985203</v>
      </c>
      <c r="F172" s="109">
        <v>33799718.89341773</v>
      </c>
      <c r="H172" s="241">
        <f t="shared" si="11"/>
        <v>1</v>
      </c>
      <c r="I172" s="241">
        <f t="shared" si="12"/>
        <v>1.010545612557179</v>
      </c>
      <c r="J172" s="241">
        <f t="shared" si="13"/>
        <v>1.013534037465439</v>
      </c>
      <c r="K172" s="241">
        <f t="shared" si="14"/>
        <v>1.0149671229574313</v>
      </c>
      <c r="L172" s="241">
        <f t="shared" si="15"/>
        <v>1.0090398700013516</v>
      </c>
    </row>
    <row r="173" spans="1:12" ht="12.75">
      <c r="A173" t="s">
        <v>308</v>
      </c>
      <c r="B173" s="109">
        <v>2527905.294457203</v>
      </c>
      <c r="C173" s="109">
        <v>2578802.331287933</v>
      </c>
      <c r="D173" s="109">
        <v>2630728.1739964797</v>
      </c>
      <c r="E173" s="109">
        <v>2683704.3981253835</v>
      </c>
      <c r="F173" s="109">
        <v>2738268.5262805405</v>
      </c>
      <c r="H173" s="241">
        <f t="shared" si="11"/>
        <v>1</v>
      </c>
      <c r="I173" s="241">
        <f t="shared" si="12"/>
        <v>1.0201340758066884</v>
      </c>
      <c r="J173" s="241">
        <f t="shared" si="13"/>
        <v>1.0201356428441777</v>
      </c>
      <c r="K173" s="241">
        <f t="shared" si="14"/>
        <v>1.0201374754915955</v>
      </c>
      <c r="L173" s="241">
        <f t="shared" si="15"/>
        <v>1.0203316461355696</v>
      </c>
    </row>
    <row r="174" spans="1:12" ht="12.75">
      <c r="A174" t="s">
        <v>309</v>
      </c>
      <c r="B174" s="109">
        <v>21260014.61282436</v>
      </c>
      <c r="C174" s="109">
        <v>21488968.130202778</v>
      </c>
      <c r="D174" s="109">
        <v>21652146.07124259</v>
      </c>
      <c r="E174" s="109">
        <v>21996588.869060047</v>
      </c>
      <c r="F174" s="109">
        <v>22350018.90277986</v>
      </c>
      <c r="H174" s="241">
        <f t="shared" si="11"/>
        <v>1</v>
      </c>
      <c r="I174" s="241">
        <f t="shared" si="12"/>
        <v>1.010769207902628</v>
      </c>
      <c r="J174" s="241">
        <f t="shared" si="13"/>
        <v>1.007593568013648</v>
      </c>
      <c r="K174" s="241">
        <f t="shared" si="14"/>
        <v>1.0159080211580012</v>
      </c>
      <c r="L174" s="241">
        <f t="shared" si="15"/>
        <v>1.0160674928200772</v>
      </c>
    </row>
    <row r="175" spans="1:12" ht="12.75">
      <c r="A175" t="s">
        <v>310</v>
      </c>
      <c r="B175" s="109">
        <v>19074878.590839785</v>
      </c>
      <c r="C175" s="109">
        <v>19217887.486450434</v>
      </c>
      <c r="D175" s="109">
        <v>19363138.299871303</v>
      </c>
      <c r="E175" s="109">
        <v>19512038.482728884</v>
      </c>
      <c r="F175" s="109">
        <v>19647326.745170165</v>
      </c>
      <c r="H175" s="241">
        <f t="shared" si="11"/>
        <v>1</v>
      </c>
      <c r="I175" s="241">
        <f t="shared" si="12"/>
        <v>1.0074972375278617</v>
      </c>
      <c r="J175" s="241">
        <f t="shared" si="13"/>
        <v>1.0075581050999116</v>
      </c>
      <c r="K175" s="241">
        <f t="shared" si="14"/>
        <v>1.0076898786008552</v>
      </c>
      <c r="L175" s="241">
        <f t="shared" si="15"/>
        <v>1.0069335791112257</v>
      </c>
    </row>
    <row r="176" spans="1:12" ht="12.75">
      <c r="A176" t="s">
        <v>311</v>
      </c>
      <c r="B176" s="109">
        <v>447162774.5919102</v>
      </c>
      <c r="C176" s="109">
        <v>458470426.51781607</v>
      </c>
      <c r="D176" s="109">
        <v>469346897.08807594</v>
      </c>
      <c r="E176" s="109">
        <v>480461428.7837193</v>
      </c>
      <c r="F176" s="109">
        <v>491097875.90725523</v>
      </c>
      <c r="H176" s="241">
        <f t="shared" si="11"/>
        <v>1</v>
      </c>
      <c r="I176" s="241">
        <f t="shared" si="12"/>
        <v>1.0252875520244848</v>
      </c>
      <c r="J176" s="241">
        <f t="shared" si="13"/>
        <v>1.023723385285435</v>
      </c>
      <c r="K176" s="241">
        <f t="shared" si="14"/>
        <v>1.0236808462239768</v>
      </c>
      <c r="L176" s="241">
        <f t="shared" si="15"/>
        <v>1.0221379833766508</v>
      </c>
    </row>
    <row r="177" spans="1:12" ht="12.75">
      <c r="A177" t="s">
        <v>313</v>
      </c>
      <c r="B177" s="109">
        <v>5937700.638334576</v>
      </c>
      <c r="C177" s="109">
        <v>5991617.598287389</v>
      </c>
      <c r="D177" s="109">
        <v>6082046.21620905</v>
      </c>
      <c r="E177" s="109">
        <v>6176584.239421537</v>
      </c>
      <c r="F177" s="109">
        <v>6274440.213360066</v>
      </c>
      <c r="H177" s="241">
        <f t="shared" si="11"/>
        <v>1</v>
      </c>
      <c r="I177" s="241">
        <f t="shared" si="12"/>
        <v>1.0090804443061203</v>
      </c>
      <c r="J177" s="241">
        <f t="shared" si="13"/>
        <v>1.015092521583405</v>
      </c>
      <c r="K177" s="241">
        <f t="shared" si="14"/>
        <v>1.0155437857345668</v>
      </c>
      <c r="L177" s="241">
        <f t="shared" si="15"/>
        <v>1.0158430566386467</v>
      </c>
    </row>
    <row r="178" spans="1:12" ht="12.75">
      <c r="A178" t="s">
        <v>314</v>
      </c>
      <c r="B178" s="109">
        <v>24056451.67704868</v>
      </c>
      <c r="C178" s="109">
        <v>24591487.319336966</v>
      </c>
      <c r="D178" s="109">
        <v>25291225.373319514</v>
      </c>
      <c r="E178" s="109">
        <v>25817059.955031324</v>
      </c>
      <c r="F178" s="109">
        <v>26431567.85317778</v>
      </c>
      <c r="H178" s="241">
        <f t="shared" si="11"/>
        <v>1</v>
      </c>
      <c r="I178" s="241">
        <f t="shared" si="12"/>
        <v>1.0222408379037355</v>
      </c>
      <c r="J178" s="241">
        <f t="shared" si="13"/>
        <v>1.0284544828418054</v>
      </c>
      <c r="K178" s="241">
        <f t="shared" si="14"/>
        <v>1.0207911864273105</v>
      </c>
      <c r="L178" s="241">
        <f t="shared" si="15"/>
        <v>1.0238023965245002</v>
      </c>
    </row>
    <row r="179" spans="1:12" ht="12.75">
      <c r="A179" t="s">
        <v>315</v>
      </c>
      <c r="B179" s="109">
        <v>8973226.628035465</v>
      </c>
      <c r="C179" s="109">
        <v>9055628.772699105</v>
      </c>
      <c r="D179" s="109">
        <v>9143265.85385241</v>
      </c>
      <c r="E179" s="109">
        <v>9208483.604636345</v>
      </c>
      <c r="F179" s="109">
        <v>9408833.069661135</v>
      </c>
      <c r="H179" s="241">
        <f t="shared" si="11"/>
        <v>1</v>
      </c>
      <c r="I179" s="241">
        <f t="shared" si="12"/>
        <v>1.009183111948403</v>
      </c>
      <c r="J179" s="241">
        <f t="shared" si="13"/>
        <v>1.0096776362363167</v>
      </c>
      <c r="K179" s="241">
        <f t="shared" si="14"/>
        <v>1.007132872632863</v>
      </c>
      <c r="L179" s="241">
        <f t="shared" si="15"/>
        <v>1.0217570529119384</v>
      </c>
    </row>
    <row r="180" spans="1:12" ht="12.75">
      <c r="A180" t="s">
        <v>316</v>
      </c>
      <c r="B180" s="109">
        <v>9460403.588305406</v>
      </c>
      <c r="C180" s="109">
        <v>9530320.520608902</v>
      </c>
      <c r="D180" s="109">
        <v>9588968.282074511</v>
      </c>
      <c r="E180" s="109">
        <v>9695046.90206221</v>
      </c>
      <c r="F180" s="109">
        <v>9803703.001106845</v>
      </c>
      <c r="H180" s="241">
        <f t="shared" si="11"/>
        <v>1</v>
      </c>
      <c r="I180" s="241">
        <f t="shared" si="12"/>
        <v>1.007390480929368</v>
      </c>
      <c r="J180" s="241">
        <f t="shared" si="13"/>
        <v>1.0061538078744345</v>
      </c>
      <c r="K180" s="241">
        <f t="shared" si="14"/>
        <v>1.0110625686588202</v>
      </c>
      <c r="L180" s="241">
        <f t="shared" si="15"/>
        <v>1.0112073825059602</v>
      </c>
    </row>
    <row r="181" spans="1:12" ht="12.75">
      <c r="A181" t="s">
        <v>317</v>
      </c>
      <c r="B181" s="109">
        <v>13547551.574692424</v>
      </c>
      <c r="C181" s="109">
        <v>13696488.85944515</v>
      </c>
      <c r="D181" s="109">
        <v>13893091.336185884</v>
      </c>
      <c r="E181" s="109">
        <v>14003584.187984336</v>
      </c>
      <c r="F181" s="109">
        <v>14076424.104187053</v>
      </c>
      <c r="H181" s="241">
        <f t="shared" si="11"/>
        <v>1</v>
      </c>
      <c r="I181" s="241">
        <f t="shared" si="12"/>
        <v>1.0109936680389502</v>
      </c>
      <c r="J181" s="241">
        <f t="shared" si="13"/>
        <v>1.0143542245577162</v>
      </c>
      <c r="K181" s="241">
        <f t="shared" si="14"/>
        <v>1.0079530789170488</v>
      </c>
      <c r="L181" s="241">
        <f t="shared" si="15"/>
        <v>1.0052015194985022</v>
      </c>
    </row>
    <row r="182" spans="1:12" ht="12.75">
      <c r="A182" t="s">
        <v>318</v>
      </c>
      <c r="B182" s="109">
        <v>2965825.2320964593</v>
      </c>
      <c r="C182" s="109">
        <v>3013294.9831336937</v>
      </c>
      <c r="D182" s="109">
        <v>3063193.269294348</v>
      </c>
      <c r="E182" s="109">
        <v>3117378.427893731</v>
      </c>
      <c r="F182" s="109">
        <v>3167168.239278266</v>
      </c>
      <c r="H182" s="241">
        <f t="shared" si="11"/>
        <v>1</v>
      </c>
      <c r="I182" s="241">
        <f t="shared" si="12"/>
        <v>1.0160055793320226</v>
      </c>
      <c r="J182" s="241">
        <f t="shared" si="13"/>
        <v>1.016559376509751</v>
      </c>
      <c r="K182" s="241">
        <f t="shared" si="14"/>
        <v>1.0176891086640005</v>
      </c>
      <c r="L182" s="241">
        <f t="shared" si="15"/>
        <v>1.0159716930543385</v>
      </c>
    </row>
    <row r="183" spans="1:12" ht="12.75">
      <c r="A183" t="s">
        <v>320</v>
      </c>
      <c r="B183" s="109">
        <v>7677410.007690864</v>
      </c>
      <c r="C183" s="109">
        <v>7761455.354900486</v>
      </c>
      <c r="D183" s="109">
        <v>7898885.057761401</v>
      </c>
      <c r="E183" s="109">
        <v>8039661.20264411</v>
      </c>
      <c r="F183" s="109">
        <v>8181965.155836912</v>
      </c>
      <c r="H183" s="241">
        <f t="shared" si="11"/>
        <v>1</v>
      </c>
      <c r="I183" s="241">
        <f t="shared" si="12"/>
        <v>1.0109470963678415</v>
      </c>
      <c r="J183" s="241">
        <f t="shared" si="13"/>
        <v>1.0177066924406315</v>
      </c>
      <c r="K183" s="241">
        <f t="shared" si="14"/>
        <v>1.017822280467847</v>
      </c>
      <c r="L183" s="241">
        <f t="shared" si="15"/>
        <v>1.0177002425358423</v>
      </c>
    </row>
    <row r="184" spans="1:12" ht="12.75">
      <c r="A184" t="s">
        <v>321</v>
      </c>
      <c r="B184" s="109">
        <v>4345801.594614377</v>
      </c>
      <c r="C184" s="109">
        <v>4416525.7642093245</v>
      </c>
      <c r="D184" s="109">
        <v>4489256.748940931</v>
      </c>
      <c r="E184" s="109">
        <v>4564990.189317859</v>
      </c>
      <c r="F184" s="109">
        <v>4641966.8221516665</v>
      </c>
      <c r="H184" s="241">
        <f t="shared" si="11"/>
        <v>1</v>
      </c>
      <c r="I184" s="241">
        <f t="shared" si="12"/>
        <v>1.0162741367858563</v>
      </c>
      <c r="J184" s="241">
        <f t="shared" si="13"/>
        <v>1.0164679181362428</v>
      </c>
      <c r="K184" s="241">
        <f t="shared" si="14"/>
        <v>1.0168699285009248</v>
      </c>
      <c r="L184" s="241">
        <f t="shared" si="15"/>
        <v>1.0168623873527558</v>
      </c>
    </row>
    <row r="185" spans="1:12" ht="12.75">
      <c r="A185" t="s">
        <v>322</v>
      </c>
      <c r="B185" s="109">
        <v>11350357.771960137</v>
      </c>
      <c r="C185" s="109">
        <v>11531210.422465228</v>
      </c>
      <c r="D185" s="109">
        <v>11769176.184195794</v>
      </c>
      <c r="E185" s="109">
        <v>12011175.513887206</v>
      </c>
      <c r="F185" s="109">
        <v>12255130.133206472</v>
      </c>
      <c r="H185" s="241">
        <f t="shared" si="11"/>
        <v>1</v>
      </c>
      <c r="I185" s="241">
        <f t="shared" si="12"/>
        <v>1.0159336519727922</v>
      </c>
      <c r="J185" s="241">
        <f t="shared" si="13"/>
        <v>1.0206366680523806</v>
      </c>
      <c r="K185" s="241">
        <f t="shared" si="14"/>
        <v>1.0205621299149537</v>
      </c>
      <c r="L185" s="241">
        <f t="shared" si="15"/>
        <v>1.0203106364599541</v>
      </c>
    </row>
    <row r="186" spans="1:12" ht="12.75">
      <c r="A186" t="s">
        <v>323</v>
      </c>
      <c r="B186" s="109">
        <v>33789121.71569427</v>
      </c>
      <c r="C186" s="109">
        <v>34115253.99462125</v>
      </c>
      <c r="D186" s="109">
        <v>34397298.066515245</v>
      </c>
      <c r="E186" s="109">
        <v>34715685.245303206</v>
      </c>
      <c r="F186" s="109">
        <v>34988795.69926473</v>
      </c>
      <c r="H186" s="241">
        <f t="shared" si="11"/>
        <v>1</v>
      </c>
      <c r="I186" s="241">
        <f t="shared" si="12"/>
        <v>1.0096519904148764</v>
      </c>
      <c r="J186" s="241">
        <f t="shared" si="13"/>
        <v>1.008267388891153</v>
      </c>
      <c r="K186" s="241">
        <f t="shared" si="14"/>
        <v>1.0092561682656669</v>
      </c>
      <c r="L186" s="241">
        <f t="shared" si="15"/>
        <v>1.0078670621660413</v>
      </c>
    </row>
    <row r="187" spans="1:12" ht="12.75">
      <c r="A187" t="s">
        <v>324</v>
      </c>
      <c r="B187" s="109">
        <v>9498150.849963387</v>
      </c>
      <c r="C187" s="109">
        <v>9589578.408874234</v>
      </c>
      <c r="D187" s="109">
        <v>9737061.323972754</v>
      </c>
      <c r="E187" s="109">
        <v>9940993.367329061</v>
      </c>
      <c r="F187" s="109">
        <v>10024957.240375048</v>
      </c>
      <c r="H187" s="241">
        <f t="shared" si="11"/>
        <v>1</v>
      </c>
      <c r="I187" s="241">
        <f t="shared" si="12"/>
        <v>1.0096258272115355</v>
      </c>
      <c r="J187" s="241">
        <f t="shared" si="13"/>
        <v>1.0153794993700702</v>
      </c>
      <c r="K187" s="241">
        <f t="shared" si="14"/>
        <v>1.0209439004819887</v>
      </c>
      <c r="L187" s="241">
        <f t="shared" si="15"/>
        <v>1.0084462256379663</v>
      </c>
    </row>
    <row r="188" spans="1:12" ht="12.75">
      <c r="A188" t="s">
        <v>325</v>
      </c>
      <c r="B188" s="109">
        <v>44342126.210880406</v>
      </c>
      <c r="C188" s="109">
        <v>45258698.49340131</v>
      </c>
      <c r="D188" s="109">
        <v>45781515.2652543</v>
      </c>
      <c r="E188" s="109">
        <v>46489213.178884</v>
      </c>
      <c r="F188" s="109">
        <v>47210453.95597959</v>
      </c>
      <c r="H188" s="241">
        <f t="shared" si="11"/>
        <v>1</v>
      </c>
      <c r="I188" s="241">
        <f t="shared" si="12"/>
        <v>1.0206704630752685</v>
      </c>
      <c r="J188" s="241">
        <f t="shared" si="13"/>
        <v>1.0115517411957662</v>
      </c>
      <c r="K188" s="241">
        <f t="shared" si="14"/>
        <v>1.0154581583752604</v>
      </c>
      <c r="L188" s="241">
        <f t="shared" si="15"/>
        <v>1.0155141532363725</v>
      </c>
    </row>
    <row r="189" spans="1:12" ht="12.75">
      <c r="A189" t="s">
        <v>131</v>
      </c>
      <c r="B189" s="109">
        <v>27255101.623226732</v>
      </c>
      <c r="C189" s="109">
        <v>27848484.085374862</v>
      </c>
      <c r="D189" s="109">
        <v>28481763.160690583</v>
      </c>
      <c r="E189" s="109">
        <v>28961133.708340395</v>
      </c>
      <c r="F189" s="109">
        <v>29327174.579204053</v>
      </c>
      <c r="H189" s="241">
        <f t="shared" si="11"/>
        <v>1</v>
      </c>
      <c r="I189" s="241">
        <f t="shared" si="12"/>
        <v>1.021771427248778</v>
      </c>
      <c r="J189" s="241">
        <f t="shared" si="13"/>
        <v>1.022740163284087</v>
      </c>
      <c r="K189" s="241">
        <f t="shared" si="14"/>
        <v>1.0168307890542192</v>
      </c>
      <c r="L189" s="241">
        <f t="shared" si="15"/>
        <v>1.0126390380483705</v>
      </c>
    </row>
    <row r="190" spans="1:12" ht="12.75">
      <c r="A190" t="s">
        <v>326</v>
      </c>
      <c r="B190" s="109">
        <v>10959385.748213435</v>
      </c>
      <c r="C190" s="109">
        <v>10919954.011071866</v>
      </c>
      <c r="D190" s="109">
        <v>11058772.27197538</v>
      </c>
      <c r="E190" s="109">
        <v>11222907.305839198</v>
      </c>
      <c r="F190" s="109">
        <v>11335002.099328745</v>
      </c>
      <c r="H190" s="241">
        <f t="shared" si="11"/>
        <v>1</v>
      </c>
      <c r="I190" s="241">
        <f t="shared" si="12"/>
        <v>0.9964020121156885</v>
      </c>
      <c r="J190" s="241">
        <f t="shared" si="13"/>
        <v>1.012712348491831</v>
      </c>
      <c r="K190" s="241">
        <f t="shared" si="14"/>
        <v>1.0148420665357005</v>
      </c>
      <c r="L190" s="241">
        <f t="shared" si="15"/>
        <v>1.0099880352242796</v>
      </c>
    </row>
    <row r="191" spans="1:12" ht="12.75">
      <c r="A191" t="s">
        <v>327</v>
      </c>
      <c r="B191" s="109">
        <v>45058283.37237046</v>
      </c>
      <c r="C191" s="109">
        <v>46304971.33802393</v>
      </c>
      <c r="D191" s="109">
        <v>47722726.21045182</v>
      </c>
      <c r="E191" s="109">
        <v>49080130.152348526</v>
      </c>
      <c r="F191" s="109">
        <v>50480768.9198461</v>
      </c>
      <c r="H191" s="241">
        <f t="shared" si="11"/>
        <v>1</v>
      </c>
      <c r="I191" s="241">
        <f t="shared" si="12"/>
        <v>1.0276683413646854</v>
      </c>
      <c r="J191" s="241">
        <f t="shared" si="13"/>
        <v>1.030617768059467</v>
      </c>
      <c r="K191" s="241">
        <f t="shared" si="14"/>
        <v>1.0284435540398658</v>
      </c>
      <c r="L191" s="241">
        <f t="shared" si="15"/>
        <v>1.0285377965207079</v>
      </c>
    </row>
    <row r="192" spans="1:12" ht="12.75">
      <c r="A192" t="s">
        <v>328</v>
      </c>
      <c r="B192" s="109">
        <v>10404944.042948475</v>
      </c>
      <c r="C192" s="109">
        <v>10552433.796160974</v>
      </c>
      <c r="D192" s="109">
        <v>10677551.603378752</v>
      </c>
      <c r="E192" s="109">
        <v>10936988.547615077</v>
      </c>
      <c r="F192" s="109">
        <v>11137209.498990154</v>
      </c>
      <c r="H192" s="241">
        <f t="shared" si="11"/>
        <v>1</v>
      </c>
      <c r="I192" s="241">
        <f t="shared" si="12"/>
        <v>1.0141749684192154</v>
      </c>
      <c r="J192" s="241">
        <f t="shared" si="13"/>
        <v>1.0118567725355734</v>
      </c>
      <c r="K192" s="241">
        <f t="shared" si="14"/>
        <v>1.024297418909615</v>
      </c>
      <c r="L192" s="241">
        <f t="shared" si="15"/>
        <v>1.0183067716038467</v>
      </c>
    </row>
    <row r="193" spans="1:12" ht="12.75">
      <c r="A193" t="s">
        <v>329</v>
      </c>
      <c r="B193" s="109">
        <v>5203388.239352986</v>
      </c>
      <c r="C193" s="109">
        <v>5280370.547213929</v>
      </c>
      <c r="D193" s="109">
        <v>5359732.376689717</v>
      </c>
      <c r="E193" s="109">
        <v>5404322.622672654</v>
      </c>
      <c r="F193" s="109">
        <v>5529255.65449754</v>
      </c>
      <c r="H193" s="241">
        <f t="shared" si="11"/>
        <v>1</v>
      </c>
      <c r="I193" s="241">
        <f t="shared" si="12"/>
        <v>1.0147946500087632</v>
      </c>
      <c r="J193" s="241">
        <f t="shared" si="13"/>
        <v>1.015029594754039</v>
      </c>
      <c r="K193" s="241">
        <f t="shared" si="14"/>
        <v>1.0083194911329652</v>
      </c>
      <c r="L193" s="241">
        <f t="shared" si="15"/>
        <v>1.0231172416133627</v>
      </c>
    </row>
    <row r="194" spans="1:12" ht="12.75">
      <c r="A194" t="s">
        <v>330</v>
      </c>
      <c r="B194" s="109">
        <v>135377339.61092618</v>
      </c>
      <c r="C194" s="109">
        <v>138220358.90946713</v>
      </c>
      <c r="D194" s="109">
        <v>140477116.95287046</v>
      </c>
      <c r="E194" s="109">
        <v>143190013.62771136</v>
      </c>
      <c r="F194" s="109">
        <v>146001383.1618999</v>
      </c>
      <c r="H194" s="241">
        <f t="shared" si="11"/>
        <v>1</v>
      </c>
      <c r="I194" s="241">
        <f t="shared" si="12"/>
        <v>1.021000702973716</v>
      </c>
      <c r="J194" s="241">
        <f t="shared" si="13"/>
        <v>1.0163272477456196</v>
      </c>
      <c r="K194" s="241">
        <f t="shared" si="14"/>
        <v>1.0193120184531625</v>
      </c>
      <c r="L194" s="241">
        <f t="shared" si="15"/>
        <v>1.0196338380237744</v>
      </c>
    </row>
    <row r="195" spans="1:12" ht="12.75">
      <c r="A195" t="s">
        <v>331</v>
      </c>
      <c r="B195" s="109">
        <v>11054783.709351439</v>
      </c>
      <c r="C195" s="109">
        <v>11181196.982125908</v>
      </c>
      <c r="D195" s="109">
        <v>11223499.682436252</v>
      </c>
      <c r="E195" s="109">
        <v>11300601.317472221</v>
      </c>
      <c r="F195" s="109">
        <v>11458700.530616159</v>
      </c>
      <c r="H195" s="241">
        <f t="shared" si="11"/>
        <v>1</v>
      </c>
      <c r="I195" s="241">
        <f t="shared" si="12"/>
        <v>1.011435164730318</v>
      </c>
      <c r="J195" s="241">
        <f t="shared" si="13"/>
        <v>1.0037833785039265</v>
      </c>
      <c r="K195" s="241">
        <f t="shared" si="14"/>
        <v>1.0068696607312804</v>
      </c>
      <c r="L195" s="241">
        <f t="shared" si="15"/>
        <v>1.0139903363283416</v>
      </c>
    </row>
    <row r="196" spans="1:12" ht="12.75">
      <c r="A196" t="s">
        <v>333</v>
      </c>
      <c r="B196" s="109">
        <v>7049827.793930554</v>
      </c>
      <c r="C196" s="109">
        <v>7177993.208253739</v>
      </c>
      <c r="D196" s="109">
        <v>7240679.118221043</v>
      </c>
      <c r="E196" s="109">
        <v>7343007.519837012</v>
      </c>
      <c r="F196" s="109">
        <v>7389910.314763024</v>
      </c>
      <c r="H196" s="241">
        <f t="shared" si="11"/>
        <v>1</v>
      </c>
      <c r="I196" s="241">
        <f t="shared" si="12"/>
        <v>1.018179935463605</v>
      </c>
      <c r="J196" s="241">
        <f t="shared" si="13"/>
        <v>1.0087330689997343</v>
      </c>
      <c r="K196" s="241">
        <f t="shared" si="14"/>
        <v>1.0141324314950597</v>
      </c>
      <c r="L196" s="241">
        <f t="shared" si="15"/>
        <v>1.006387409354996</v>
      </c>
    </row>
    <row r="197" spans="1:12" ht="12.75">
      <c r="A197" t="s">
        <v>334</v>
      </c>
      <c r="B197" s="109">
        <v>22229703.508266583</v>
      </c>
      <c r="C197" s="109">
        <v>22310962.58403398</v>
      </c>
      <c r="D197" s="109">
        <v>22513670.907961726</v>
      </c>
      <c r="E197" s="109">
        <v>22660708.696113005</v>
      </c>
      <c r="F197" s="109">
        <v>22729608.603333034</v>
      </c>
      <c r="H197" s="241">
        <f t="shared" si="11"/>
        <v>1</v>
      </c>
      <c r="I197" s="241">
        <f t="shared" si="12"/>
        <v>1.0036554277809948</v>
      </c>
      <c r="J197" s="241">
        <f t="shared" si="13"/>
        <v>1.0090855929305715</v>
      </c>
      <c r="K197" s="241">
        <f t="shared" si="14"/>
        <v>1.006531044570758</v>
      </c>
      <c r="L197" s="241">
        <f t="shared" si="15"/>
        <v>1.0030405009897967</v>
      </c>
    </row>
    <row r="198" spans="1:12" ht="12.75">
      <c r="A198" t="s">
        <v>335</v>
      </c>
      <c r="B198" s="109">
        <v>4700052.796724178</v>
      </c>
      <c r="C198" s="109">
        <v>4796518.600204334</v>
      </c>
      <c r="D198" s="109">
        <v>4897701.67430711</v>
      </c>
      <c r="E198" s="109">
        <v>5000322.3278178265</v>
      </c>
      <c r="F198" s="109">
        <v>5105095.0011682045</v>
      </c>
      <c r="H198" s="241">
        <f aca="true" t="shared" si="16" ref="H198:H261">B198/B198</f>
        <v>1</v>
      </c>
      <c r="I198" s="241">
        <f aca="true" t="shared" si="17" ref="I198:I261">C198/B198</f>
        <v>1.020524408480558</v>
      </c>
      <c r="J198" s="241">
        <f aca="true" t="shared" si="18" ref="J198:J261">D198/C198</f>
        <v>1.0210951072093133</v>
      </c>
      <c r="K198" s="241">
        <f aca="true" t="shared" si="19" ref="K198:K261">E198/D198</f>
        <v>1.020952818349279</v>
      </c>
      <c r="L198" s="241">
        <f aca="true" t="shared" si="20" ref="L198:L261">F198/E198</f>
        <v>1.0209531839112662</v>
      </c>
    </row>
    <row r="199" spans="1:12" ht="12.75">
      <c r="A199" t="s">
        <v>336</v>
      </c>
      <c r="B199" s="109">
        <v>7469498.898536216</v>
      </c>
      <c r="C199" s="109">
        <v>7627269.780938379</v>
      </c>
      <c r="D199" s="109">
        <v>7712344.80623779</v>
      </c>
      <c r="E199" s="109">
        <v>7839995.305176943</v>
      </c>
      <c r="F199" s="109">
        <v>7972014.881841828</v>
      </c>
      <c r="H199" s="241">
        <f t="shared" si="16"/>
        <v>1</v>
      </c>
      <c r="I199" s="241">
        <f t="shared" si="17"/>
        <v>1.0211220169579356</v>
      </c>
      <c r="J199" s="241">
        <f t="shared" si="18"/>
        <v>1.0111540600690467</v>
      </c>
      <c r="K199" s="241">
        <f t="shared" si="19"/>
        <v>1.0165514512312661</v>
      </c>
      <c r="L199" s="241">
        <f t="shared" si="20"/>
        <v>1.0168392418012941</v>
      </c>
    </row>
    <row r="200" spans="1:12" ht="12.75">
      <c r="A200" t="s">
        <v>337</v>
      </c>
      <c r="B200" s="109">
        <v>6546089.669966956</v>
      </c>
      <c r="C200" s="109">
        <v>6632531.874808282</v>
      </c>
      <c r="D200" s="109">
        <v>6721081.417257567</v>
      </c>
      <c r="E200" s="109">
        <v>6815645.9143707035</v>
      </c>
      <c r="F200" s="109">
        <v>6912623.278637158</v>
      </c>
      <c r="H200" s="241">
        <f t="shared" si="16"/>
        <v>1</v>
      </c>
      <c r="I200" s="241">
        <f t="shared" si="17"/>
        <v>1.013205166626103</v>
      </c>
      <c r="J200" s="241">
        <f t="shared" si="18"/>
        <v>1.0133507903347763</v>
      </c>
      <c r="K200" s="241">
        <f t="shared" si="19"/>
        <v>1.0140698335940888</v>
      </c>
      <c r="L200" s="241">
        <f t="shared" si="20"/>
        <v>1.0142286388531392</v>
      </c>
    </row>
    <row r="201" spans="1:12" ht="12.75">
      <c r="A201" t="s">
        <v>338</v>
      </c>
      <c r="B201" s="109">
        <v>6077944.407275261</v>
      </c>
      <c r="C201" s="109">
        <v>6155996.915541355</v>
      </c>
      <c r="D201" s="109">
        <v>6194782.18340286</v>
      </c>
      <c r="E201" s="109">
        <v>6277798.592301622</v>
      </c>
      <c r="F201" s="109">
        <v>6406220.195824577</v>
      </c>
      <c r="H201" s="241">
        <f t="shared" si="16"/>
        <v>1</v>
      </c>
      <c r="I201" s="241">
        <f t="shared" si="17"/>
        <v>1.0128419253346024</v>
      </c>
      <c r="J201" s="241">
        <f t="shared" si="18"/>
        <v>1.0063004040439962</v>
      </c>
      <c r="K201" s="241">
        <f t="shared" si="19"/>
        <v>1.0134010214469171</v>
      </c>
      <c r="L201" s="241">
        <f t="shared" si="20"/>
        <v>1.0204564707890496</v>
      </c>
    </row>
    <row r="202" spans="1:12" ht="12.75">
      <c r="A202" t="s">
        <v>132</v>
      </c>
      <c r="B202" s="109">
        <v>12271908.760621833</v>
      </c>
      <c r="C202" s="109">
        <v>12482017.845555611</v>
      </c>
      <c r="D202" s="109">
        <v>12704536.075539246</v>
      </c>
      <c r="E202" s="109">
        <v>13004861.259108918</v>
      </c>
      <c r="F202" s="109">
        <v>13244003.428011458</v>
      </c>
      <c r="H202" s="241">
        <f t="shared" si="16"/>
        <v>1</v>
      </c>
      <c r="I202" s="241">
        <f t="shared" si="17"/>
        <v>1.0171211413833174</v>
      </c>
      <c r="J202" s="241">
        <f t="shared" si="18"/>
        <v>1.0178271039776525</v>
      </c>
      <c r="K202" s="241">
        <f t="shared" si="19"/>
        <v>1.0236392090025157</v>
      </c>
      <c r="L202" s="241">
        <f t="shared" si="20"/>
        <v>1.0183886751375406</v>
      </c>
    </row>
    <row r="203" spans="1:12" ht="12.75">
      <c r="A203" t="s">
        <v>339</v>
      </c>
      <c r="B203" s="109">
        <v>9185848.202172393</v>
      </c>
      <c r="C203" s="109">
        <v>9403702.29225155</v>
      </c>
      <c r="D203" s="109">
        <v>9581179.095997889</v>
      </c>
      <c r="E203" s="109">
        <v>9762755.655674769</v>
      </c>
      <c r="F203" s="109">
        <v>9948539.932760492</v>
      </c>
      <c r="H203" s="241">
        <f t="shared" si="16"/>
        <v>1</v>
      </c>
      <c r="I203" s="241">
        <f t="shared" si="17"/>
        <v>1.0237162736945333</v>
      </c>
      <c r="J203" s="241">
        <f t="shared" si="18"/>
        <v>1.0188730776699062</v>
      </c>
      <c r="K203" s="241">
        <f t="shared" si="19"/>
        <v>1.0189513793508698</v>
      </c>
      <c r="L203" s="241">
        <f t="shared" si="20"/>
        <v>1.0190299013555393</v>
      </c>
    </row>
    <row r="204" spans="1:12" ht="12.75">
      <c r="A204" t="s">
        <v>133</v>
      </c>
      <c r="B204" s="109">
        <v>11732680.484618913</v>
      </c>
      <c r="C204" s="109">
        <v>11684320.18182578</v>
      </c>
      <c r="D204" s="109">
        <v>11703612.518724967</v>
      </c>
      <c r="E204" s="109">
        <v>11841914.46933477</v>
      </c>
      <c r="F204" s="109">
        <v>11909687.17171354</v>
      </c>
      <c r="H204" s="241">
        <f t="shared" si="16"/>
        <v>1</v>
      </c>
      <c r="I204" s="241">
        <f t="shared" si="17"/>
        <v>0.9958781539430369</v>
      </c>
      <c r="J204" s="241">
        <f t="shared" si="18"/>
        <v>1.001651130455086</v>
      </c>
      <c r="K204" s="241">
        <f t="shared" si="19"/>
        <v>1.0118170308858507</v>
      </c>
      <c r="L204" s="241">
        <f t="shared" si="20"/>
        <v>1.0057231204088048</v>
      </c>
    </row>
    <row r="205" spans="1:12" ht="12.75">
      <c r="A205" t="s">
        <v>340</v>
      </c>
      <c r="B205" s="109">
        <v>3927457.0281520095</v>
      </c>
      <c r="C205" s="109">
        <v>4001757.708403962</v>
      </c>
      <c r="D205" s="109">
        <v>4073744.0872311112</v>
      </c>
      <c r="E205" s="109">
        <v>4147017.0231580236</v>
      </c>
      <c r="F205" s="109">
        <v>4221599.304449401</v>
      </c>
      <c r="H205" s="241">
        <f t="shared" si="16"/>
        <v>1</v>
      </c>
      <c r="I205" s="241">
        <f t="shared" si="17"/>
        <v>1.0189182668885657</v>
      </c>
      <c r="J205" s="241">
        <f t="shared" si="18"/>
        <v>1.0179886899888948</v>
      </c>
      <c r="K205" s="241">
        <f t="shared" si="19"/>
        <v>1.0179866320411686</v>
      </c>
      <c r="L205" s="241">
        <f t="shared" si="20"/>
        <v>1.0179845611616472</v>
      </c>
    </row>
    <row r="206" spans="1:12" ht="12.75">
      <c r="A206" t="s">
        <v>341</v>
      </c>
      <c r="B206" s="109">
        <v>6807479.621893859</v>
      </c>
      <c r="C206" s="109">
        <v>6927273.662403998</v>
      </c>
      <c r="D206" s="109">
        <v>7050061.040891798</v>
      </c>
      <c r="E206" s="109">
        <v>7174999.851154283</v>
      </c>
      <c r="F206" s="109">
        <v>7304029.70890679</v>
      </c>
      <c r="H206" s="241">
        <f t="shared" si="16"/>
        <v>1</v>
      </c>
      <c r="I206" s="241">
        <f t="shared" si="17"/>
        <v>1.0175974144858053</v>
      </c>
      <c r="J206" s="241">
        <f t="shared" si="18"/>
        <v>1.0177252097248874</v>
      </c>
      <c r="K206" s="241">
        <f t="shared" si="19"/>
        <v>1.017721663619338</v>
      </c>
      <c r="L206" s="241">
        <f t="shared" si="20"/>
        <v>1.017983255808953</v>
      </c>
    </row>
    <row r="207" spans="1:12" ht="12.75">
      <c r="A207" t="s">
        <v>342</v>
      </c>
      <c r="B207" s="109">
        <v>14442312.180870911</v>
      </c>
      <c r="C207" s="109">
        <v>14528763.521478806</v>
      </c>
      <c r="D207" s="109">
        <v>14585487.697634157</v>
      </c>
      <c r="E207" s="109">
        <v>14699073.57909655</v>
      </c>
      <c r="F207" s="109">
        <v>14791549.280561464</v>
      </c>
      <c r="H207" s="241">
        <f t="shared" si="16"/>
        <v>1</v>
      </c>
      <c r="I207" s="241">
        <f t="shared" si="17"/>
        <v>1.0059859764506685</v>
      </c>
      <c r="J207" s="241">
        <f t="shared" si="18"/>
        <v>1.0039042672882308</v>
      </c>
      <c r="K207" s="241">
        <f t="shared" si="19"/>
        <v>1.0077875957127451</v>
      </c>
      <c r="L207" s="241">
        <f t="shared" si="20"/>
        <v>1.006291260531985</v>
      </c>
    </row>
    <row r="208" spans="1:12" ht="12.75">
      <c r="A208" t="s">
        <v>343</v>
      </c>
      <c r="B208" s="109">
        <v>20338672.035265513</v>
      </c>
      <c r="C208" s="109">
        <v>20820808.873138364</v>
      </c>
      <c r="D208" s="109">
        <v>21400698.260984976</v>
      </c>
      <c r="E208" s="109">
        <v>21839635.14985393</v>
      </c>
      <c r="F208" s="109">
        <v>22247315.667656295</v>
      </c>
      <c r="H208" s="241">
        <f t="shared" si="16"/>
        <v>1</v>
      </c>
      <c r="I208" s="241">
        <f t="shared" si="17"/>
        <v>1.0237054236892589</v>
      </c>
      <c r="J208" s="241">
        <f t="shared" si="18"/>
        <v>1.0278514341772162</v>
      </c>
      <c r="K208" s="241">
        <f t="shared" si="19"/>
        <v>1.020510400339094</v>
      </c>
      <c r="L208" s="241">
        <f t="shared" si="20"/>
        <v>1.0186670022189035</v>
      </c>
    </row>
    <row r="209" spans="1:12" ht="12.75">
      <c r="A209" t="s">
        <v>332</v>
      </c>
      <c r="B209" s="109">
        <v>105090454.18557759</v>
      </c>
      <c r="C209" s="109">
        <v>107023035.55190304</v>
      </c>
      <c r="D209" s="109">
        <v>109019616.49369542</v>
      </c>
      <c r="E209" s="109">
        <v>111059877.33846012</v>
      </c>
      <c r="F209" s="109">
        <v>113266091.0407758</v>
      </c>
      <c r="H209" s="241">
        <f t="shared" si="16"/>
        <v>1</v>
      </c>
      <c r="I209" s="241">
        <f t="shared" si="17"/>
        <v>1.0183896946806676</v>
      </c>
      <c r="J209" s="241">
        <f t="shared" si="18"/>
        <v>1.0186556186852325</v>
      </c>
      <c r="K209" s="241">
        <f t="shared" si="19"/>
        <v>1.0187146213716747</v>
      </c>
      <c r="L209" s="241">
        <f t="shared" si="20"/>
        <v>1.0198650831892435</v>
      </c>
    </row>
    <row r="210" spans="1:12" ht="12.75">
      <c r="A210" t="s">
        <v>344</v>
      </c>
      <c r="B210" s="109">
        <v>54210649.26154718</v>
      </c>
      <c r="C210" s="109">
        <v>54830049.73812076</v>
      </c>
      <c r="D210" s="109">
        <v>55514427.75222548</v>
      </c>
      <c r="E210" s="109">
        <v>56003345.865413085</v>
      </c>
      <c r="F210" s="109">
        <v>56550906.2266184</v>
      </c>
      <c r="H210" s="241">
        <f t="shared" si="16"/>
        <v>1</v>
      </c>
      <c r="I210" s="241">
        <f t="shared" si="17"/>
        <v>1.011425808120932</v>
      </c>
      <c r="J210" s="241">
        <f t="shared" si="18"/>
        <v>1.0124818054583837</v>
      </c>
      <c r="K210" s="241">
        <f t="shared" si="19"/>
        <v>1.0088070458975056</v>
      </c>
      <c r="L210" s="241">
        <f t="shared" si="20"/>
        <v>1.0097772794240045</v>
      </c>
    </row>
    <row r="211" spans="1:12" ht="12.75">
      <c r="A211" t="s">
        <v>345</v>
      </c>
      <c r="B211" s="109">
        <v>46790161.75515705</v>
      </c>
      <c r="C211" s="109">
        <v>47733194.04975945</v>
      </c>
      <c r="D211" s="109">
        <v>48615557.80983</v>
      </c>
      <c r="E211" s="109">
        <v>49454049.25501498</v>
      </c>
      <c r="F211" s="109">
        <v>50204053.73513089</v>
      </c>
      <c r="H211" s="241">
        <f t="shared" si="16"/>
        <v>1</v>
      </c>
      <c r="I211" s="241">
        <f t="shared" si="17"/>
        <v>1.0201544995620464</v>
      </c>
      <c r="J211" s="241">
        <f t="shared" si="18"/>
        <v>1.018485328242454</v>
      </c>
      <c r="K211" s="241">
        <f t="shared" si="19"/>
        <v>1.0172473891683997</v>
      </c>
      <c r="L211" s="241">
        <f t="shared" si="20"/>
        <v>1.0151656839311263</v>
      </c>
    </row>
    <row r="212" spans="1:12" ht="12.75">
      <c r="A212" t="s">
        <v>346</v>
      </c>
      <c r="B212" s="109">
        <v>8255374.020881041</v>
      </c>
      <c r="C212" s="109">
        <v>8340088.220435458</v>
      </c>
      <c r="D212" s="109">
        <v>8502321.653298697</v>
      </c>
      <c r="E212" s="109">
        <v>8632518.305301845</v>
      </c>
      <c r="F212" s="109">
        <v>8728627.130865727</v>
      </c>
      <c r="H212" s="241">
        <f t="shared" si="16"/>
        <v>1</v>
      </c>
      <c r="I212" s="241">
        <f t="shared" si="17"/>
        <v>1.0102617033874106</v>
      </c>
      <c r="J212" s="241">
        <f t="shared" si="18"/>
        <v>1.0194522442179597</v>
      </c>
      <c r="K212" s="241">
        <f t="shared" si="19"/>
        <v>1.0153130706308477</v>
      </c>
      <c r="L212" s="241">
        <f t="shared" si="20"/>
        <v>1.011133347438702</v>
      </c>
    </row>
    <row r="213" spans="1:12" ht="12.75">
      <c r="A213" t="s">
        <v>347</v>
      </c>
      <c r="B213" s="109">
        <v>10836721.784080897</v>
      </c>
      <c r="C213" s="109">
        <v>11004090.529999964</v>
      </c>
      <c r="D213" s="109">
        <v>11174754.653701227</v>
      </c>
      <c r="E213" s="109">
        <v>11299258.33736495</v>
      </c>
      <c r="F213" s="109">
        <v>11536891.115616115</v>
      </c>
      <c r="H213" s="241">
        <f t="shared" si="16"/>
        <v>1</v>
      </c>
      <c r="I213" s="241">
        <f t="shared" si="17"/>
        <v>1.0154445919396888</v>
      </c>
      <c r="J213" s="241">
        <f t="shared" si="18"/>
        <v>1.0155091530041478</v>
      </c>
      <c r="K213" s="241">
        <f t="shared" si="19"/>
        <v>1.0111415138427657</v>
      </c>
      <c r="L213" s="241">
        <f t="shared" si="20"/>
        <v>1.0210308297373245</v>
      </c>
    </row>
    <row r="214" spans="1:12" ht="12.75">
      <c r="A214" t="s">
        <v>348</v>
      </c>
      <c r="B214" s="109">
        <v>70125426.1916233</v>
      </c>
      <c r="C214" s="109">
        <v>71547279.78603898</v>
      </c>
      <c r="D214" s="109">
        <v>72752313.30359803</v>
      </c>
      <c r="E214" s="109">
        <v>74080374.66113208</v>
      </c>
      <c r="F214" s="109">
        <v>75641253.12719019</v>
      </c>
      <c r="H214" s="241">
        <f t="shared" si="16"/>
        <v>1</v>
      </c>
      <c r="I214" s="241">
        <f t="shared" si="17"/>
        <v>1.0202758638575735</v>
      </c>
      <c r="J214" s="241">
        <f t="shared" si="18"/>
        <v>1.0168424784445012</v>
      </c>
      <c r="K214" s="241">
        <f t="shared" si="19"/>
        <v>1.0182545584769518</v>
      </c>
      <c r="L214" s="241">
        <f t="shared" si="20"/>
        <v>1.02107006711559</v>
      </c>
    </row>
    <row r="215" spans="1:12" ht="12.75">
      <c r="A215" t="s">
        <v>349</v>
      </c>
      <c r="B215" s="109">
        <v>7975203.458822282</v>
      </c>
      <c r="C215" s="109">
        <v>8005797.754210356</v>
      </c>
      <c r="D215" s="109">
        <v>8199689.019545512</v>
      </c>
      <c r="E215" s="109">
        <v>8334409.206066587</v>
      </c>
      <c r="F215" s="109">
        <v>8471254.837453097</v>
      </c>
      <c r="H215" s="241">
        <f t="shared" si="16"/>
        <v>1</v>
      </c>
      <c r="I215" s="241">
        <f t="shared" si="17"/>
        <v>1.0038361774149134</v>
      </c>
      <c r="J215" s="241">
        <f t="shared" si="18"/>
        <v>1.024218856294888</v>
      </c>
      <c r="K215" s="241">
        <f t="shared" si="19"/>
        <v>1.0164299141345414</v>
      </c>
      <c r="L215" s="241">
        <f t="shared" si="20"/>
        <v>1.0164193559498975</v>
      </c>
    </row>
    <row r="216" spans="1:12" ht="12.75">
      <c r="A216" t="s">
        <v>350</v>
      </c>
      <c r="B216" s="109">
        <v>4930380.240550798</v>
      </c>
      <c r="C216" s="109">
        <v>4989289.347903458</v>
      </c>
      <c r="D216" s="109">
        <v>5050345.371398532</v>
      </c>
      <c r="E216" s="109">
        <v>5113646.119548314</v>
      </c>
      <c r="F216" s="109">
        <v>5177469.1491429005</v>
      </c>
      <c r="H216" s="241">
        <f t="shared" si="16"/>
        <v>1</v>
      </c>
      <c r="I216" s="241">
        <f t="shared" si="17"/>
        <v>1.0119481874578662</v>
      </c>
      <c r="J216" s="241">
        <f t="shared" si="18"/>
        <v>1.012237418846179</v>
      </c>
      <c r="K216" s="241">
        <f t="shared" si="19"/>
        <v>1.0125339444126478</v>
      </c>
      <c r="L216" s="241">
        <f t="shared" si="20"/>
        <v>1.0124809241982164</v>
      </c>
    </row>
    <row r="217" spans="1:12" ht="12.75">
      <c r="A217" t="s">
        <v>351</v>
      </c>
      <c r="B217" s="109">
        <v>7055417.086653746</v>
      </c>
      <c r="C217" s="109">
        <v>7124474.662886524</v>
      </c>
      <c r="D217" s="109">
        <v>7229806.145618409</v>
      </c>
      <c r="E217" s="109">
        <v>7338822.144402626</v>
      </c>
      <c r="F217" s="109">
        <v>7450891.4558450915</v>
      </c>
      <c r="H217" s="241">
        <f t="shared" si="16"/>
        <v>1</v>
      </c>
      <c r="I217" s="241">
        <f t="shared" si="17"/>
        <v>1.0097878800621738</v>
      </c>
      <c r="J217" s="241">
        <f t="shared" si="18"/>
        <v>1.014784456077946</v>
      </c>
      <c r="K217" s="241">
        <f t="shared" si="19"/>
        <v>1.015078689053134</v>
      </c>
      <c r="L217" s="241">
        <f t="shared" si="20"/>
        <v>1.0152707490708086</v>
      </c>
    </row>
    <row r="218" spans="1:12" ht="12.75">
      <c r="A218" t="s">
        <v>352</v>
      </c>
      <c r="B218" s="109">
        <v>6983102.101744325</v>
      </c>
      <c r="C218" s="109">
        <v>7176383.452457533</v>
      </c>
      <c r="D218" s="109">
        <v>7294048.140574085</v>
      </c>
      <c r="E218" s="109">
        <v>7414697.7362242</v>
      </c>
      <c r="F218" s="109">
        <v>7539583.6814925205</v>
      </c>
      <c r="H218" s="241">
        <f t="shared" si="16"/>
        <v>1</v>
      </c>
      <c r="I218" s="241">
        <f t="shared" si="17"/>
        <v>1.0276784368747707</v>
      </c>
      <c r="J218" s="241">
        <f t="shared" si="18"/>
        <v>1.0163960982430862</v>
      </c>
      <c r="K218" s="241">
        <f t="shared" si="19"/>
        <v>1.0165408279908363</v>
      </c>
      <c r="L218" s="241">
        <f t="shared" si="20"/>
        <v>1.016843025799716</v>
      </c>
    </row>
    <row r="219" spans="1:12" ht="12.75">
      <c r="A219" t="s">
        <v>353</v>
      </c>
      <c r="B219" s="109">
        <v>56311413.11709739</v>
      </c>
      <c r="C219" s="109">
        <v>57338129.52277717</v>
      </c>
      <c r="D219" s="109">
        <v>58298382.112173885</v>
      </c>
      <c r="E219" s="109">
        <v>59271108.271099575</v>
      </c>
      <c r="F219" s="109">
        <v>60198171.75867785</v>
      </c>
      <c r="H219" s="241">
        <f t="shared" si="16"/>
        <v>1</v>
      </c>
      <c r="I219" s="241">
        <f t="shared" si="17"/>
        <v>1.018232829702653</v>
      </c>
      <c r="J219" s="241">
        <f t="shared" si="18"/>
        <v>1.0167471906982117</v>
      </c>
      <c r="K219" s="241">
        <f t="shared" si="19"/>
        <v>1.0166853028108744</v>
      </c>
      <c r="L219" s="241">
        <f t="shared" si="20"/>
        <v>1.015641068888707</v>
      </c>
    </row>
    <row r="220" spans="1:12" ht="12.75">
      <c r="A220" t="s">
        <v>354</v>
      </c>
      <c r="B220" s="109">
        <v>3603413.088287357</v>
      </c>
      <c r="C220" s="109">
        <v>3653209.4583846945</v>
      </c>
      <c r="D220" s="109">
        <v>3705175.779850277</v>
      </c>
      <c r="E220" s="109">
        <v>3761056.1760690412</v>
      </c>
      <c r="F220" s="109">
        <v>3821051.6706813276</v>
      </c>
      <c r="H220" s="241">
        <f t="shared" si="16"/>
        <v>1</v>
      </c>
      <c r="I220" s="241">
        <f t="shared" si="17"/>
        <v>1.013819223296712</v>
      </c>
      <c r="J220" s="241">
        <f t="shared" si="18"/>
        <v>1.0142248403924148</v>
      </c>
      <c r="K220" s="241">
        <f t="shared" si="19"/>
        <v>1.0150817125931397</v>
      </c>
      <c r="L220" s="241">
        <f t="shared" si="20"/>
        <v>1.0159517677491836</v>
      </c>
    </row>
    <row r="221" spans="1:12" ht="12.75">
      <c r="A221" t="s">
        <v>355</v>
      </c>
      <c r="B221" s="109">
        <v>152313186.08529204</v>
      </c>
      <c r="C221" s="109">
        <v>156391591.12931973</v>
      </c>
      <c r="D221" s="109">
        <v>160066486.6518703</v>
      </c>
      <c r="E221" s="109">
        <v>163594674.92911747</v>
      </c>
      <c r="F221" s="109">
        <v>166618783.83127412</v>
      </c>
      <c r="H221" s="241">
        <f t="shared" si="16"/>
        <v>1</v>
      </c>
      <c r="I221" s="241">
        <f t="shared" si="17"/>
        <v>1.026776441021619</v>
      </c>
      <c r="J221" s="241">
        <f t="shared" si="18"/>
        <v>1.0234980378165717</v>
      </c>
      <c r="K221" s="241">
        <f t="shared" si="19"/>
        <v>1.0220420173582034</v>
      </c>
      <c r="L221" s="241">
        <f t="shared" si="20"/>
        <v>1.018485374927191</v>
      </c>
    </row>
    <row r="222" spans="1:12" ht="12.75">
      <c r="A222" t="s">
        <v>356</v>
      </c>
      <c r="B222" s="109">
        <v>9838922.043566091</v>
      </c>
      <c r="C222" s="109">
        <v>9874408.175970662</v>
      </c>
      <c r="D222" s="109">
        <v>9872653.221585495</v>
      </c>
      <c r="E222" s="109">
        <v>9935869.091020968</v>
      </c>
      <c r="F222" s="109">
        <v>9955176.571923628</v>
      </c>
      <c r="H222" s="241">
        <f t="shared" si="16"/>
        <v>1</v>
      </c>
      <c r="I222" s="241">
        <f t="shared" si="17"/>
        <v>1.003606709378064</v>
      </c>
      <c r="J222" s="241">
        <f t="shared" si="18"/>
        <v>0.9998222724487491</v>
      </c>
      <c r="K222" s="241">
        <f t="shared" si="19"/>
        <v>1.006403128725038</v>
      </c>
      <c r="L222" s="241">
        <f t="shared" si="20"/>
        <v>1.0019432100730985</v>
      </c>
    </row>
    <row r="223" spans="1:12" ht="12.75">
      <c r="A223" t="s">
        <v>357</v>
      </c>
      <c r="B223" s="109">
        <v>8055592.566974252</v>
      </c>
      <c r="C223" s="109">
        <v>8090549.32577235</v>
      </c>
      <c r="D223" s="109">
        <v>8220817.598117622</v>
      </c>
      <c r="E223" s="109">
        <v>8316476.532766262</v>
      </c>
      <c r="F223" s="109">
        <v>8448332.650363212</v>
      </c>
      <c r="H223" s="241">
        <f t="shared" si="16"/>
        <v>1</v>
      </c>
      <c r="I223" s="241">
        <f t="shared" si="17"/>
        <v>1.0043394397752203</v>
      </c>
      <c r="J223" s="241">
        <f t="shared" si="18"/>
        <v>1.0161012889360064</v>
      </c>
      <c r="K223" s="241">
        <f t="shared" si="19"/>
        <v>1.0116361825946052</v>
      </c>
      <c r="L223" s="241">
        <f t="shared" si="20"/>
        <v>1.0158548054668883</v>
      </c>
    </row>
    <row r="224" spans="1:12" ht="12.75">
      <c r="A224" t="s">
        <v>358</v>
      </c>
      <c r="B224" s="109">
        <v>12307821.364641918</v>
      </c>
      <c r="C224" s="109">
        <v>12581585.718872346</v>
      </c>
      <c r="D224" s="109">
        <v>12953627.198670492</v>
      </c>
      <c r="E224" s="109">
        <v>13216776.11363589</v>
      </c>
      <c r="F224" s="109">
        <v>13480822.795595037</v>
      </c>
      <c r="H224" s="241">
        <f t="shared" si="16"/>
        <v>1</v>
      </c>
      <c r="I224" s="241">
        <f t="shared" si="17"/>
        <v>1.0222431205425928</v>
      </c>
      <c r="J224" s="241">
        <f t="shared" si="18"/>
        <v>1.0295703171373767</v>
      </c>
      <c r="K224" s="241">
        <f t="shared" si="19"/>
        <v>1.0203146895405797</v>
      </c>
      <c r="L224" s="241">
        <f t="shared" si="20"/>
        <v>1.0199781459327837</v>
      </c>
    </row>
    <row r="225" spans="1:12" ht="12.75">
      <c r="A225" t="s">
        <v>359</v>
      </c>
      <c r="B225" s="109">
        <v>4496395.597994776</v>
      </c>
      <c r="C225" s="109">
        <v>4529443.065491692</v>
      </c>
      <c r="D225" s="109">
        <v>4598148.974163805</v>
      </c>
      <c r="E225" s="109">
        <v>4669811.448956495</v>
      </c>
      <c r="F225" s="109">
        <v>4746608.644175491</v>
      </c>
      <c r="H225" s="241">
        <f t="shared" si="16"/>
        <v>1</v>
      </c>
      <c r="I225" s="241">
        <f t="shared" si="17"/>
        <v>1.0073497686706334</v>
      </c>
      <c r="J225" s="241">
        <f t="shared" si="18"/>
        <v>1.0151687321550766</v>
      </c>
      <c r="K225" s="241">
        <f t="shared" si="19"/>
        <v>1.0155850702522577</v>
      </c>
      <c r="L225" s="241">
        <f t="shared" si="20"/>
        <v>1.0164454595348078</v>
      </c>
    </row>
    <row r="226" spans="1:12" ht="12.75">
      <c r="A226" t="s">
        <v>134</v>
      </c>
      <c r="B226" s="109">
        <v>63430447.92972063</v>
      </c>
      <c r="C226" s="109">
        <v>63855702.26740243</v>
      </c>
      <c r="D226" s="109">
        <v>64731196.26885114</v>
      </c>
      <c r="E226" s="109">
        <v>65407984.25759126</v>
      </c>
      <c r="F226" s="109">
        <v>66195713.059987806</v>
      </c>
      <c r="H226" s="241">
        <f t="shared" si="16"/>
        <v>1</v>
      </c>
      <c r="I226" s="241">
        <f t="shared" si="17"/>
        <v>1.0067042619366802</v>
      </c>
      <c r="J226" s="241">
        <f t="shared" si="18"/>
        <v>1.0137105061938319</v>
      </c>
      <c r="K226" s="241">
        <f t="shared" si="19"/>
        <v>1.0104553604405702</v>
      </c>
      <c r="L226" s="241">
        <f t="shared" si="20"/>
        <v>1.0120433126221149</v>
      </c>
    </row>
    <row r="227" spans="1:12" ht="12.75">
      <c r="A227" t="s">
        <v>360</v>
      </c>
      <c r="B227" s="109">
        <v>18121603.589114208</v>
      </c>
      <c r="C227" s="109">
        <v>18269054.384653725</v>
      </c>
      <c r="D227" s="109">
        <v>18299221.12007376</v>
      </c>
      <c r="E227" s="109">
        <v>18438202.605731912</v>
      </c>
      <c r="F227" s="109">
        <v>18508183.689951375</v>
      </c>
      <c r="H227" s="241">
        <f t="shared" si="16"/>
        <v>1</v>
      </c>
      <c r="I227" s="241">
        <f t="shared" si="17"/>
        <v>1.0081367410347775</v>
      </c>
      <c r="J227" s="241">
        <f t="shared" si="18"/>
        <v>1.001651247775877</v>
      </c>
      <c r="K227" s="241">
        <f t="shared" si="19"/>
        <v>1.0075949399565258</v>
      </c>
      <c r="L227" s="241">
        <f t="shared" si="20"/>
        <v>1.0037954395944053</v>
      </c>
    </row>
    <row r="228" spans="1:12" ht="12.75">
      <c r="A228" t="s">
        <v>361</v>
      </c>
      <c r="B228" s="109">
        <v>9249447.848886834</v>
      </c>
      <c r="C228" s="109">
        <v>9376746.60493938</v>
      </c>
      <c r="D228" s="109">
        <v>9478113.993221825</v>
      </c>
      <c r="E228" s="109">
        <v>9581429.958503265</v>
      </c>
      <c r="F228" s="109">
        <v>9650045.109370904</v>
      </c>
      <c r="H228" s="241">
        <f t="shared" si="16"/>
        <v>1</v>
      </c>
      <c r="I228" s="241">
        <f t="shared" si="17"/>
        <v>1.01376284921352</v>
      </c>
      <c r="J228" s="241">
        <f t="shared" si="18"/>
        <v>1.0108105073703333</v>
      </c>
      <c r="K228" s="241">
        <f t="shared" si="19"/>
        <v>1.0109004771788275</v>
      </c>
      <c r="L228" s="241">
        <f t="shared" si="20"/>
        <v>1.0071612641500076</v>
      </c>
    </row>
    <row r="229" spans="1:12" ht="12.75">
      <c r="A229" t="s">
        <v>362</v>
      </c>
      <c r="B229" s="109">
        <v>107332250.38611865</v>
      </c>
      <c r="C229" s="109">
        <v>108313781.96743466</v>
      </c>
      <c r="D229" s="109">
        <v>109207649.8609063</v>
      </c>
      <c r="E229" s="109">
        <v>109709343.28400402</v>
      </c>
      <c r="F229" s="109">
        <v>110588837.13464622</v>
      </c>
      <c r="H229" s="241">
        <f t="shared" si="16"/>
        <v>1</v>
      </c>
      <c r="I229" s="241">
        <f t="shared" si="17"/>
        <v>1.0091447964408184</v>
      </c>
      <c r="J229" s="241">
        <f t="shared" si="18"/>
        <v>1.0082525776243358</v>
      </c>
      <c r="K229" s="241">
        <f t="shared" si="19"/>
        <v>1.0045939402938961</v>
      </c>
      <c r="L229" s="241">
        <f t="shared" si="20"/>
        <v>1.0080165811253237</v>
      </c>
    </row>
    <row r="230" spans="1:12" ht="12.75">
      <c r="A230" t="s">
        <v>363</v>
      </c>
      <c r="B230" s="109">
        <v>6627862.055227017</v>
      </c>
      <c r="C230" s="109">
        <v>6761081.115489446</v>
      </c>
      <c r="D230" s="109">
        <v>6896729.956435841</v>
      </c>
      <c r="E230" s="109">
        <v>6973207.304610796</v>
      </c>
      <c r="F230" s="109">
        <v>7176280.695275355</v>
      </c>
      <c r="H230" s="241">
        <f t="shared" si="16"/>
        <v>1</v>
      </c>
      <c r="I230" s="241">
        <f t="shared" si="17"/>
        <v>1.0200998540935786</v>
      </c>
      <c r="J230" s="241">
        <f t="shared" si="18"/>
        <v>1.0200631879176287</v>
      </c>
      <c r="K230" s="241">
        <f t="shared" si="19"/>
        <v>1.011088928906603</v>
      </c>
      <c r="L230" s="241">
        <f t="shared" si="20"/>
        <v>1.029121949455064</v>
      </c>
    </row>
    <row r="231" spans="1:12" ht="12.75">
      <c r="A231" t="s">
        <v>364</v>
      </c>
      <c r="B231" s="109">
        <v>8113007.288345377</v>
      </c>
      <c r="C231" s="109">
        <v>8231947.706605177</v>
      </c>
      <c r="D231" s="109">
        <v>8312217.959217575</v>
      </c>
      <c r="E231" s="109">
        <v>8396837.69730751</v>
      </c>
      <c r="F231" s="109">
        <v>8526005.142199745</v>
      </c>
      <c r="H231" s="241">
        <f t="shared" si="16"/>
        <v>1</v>
      </c>
      <c r="I231" s="241">
        <f t="shared" si="17"/>
        <v>1.0146604599296567</v>
      </c>
      <c r="J231" s="241">
        <f t="shared" si="18"/>
        <v>1.0097510644471162</v>
      </c>
      <c r="K231" s="241">
        <f t="shared" si="19"/>
        <v>1.010180163526162</v>
      </c>
      <c r="L231" s="241">
        <f t="shared" si="20"/>
        <v>1.0153828678781838</v>
      </c>
    </row>
    <row r="232" spans="1:12" ht="12.75">
      <c r="A232" t="s">
        <v>365</v>
      </c>
      <c r="B232" s="109">
        <v>64704025.07104672</v>
      </c>
      <c r="C232" s="109">
        <v>65442046.09245076</v>
      </c>
      <c r="D232" s="109">
        <v>66091588.02987155</v>
      </c>
      <c r="E232" s="109">
        <v>66839191.69987956</v>
      </c>
      <c r="F232" s="109">
        <v>67563970.89549012</v>
      </c>
      <c r="H232" s="241">
        <f t="shared" si="16"/>
        <v>1</v>
      </c>
      <c r="I232" s="241">
        <f t="shared" si="17"/>
        <v>1.0114061068162865</v>
      </c>
      <c r="J232" s="241">
        <f t="shared" si="18"/>
        <v>1.0099254527663022</v>
      </c>
      <c r="K232" s="241">
        <f t="shared" si="19"/>
        <v>1.0113116312119799</v>
      </c>
      <c r="L232" s="241">
        <f t="shared" si="20"/>
        <v>1.010843625980173</v>
      </c>
    </row>
    <row r="233" spans="1:12" ht="12.75">
      <c r="A233" t="s">
        <v>366</v>
      </c>
      <c r="B233" s="109">
        <v>3116364.3628878705</v>
      </c>
      <c r="C233" s="109">
        <v>3208280.8159900135</v>
      </c>
      <c r="D233" s="109">
        <v>3260151.8514626278</v>
      </c>
      <c r="E233" s="109">
        <v>3310057.303172174</v>
      </c>
      <c r="F233" s="109">
        <v>3364887.3680773173</v>
      </c>
      <c r="H233" s="241">
        <f t="shared" si="16"/>
        <v>1</v>
      </c>
      <c r="I233" s="241">
        <f t="shared" si="17"/>
        <v>1.0294947709570668</v>
      </c>
      <c r="J233" s="241">
        <f t="shared" si="18"/>
        <v>1.0161678601243662</v>
      </c>
      <c r="K233" s="241">
        <f t="shared" si="19"/>
        <v>1.0153077077336619</v>
      </c>
      <c r="L233" s="241">
        <f t="shared" si="20"/>
        <v>1.016564687521451</v>
      </c>
    </row>
    <row r="234" spans="1:12" ht="12.75">
      <c r="A234" t="s">
        <v>367</v>
      </c>
      <c r="B234" s="109">
        <v>149247945.68321574</v>
      </c>
      <c r="C234" s="109">
        <v>153383673.0631969</v>
      </c>
      <c r="D234" s="109">
        <v>157688616.0187184</v>
      </c>
      <c r="E234" s="109">
        <v>162378874.2128996</v>
      </c>
      <c r="F234" s="109">
        <v>166454076.48823783</v>
      </c>
      <c r="H234" s="241">
        <f t="shared" si="16"/>
        <v>1</v>
      </c>
      <c r="I234" s="241">
        <f t="shared" si="17"/>
        <v>1.0277104476115162</v>
      </c>
      <c r="J234" s="241">
        <f t="shared" si="18"/>
        <v>1.0280665006225778</v>
      </c>
      <c r="K234" s="241">
        <f t="shared" si="19"/>
        <v>1.0297437970641106</v>
      </c>
      <c r="L234" s="241">
        <f t="shared" si="20"/>
        <v>1.0250968747941627</v>
      </c>
    </row>
    <row r="235" spans="1:12" ht="12.75">
      <c r="A235" t="s">
        <v>368</v>
      </c>
      <c r="B235" s="109">
        <v>14099054.021852382</v>
      </c>
      <c r="C235" s="109">
        <v>14188635.53852105</v>
      </c>
      <c r="D235" s="109">
        <v>14329003.256367054</v>
      </c>
      <c r="E235" s="109">
        <v>14416118.6402299</v>
      </c>
      <c r="F235" s="109">
        <v>14387602.27304675</v>
      </c>
      <c r="H235" s="241">
        <f t="shared" si="16"/>
        <v>1</v>
      </c>
      <c r="I235" s="241">
        <f t="shared" si="17"/>
        <v>1.0063537253300698</v>
      </c>
      <c r="J235" s="241">
        <f t="shared" si="18"/>
        <v>1.009892968035222</v>
      </c>
      <c r="K235" s="241">
        <f t="shared" si="19"/>
        <v>1.0060796541325465</v>
      </c>
      <c r="L235" s="241">
        <f t="shared" si="20"/>
        <v>0.998021910897461</v>
      </c>
    </row>
    <row r="236" spans="1:12" ht="12.75">
      <c r="A236" t="s">
        <v>369</v>
      </c>
      <c r="B236" s="109">
        <v>3278515.485617051</v>
      </c>
      <c r="C236" s="109">
        <v>3335240.617492182</v>
      </c>
      <c r="D236" s="109">
        <v>3390271.069740174</v>
      </c>
      <c r="E236" s="109">
        <v>3448888.255507521</v>
      </c>
      <c r="F236" s="109">
        <v>3509423.3083277433</v>
      </c>
      <c r="H236" s="241">
        <f t="shared" si="16"/>
        <v>1</v>
      </c>
      <c r="I236" s="241">
        <f t="shared" si="17"/>
        <v>1.0173020783717466</v>
      </c>
      <c r="J236" s="241">
        <f t="shared" si="18"/>
        <v>1.0164996947924465</v>
      </c>
      <c r="K236" s="241">
        <f t="shared" si="19"/>
        <v>1.0172898227196445</v>
      </c>
      <c r="L236" s="241">
        <f t="shared" si="20"/>
        <v>1.0175520481777147</v>
      </c>
    </row>
    <row r="237" spans="1:12" ht="12.75">
      <c r="A237" t="s">
        <v>370</v>
      </c>
      <c r="B237" s="109">
        <v>15472923.016545534</v>
      </c>
      <c r="C237" s="109">
        <v>15710939.744775523</v>
      </c>
      <c r="D237" s="109">
        <v>15860361.143999135</v>
      </c>
      <c r="E237" s="109">
        <v>16149980.468579121</v>
      </c>
      <c r="F237" s="109">
        <v>16374382.134478213</v>
      </c>
      <c r="H237" s="241">
        <f t="shared" si="16"/>
        <v>1</v>
      </c>
      <c r="I237" s="241">
        <f t="shared" si="17"/>
        <v>1.0153827901796881</v>
      </c>
      <c r="J237" s="241">
        <f t="shared" si="18"/>
        <v>1.009510659556396</v>
      </c>
      <c r="K237" s="241">
        <f t="shared" si="19"/>
        <v>1.0182605756546448</v>
      </c>
      <c r="L237" s="241">
        <f t="shared" si="20"/>
        <v>1.013894856797857</v>
      </c>
    </row>
    <row r="238" spans="1:12" ht="12.75">
      <c r="A238" t="s">
        <v>371</v>
      </c>
      <c r="B238" s="109">
        <v>47646448.563842356</v>
      </c>
      <c r="C238" s="109">
        <v>48668247.12328612</v>
      </c>
      <c r="D238" s="109">
        <v>49691344.53899532</v>
      </c>
      <c r="E238" s="109">
        <v>50657520.31151833</v>
      </c>
      <c r="F238" s="109">
        <v>51704797.04499433</v>
      </c>
      <c r="H238" s="241">
        <f t="shared" si="16"/>
        <v>1</v>
      </c>
      <c r="I238" s="241">
        <f t="shared" si="17"/>
        <v>1.021445429622622</v>
      </c>
      <c r="J238" s="241">
        <f t="shared" si="18"/>
        <v>1.0210218669498716</v>
      </c>
      <c r="K238" s="241">
        <f t="shared" si="19"/>
        <v>1.019443542562323</v>
      </c>
      <c r="L238" s="241">
        <f t="shared" si="20"/>
        <v>1.0206736675430574</v>
      </c>
    </row>
    <row r="239" spans="1:12" ht="12.75">
      <c r="A239" t="s">
        <v>372</v>
      </c>
      <c r="B239" s="109">
        <v>7382545.649043491</v>
      </c>
      <c r="C239" s="109">
        <v>7632868.139713205</v>
      </c>
      <c r="D239" s="109">
        <v>7753226.061334863</v>
      </c>
      <c r="E239" s="109">
        <v>7875362.694418526</v>
      </c>
      <c r="F239" s="109">
        <v>8002520.283328086</v>
      </c>
      <c r="H239" s="241">
        <f t="shared" si="16"/>
        <v>1</v>
      </c>
      <c r="I239" s="241">
        <f t="shared" si="17"/>
        <v>1.0339073407154817</v>
      </c>
      <c r="J239" s="241">
        <f t="shared" si="18"/>
        <v>1.0157683742753847</v>
      </c>
      <c r="K239" s="241">
        <f t="shared" si="19"/>
        <v>1.0157530081178407</v>
      </c>
      <c r="L239" s="241">
        <f t="shared" si="20"/>
        <v>1.016146251778306</v>
      </c>
    </row>
    <row r="240" spans="1:12" ht="12.75">
      <c r="A240" t="s">
        <v>373</v>
      </c>
      <c r="B240" s="109">
        <v>46893405.56512614</v>
      </c>
      <c r="C240" s="109">
        <v>48198186.092369124</v>
      </c>
      <c r="D240" s="109">
        <v>49232353.92078791</v>
      </c>
      <c r="E240" s="109">
        <v>50042479.213552274</v>
      </c>
      <c r="F240" s="109">
        <v>50953082.85368966</v>
      </c>
      <c r="H240" s="241">
        <f t="shared" si="16"/>
        <v>1</v>
      </c>
      <c r="I240" s="241">
        <f t="shared" si="17"/>
        <v>1.0278243926095512</v>
      </c>
      <c r="J240" s="241">
        <f t="shared" si="18"/>
        <v>1.021456571548914</v>
      </c>
      <c r="K240" s="241">
        <f t="shared" si="19"/>
        <v>1.0164551403345006</v>
      </c>
      <c r="L240" s="241">
        <f t="shared" si="20"/>
        <v>1.0181966132463474</v>
      </c>
    </row>
    <row r="241" spans="1:12" ht="12.75">
      <c r="A241" t="s">
        <v>374</v>
      </c>
      <c r="B241" s="109">
        <v>15415028.098385911</v>
      </c>
      <c r="C241" s="109">
        <v>15581509.492984517</v>
      </c>
      <c r="D241" s="109">
        <v>15667559.681444358</v>
      </c>
      <c r="E241" s="109">
        <v>15875762.295818958</v>
      </c>
      <c r="F241" s="109">
        <v>16073207.589657865</v>
      </c>
      <c r="H241" s="241">
        <f t="shared" si="16"/>
        <v>1</v>
      </c>
      <c r="I241" s="241">
        <f t="shared" si="17"/>
        <v>1.0107999410403954</v>
      </c>
      <c r="J241" s="241">
        <f t="shared" si="18"/>
        <v>1.0055225835788622</v>
      </c>
      <c r="K241" s="241">
        <f t="shared" si="19"/>
        <v>1.0132887711046146</v>
      </c>
      <c r="L241" s="241">
        <f t="shared" si="20"/>
        <v>1.0124369016214678</v>
      </c>
    </row>
    <row r="242" spans="1:12" ht="12.75">
      <c r="A242" t="s">
        <v>375</v>
      </c>
      <c r="B242" s="109">
        <v>24157552.770948768</v>
      </c>
      <c r="C242" s="109">
        <v>24740496.47739395</v>
      </c>
      <c r="D242" s="109">
        <v>25473902.25480407</v>
      </c>
      <c r="E242" s="109">
        <v>26046483.15854082</v>
      </c>
      <c r="F242" s="109">
        <v>26552807.0167982</v>
      </c>
      <c r="H242" s="241">
        <f t="shared" si="16"/>
        <v>1</v>
      </c>
      <c r="I242" s="241">
        <f t="shared" si="17"/>
        <v>1.0241309089530881</v>
      </c>
      <c r="J242" s="241">
        <f t="shared" si="18"/>
        <v>1.0296439393639596</v>
      </c>
      <c r="K242" s="241">
        <f t="shared" si="19"/>
        <v>1.0224771571316196</v>
      </c>
      <c r="L242" s="241">
        <f t="shared" si="20"/>
        <v>1.0194392408055808</v>
      </c>
    </row>
    <row r="243" spans="1:12" ht="12.75">
      <c r="A243" t="s">
        <v>376</v>
      </c>
      <c r="B243" s="109">
        <v>5260434.503959414</v>
      </c>
      <c r="C243" s="109">
        <v>5347361.16854999</v>
      </c>
      <c r="D243" s="109">
        <v>5437346.13408407</v>
      </c>
      <c r="E243" s="109">
        <v>5531364.632590732</v>
      </c>
      <c r="F243" s="109">
        <v>5629592.446029871</v>
      </c>
      <c r="H243" s="241">
        <f t="shared" si="16"/>
        <v>1</v>
      </c>
      <c r="I243" s="241">
        <f t="shared" si="17"/>
        <v>1.0165246168401392</v>
      </c>
      <c r="J243" s="241">
        <f t="shared" si="18"/>
        <v>1.0168279199211974</v>
      </c>
      <c r="K243" s="241">
        <f t="shared" si="19"/>
        <v>1.0172912476395986</v>
      </c>
      <c r="L243" s="241">
        <f t="shared" si="20"/>
        <v>1.0177583327015511</v>
      </c>
    </row>
    <row r="244" spans="1:12" ht="12.75">
      <c r="A244" t="s">
        <v>377</v>
      </c>
      <c r="B244" s="109">
        <v>17435398.20191031</v>
      </c>
      <c r="C244" s="109">
        <v>17574727.06822095</v>
      </c>
      <c r="D244" s="109">
        <v>17660101.049522668</v>
      </c>
      <c r="E244" s="109">
        <v>17786470.89605276</v>
      </c>
      <c r="F244" s="109">
        <v>17878878.061193574</v>
      </c>
      <c r="H244" s="241">
        <f t="shared" si="16"/>
        <v>1</v>
      </c>
      <c r="I244" s="241">
        <f t="shared" si="17"/>
        <v>1.0079911490805742</v>
      </c>
      <c r="J244" s="241">
        <f t="shared" si="18"/>
        <v>1.0048577699653778</v>
      </c>
      <c r="K244" s="241">
        <f t="shared" si="19"/>
        <v>1.0071556695047057</v>
      </c>
      <c r="L244" s="241">
        <f t="shared" si="20"/>
        <v>1.0051953625697228</v>
      </c>
    </row>
    <row r="245" spans="1:12" ht="12.75">
      <c r="A245" t="s">
        <v>378</v>
      </c>
      <c r="B245" s="109">
        <v>8572519.442939358</v>
      </c>
      <c r="C245" s="109">
        <v>8817356.796516111</v>
      </c>
      <c r="D245" s="109">
        <v>8880627.661702631</v>
      </c>
      <c r="E245" s="109">
        <v>8964542.04303181</v>
      </c>
      <c r="F245" s="109">
        <v>9145862.547637638</v>
      </c>
      <c r="H245" s="241">
        <f t="shared" si="16"/>
        <v>1</v>
      </c>
      <c r="I245" s="241">
        <f t="shared" si="17"/>
        <v>1.0285607230413936</v>
      </c>
      <c r="J245" s="241">
        <f t="shared" si="18"/>
        <v>1.00717571792167</v>
      </c>
      <c r="K245" s="241">
        <f t="shared" si="19"/>
        <v>1.0094491498265439</v>
      </c>
      <c r="L245" s="241">
        <f t="shared" si="20"/>
        <v>1.020226410198697</v>
      </c>
    </row>
    <row r="246" spans="1:12" ht="12.75">
      <c r="A246" t="s">
        <v>379</v>
      </c>
      <c r="B246" s="109">
        <v>26239197.296570048</v>
      </c>
      <c r="C246" s="109">
        <v>26494663.997640032</v>
      </c>
      <c r="D246" s="109">
        <v>26973910.10710534</v>
      </c>
      <c r="E246" s="109">
        <v>27424196.070736587</v>
      </c>
      <c r="F246" s="109">
        <v>27833041.24584284</v>
      </c>
      <c r="H246" s="241">
        <f t="shared" si="16"/>
        <v>1</v>
      </c>
      <c r="I246" s="241">
        <f t="shared" si="17"/>
        <v>1.0097360715033528</v>
      </c>
      <c r="J246" s="241">
        <f t="shared" si="18"/>
        <v>1.018088401102501</v>
      </c>
      <c r="K246" s="241">
        <f t="shared" si="19"/>
        <v>1.0166933886056302</v>
      </c>
      <c r="L246" s="241">
        <f t="shared" si="20"/>
        <v>1.0149081918044818</v>
      </c>
    </row>
    <row r="247" spans="1:12" ht="12.75">
      <c r="A247" t="s">
        <v>380</v>
      </c>
      <c r="B247" s="109">
        <v>6577579.252040175</v>
      </c>
      <c r="C247" s="109">
        <v>6667022.903471043</v>
      </c>
      <c r="D247" s="109">
        <v>6762600.078861228</v>
      </c>
      <c r="E247" s="109">
        <v>6858029.97850266</v>
      </c>
      <c r="F247" s="109">
        <v>6957277.62284838</v>
      </c>
      <c r="H247" s="241">
        <f t="shared" si="16"/>
        <v>1</v>
      </c>
      <c r="I247" s="241">
        <f t="shared" si="17"/>
        <v>1.0135982628264228</v>
      </c>
      <c r="J247" s="241">
        <f t="shared" si="18"/>
        <v>1.0143358102670421</v>
      </c>
      <c r="K247" s="241">
        <f t="shared" si="19"/>
        <v>1.0141114214249827</v>
      </c>
      <c r="L247" s="241">
        <f t="shared" si="20"/>
        <v>1.0144717425640926</v>
      </c>
    </row>
    <row r="248" spans="1:12" ht="12.75">
      <c r="A248" t="s">
        <v>381</v>
      </c>
      <c r="B248" s="109">
        <v>18755270.860687144</v>
      </c>
      <c r="C248" s="109">
        <v>18624222.23546186</v>
      </c>
      <c r="D248" s="109">
        <v>18610713.224889707</v>
      </c>
      <c r="E248" s="109">
        <v>18579478.278407324</v>
      </c>
      <c r="F248" s="109">
        <v>18662250.83271816</v>
      </c>
      <c r="H248" s="241">
        <f t="shared" si="16"/>
        <v>1</v>
      </c>
      <c r="I248" s="241">
        <f t="shared" si="17"/>
        <v>0.9930127042046631</v>
      </c>
      <c r="J248" s="241">
        <f t="shared" si="18"/>
        <v>0.9992746537062669</v>
      </c>
      <c r="K248" s="241">
        <f t="shared" si="19"/>
        <v>0.9983216684871266</v>
      </c>
      <c r="L248" s="241">
        <f t="shared" si="20"/>
        <v>1.0044550526699683</v>
      </c>
    </row>
    <row r="249" spans="1:12" ht="12.75">
      <c r="A249" t="s">
        <v>382</v>
      </c>
      <c r="B249" s="109">
        <v>14800638.277025428</v>
      </c>
      <c r="C249" s="109">
        <v>15062649.607432147</v>
      </c>
      <c r="D249" s="109">
        <v>15360292.71133961</v>
      </c>
      <c r="E249" s="109">
        <v>15623846.75400135</v>
      </c>
      <c r="F249" s="109">
        <v>15800858.493037952</v>
      </c>
      <c r="H249" s="241">
        <f t="shared" si="16"/>
        <v>1</v>
      </c>
      <c r="I249" s="241">
        <f t="shared" si="17"/>
        <v>1.0177027048092535</v>
      </c>
      <c r="J249" s="241">
        <f t="shared" si="18"/>
        <v>1.019760341750272</v>
      </c>
      <c r="K249" s="241">
        <f t="shared" si="19"/>
        <v>1.017158139341132</v>
      </c>
      <c r="L249" s="241">
        <f t="shared" si="20"/>
        <v>1.0113295875096362</v>
      </c>
    </row>
    <row r="250" spans="1:12" ht="12.75">
      <c r="A250" t="s">
        <v>383</v>
      </c>
      <c r="B250" s="109">
        <v>8655124.466764903</v>
      </c>
      <c r="C250" s="109">
        <v>8848561.13222351</v>
      </c>
      <c r="D250" s="109">
        <v>8945630.612788659</v>
      </c>
      <c r="E250" s="109">
        <v>9023188.866382923</v>
      </c>
      <c r="F250" s="109">
        <v>9233819.199808266</v>
      </c>
      <c r="H250" s="241">
        <f t="shared" si="16"/>
        <v>1</v>
      </c>
      <c r="I250" s="241">
        <f t="shared" si="17"/>
        <v>1.022349379977306</v>
      </c>
      <c r="J250" s="241">
        <f t="shared" si="18"/>
        <v>1.0109700864484796</v>
      </c>
      <c r="K250" s="241">
        <f t="shared" si="19"/>
        <v>1.0086699593300206</v>
      </c>
      <c r="L250" s="241">
        <f t="shared" si="20"/>
        <v>1.0233432256095263</v>
      </c>
    </row>
    <row r="251" spans="1:12" ht="12.75">
      <c r="A251" t="s">
        <v>384</v>
      </c>
      <c r="B251" s="109">
        <v>11578255.554213908</v>
      </c>
      <c r="C251" s="109">
        <v>11584414.997418042</v>
      </c>
      <c r="D251" s="109">
        <v>11799984.39769098</v>
      </c>
      <c r="E251" s="109">
        <v>11945816.887836378</v>
      </c>
      <c r="F251" s="109">
        <v>12013630.544287302</v>
      </c>
      <c r="H251" s="241">
        <f t="shared" si="16"/>
        <v>1</v>
      </c>
      <c r="I251" s="241">
        <f t="shared" si="17"/>
        <v>1.0005319836978286</v>
      </c>
      <c r="J251" s="241">
        <f t="shared" si="18"/>
        <v>1.0186085702489927</v>
      </c>
      <c r="K251" s="241">
        <f t="shared" si="19"/>
        <v>1.0123587019465834</v>
      </c>
      <c r="L251" s="241">
        <f t="shared" si="20"/>
        <v>1.0056767701269533</v>
      </c>
    </row>
    <row r="252" spans="1:12" ht="12.75">
      <c r="A252" t="s">
        <v>408</v>
      </c>
      <c r="B252" s="109">
        <v>9664346.427955478</v>
      </c>
      <c r="C252" s="109">
        <v>9756991.332219323</v>
      </c>
      <c r="D252" s="109">
        <v>9894157.979776243</v>
      </c>
      <c r="E252" s="109">
        <v>10036287.596722677</v>
      </c>
      <c r="F252" s="109">
        <v>10137122.13575969</v>
      </c>
      <c r="H252" s="241">
        <f t="shared" si="16"/>
        <v>1</v>
      </c>
      <c r="I252" s="241">
        <f t="shared" si="17"/>
        <v>1.0095862565517992</v>
      </c>
      <c r="J252" s="241">
        <f t="shared" si="18"/>
        <v>1.014058293472494</v>
      </c>
      <c r="K252" s="241">
        <f t="shared" si="19"/>
        <v>1.0143650037968819</v>
      </c>
      <c r="L252" s="241">
        <f t="shared" si="20"/>
        <v>1.0100469957706215</v>
      </c>
    </row>
    <row r="253" spans="1:12" ht="12.75">
      <c r="A253" t="s">
        <v>135</v>
      </c>
      <c r="B253" s="109">
        <v>46658015.78124044</v>
      </c>
      <c r="C253" s="109">
        <v>47478988.0114467</v>
      </c>
      <c r="D253" s="109">
        <v>48023219.17258425</v>
      </c>
      <c r="E253" s="109">
        <v>48610568.135069996</v>
      </c>
      <c r="F253" s="109">
        <v>49310508.042216435</v>
      </c>
      <c r="H253" s="241">
        <f t="shared" si="16"/>
        <v>1</v>
      </c>
      <c r="I253" s="241">
        <f t="shared" si="17"/>
        <v>1.0175955238657264</v>
      </c>
      <c r="J253" s="241">
        <f t="shared" si="18"/>
        <v>1.0114625686842007</v>
      </c>
      <c r="K253" s="241">
        <f t="shared" si="19"/>
        <v>1.01223052041503</v>
      </c>
      <c r="L253" s="241">
        <f t="shared" si="20"/>
        <v>1.0143989246371607</v>
      </c>
    </row>
    <row r="254" spans="1:12" ht="12.75">
      <c r="A254" t="s">
        <v>136</v>
      </c>
      <c r="B254" s="109">
        <v>12196044.510802662</v>
      </c>
      <c r="C254" s="109">
        <v>12256412.470098387</v>
      </c>
      <c r="D254" s="109">
        <v>12239151.552249016</v>
      </c>
      <c r="E254" s="109">
        <v>12353632.666261122</v>
      </c>
      <c r="F254" s="109">
        <v>12361591.467112385</v>
      </c>
      <c r="H254" s="241">
        <f t="shared" si="16"/>
        <v>1</v>
      </c>
      <c r="I254" s="241">
        <f t="shared" si="17"/>
        <v>1.00494979821058</v>
      </c>
      <c r="J254" s="241">
        <f t="shared" si="18"/>
        <v>0.9985916826892468</v>
      </c>
      <c r="K254" s="241">
        <f t="shared" si="19"/>
        <v>1.0093536805654693</v>
      </c>
      <c r="L254" s="241">
        <f t="shared" si="20"/>
        <v>1.0006442478148958</v>
      </c>
    </row>
    <row r="255" spans="1:12" ht="12.75">
      <c r="A255" t="s">
        <v>385</v>
      </c>
      <c r="B255" s="109">
        <v>11174748.416306239</v>
      </c>
      <c r="C255" s="109">
        <v>11269506.505969774</v>
      </c>
      <c r="D255" s="109">
        <v>11485573.524676938</v>
      </c>
      <c r="E255" s="109">
        <v>11646158.995067462</v>
      </c>
      <c r="F255" s="109">
        <v>11808594.652253218</v>
      </c>
      <c r="H255" s="241">
        <f t="shared" si="16"/>
        <v>1</v>
      </c>
      <c r="I255" s="241">
        <f t="shared" si="17"/>
        <v>1.008479662014159</v>
      </c>
      <c r="J255" s="241">
        <f t="shared" si="18"/>
        <v>1.0191727134273987</v>
      </c>
      <c r="K255" s="241">
        <f t="shared" si="19"/>
        <v>1.0139814933965208</v>
      </c>
      <c r="L255" s="241">
        <f t="shared" si="20"/>
        <v>1.013947573380593</v>
      </c>
    </row>
    <row r="256" spans="1:12" ht="12.75">
      <c r="A256" t="s">
        <v>386</v>
      </c>
      <c r="B256" s="109">
        <v>12560864.763456538</v>
      </c>
      <c r="C256" s="109">
        <v>12830199.686042596</v>
      </c>
      <c r="D256" s="109">
        <v>13017536.893826794</v>
      </c>
      <c r="E256" s="109">
        <v>13210602.756176427</v>
      </c>
      <c r="F256" s="109">
        <v>13459837.900686013</v>
      </c>
      <c r="H256" s="241">
        <f t="shared" si="16"/>
        <v>1</v>
      </c>
      <c r="I256" s="241">
        <f t="shared" si="17"/>
        <v>1.0214423869421503</v>
      </c>
      <c r="J256" s="241">
        <f t="shared" si="18"/>
        <v>1.0146012698452382</v>
      </c>
      <c r="K256" s="241">
        <f t="shared" si="19"/>
        <v>1.014831212995539</v>
      </c>
      <c r="L256" s="241">
        <f t="shared" si="20"/>
        <v>1.0188662961947788</v>
      </c>
    </row>
    <row r="257" spans="1:12" ht="12.75">
      <c r="A257" t="s">
        <v>387</v>
      </c>
      <c r="B257" s="109">
        <v>4010884.9015585724</v>
      </c>
      <c r="C257" s="109">
        <v>4087722.152018193</v>
      </c>
      <c r="D257" s="109">
        <v>4164943.5494387387</v>
      </c>
      <c r="E257" s="109">
        <v>4207382.3221268505</v>
      </c>
      <c r="F257" s="109">
        <v>4286827.490996992</v>
      </c>
      <c r="H257" s="241">
        <f t="shared" si="16"/>
        <v>1</v>
      </c>
      <c r="I257" s="241">
        <f t="shared" si="17"/>
        <v>1.019157181605925</v>
      </c>
      <c r="J257" s="241">
        <f t="shared" si="18"/>
        <v>1.0188910582835038</v>
      </c>
      <c r="K257" s="241">
        <f t="shared" si="19"/>
        <v>1.0101895193018475</v>
      </c>
      <c r="L257" s="241">
        <f t="shared" si="20"/>
        <v>1.0188823270118181</v>
      </c>
    </row>
    <row r="258" spans="1:12" ht="12.75">
      <c r="A258" t="s">
        <v>388</v>
      </c>
      <c r="B258" s="109">
        <v>13188066.1002463</v>
      </c>
      <c r="C258" s="109">
        <v>13226460.51152738</v>
      </c>
      <c r="D258" s="109">
        <v>13135717.719619688</v>
      </c>
      <c r="E258" s="109">
        <v>13226408.067702634</v>
      </c>
      <c r="F258" s="109">
        <v>13405208.608675959</v>
      </c>
      <c r="H258" s="241">
        <f t="shared" si="16"/>
        <v>1</v>
      </c>
      <c r="I258" s="241">
        <f t="shared" si="17"/>
        <v>1.0029112995786669</v>
      </c>
      <c r="J258" s="241">
        <f t="shared" si="18"/>
        <v>0.9931392989206291</v>
      </c>
      <c r="K258" s="241">
        <f t="shared" si="19"/>
        <v>1.006904102997546</v>
      </c>
      <c r="L258" s="241">
        <f t="shared" si="20"/>
        <v>1.0135184503652155</v>
      </c>
    </row>
    <row r="259" spans="1:12" ht="12.75">
      <c r="A259" t="s">
        <v>389</v>
      </c>
      <c r="B259" s="109">
        <v>454947124.59900004</v>
      </c>
      <c r="C259" s="109">
        <v>468303519.58395755</v>
      </c>
      <c r="D259" s="109">
        <v>481566592.495762</v>
      </c>
      <c r="E259" s="109">
        <v>494853471.17613035</v>
      </c>
      <c r="F259" s="109">
        <v>507574125.25103176</v>
      </c>
      <c r="H259" s="241">
        <f t="shared" si="16"/>
        <v>1</v>
      </c>
      <c r="I259" s="241">
        <f t="shared" si="17"/>
        <v>1.0293581259508566</v>
      </c>
      <c r="J259" s="241">
        <f t="shared" si="18"/>
        <v>1.0283215315648009</v>
      </c>
      <c r="K259" s="241">
        <f t="shared" si="19"/>
        <v>1.0275909477264773</v>
      </c>
      <c r="L259" s="241">
        <f t="shared" si="20"/>
        <v>1.0257059004651778</v>
      </c>
    </row>
    <row r="260" spans="1:12" ht="12.75">
      <c r="A260" t="s">
        <v>390</v>
      </c>
      <c r="B260" s="109">
        <v>3102968.2892573453</v>
      </c>
      <c r="C260" s="109">
        <v>3115023.9621720943</v>
      </c>
      <c r="D260" s="109">
        <v>3162631.899788055</v>
      </c>
      <c r="E260" s="109">
        <v>3212882.9249240593</v>
      </c>
      <c r="F260" s="109">
        <v>3264895.0624796664</v>
      </c>
      <c r="H260" s="241">
        <f t="shared" si="16"/>
        <v>1</v>
      </c>
      <c r="I260" s="241">
        <f t="shared" si="17"/>
        <v>1.003885206612161</v>
      </c>
      <c r="J260" s="241">
        <f t="shared" si="18"/>
        <v>1.0152833295005423</v>
      </c>
      <c r="K260" s="241">
        <f t="shared" si="19"/>
        <v>1.0158889895277954</v>
      </c>
      <c r="L260" s="241">
        <f t="shared" si="20"/>
        <v>1.0161886189976364</v>
      </c>
    </row>
    <row r="261" spans="1:12" ht="12.75">
      <c r="A261" t="s">
        <v>391</v>
      </c>
      <c r="B261" s="109">
        <v>10063852.07133564</v>
      </c>
      <c r="C261" s="109">
        <v>10230209.339745259</v>
      </c>
      <c r="D261" s="109">
        <v>10397675.135407379</v>
      </c>
      <c r="E261" s="109">
        <v>10570893.139272196</v>
      </c>
      <c r="F261" s="109">
        <v>10748492.548347259</v>
      </c>
      <c r="H261" s="241">
        <f t="shared" si="16"/>
        <v>1</v>
      </c>
      <c r="I261" s="241">
        <f t="shared" si="17"/>
        <v>1.0165301782290148</v>
      </c>
      <c r="J261" s="241">
        <f t="shared" si="18"/>
        <v>1.0163697330231065</v>
      </c>
      <c r="K261" s="241">
        <f t="shared" si="19"/>
        <v>1.0166593013927656</v>
      </c>
      <c r="L261" s="241">
        <f t="shared" si="20"/>
        <v>1.0168007950449578</v>
      </c>
    </row>
    <row r="262" spans="1:12" ht="12.75">
      <c r="A262" t="s">
        <v>392</v>
      </c>
      <c r="B262" s="109">
        <v>11491913.843876887</v>
      </c>
      <c r="C262" s="109">
        <v>11649035.086345265</v>
      </c>
      <c r="D262" s="109">
        <v>11769033.12866726</v>
      </c>
      <c r="E262" s="109">
        <v>11889174.47259867</v>
      </c>
      <c r="F262" s="109">
        <v>11910144.304900086</v>
      </c>
      <c r="H262" s="241">
        <f aca="true" t="shared" si="21" ref="H262:H299">B262/B262</f>
        <v>1</v>
      </c>
      <c r="I262" s="241">
        <f aca="true" t="shared" si="22" ref="I262:I299">C262/B262</f>
        <v>1.013672330353581</v>
      </c>
      <c r="J262" s="241">
        <f aca="true" t="shared" si="23" ref="J262:J299">D262/C262</f>
        <v>1.0103011143354401</v>
      </c>
      <c r="K262" s="241">
        <f aca="true" t="shared" si="24" ref="K262:K299">E262/D262</f>
        <v>1.0102082594736492</v>
      </c>
      <c r="L262" s="241">
        <f aca="true" t="shared" si="25" ref="L262:L299">F262/E262</f>
        <v>1.0017637753024606</v>
      </c>
    </row>
    <row r="263" spans="1:12" ht="12.75">
      <c r="A263" t="s">
        <v>393</v>
      </c>
      <c r="B263" s="109">
        <v>10957517.279537523</v>
      </c>
      <c r="C263" s="109">
        <v>11026842.790659156</v>
      </c>
      <c r="D263" s="109">
        <v>11202953.17555998</v>
      </c>
      <c r="E263" s="109">
        <v>11448506.05344757</v>
      </c>
      <c r="F263" s="109">
        <v>11634733.983148245</v>
      </c>
      <c r="H263" s="241">
        <f t="shared" si="21"/>
        <v>1</v>
      </c>
      <c r="I263" s="241">
        <f t="shared" si="22"/>
        <v>1.006326753529387</v>
      </c>
      <c r="J263" s="241">
        <f t="shared" si="23"/>
        <v>1.0159710615490054</v>
      </c>
      <c r="K263" s="241">
        <f t="shared" si="24"/>
        <v>1.0219185846838386</v>
      </c>
      <c r="L263" s="241">
        <f t="shared" si="25"/>
        <v>1.0162665704006502</v>
      </c>
    </row>
    <row r="264" spans="1:12" ht="12.75">
      <c r="A264" t="s">
        <v>394</v>
      </c>
      <c r="B264" s="109">
        <v>8043015.397260188</v>
      </c>
      <c r="C264" s="109">
        <v>8291020.090847178</v>
      </c>
      <c r="D264" s="109">
        <v>8379172.419358969</v>
      </c>
      <c r="E264" s="109">
        <v>8589326.603046792</v>
      </c>
      <c r="F264" s="109">
        <v>8741920.287810076</v>
      </c>
      <c r="H264" s="241">
        <f t="shared" si="21"/>
        <v>1</v>
      </c>
      <c r="I264" s="241">
        <f t="shared" si="22"/>
        <v>1.0308347903538109</v>
      </c>
      <c r="J264" s="241">
        <f t="shared" si="23"/>
        <v>1.0106322656978126</v>
      </c>
      <c r="K264" s="241">
        <f t="shared" si="24"/>
        <v>1.0250805417492412</v>
      </c>
      <c r="L264" s="241">
        <f t="shared" si="25"/>
        <v>1.0177655003489048</v>
      </c>
    </row>
    <row r="265" spans="1:12" ht="12.75">
      <c r="A265" t="s">
        <v>395</v>
      </c>
      <c r="B265" s="109">
        <v>5673835.290465688</v>
      </c>
      <c r="C265" s="109">
        <v>5762435.132932769</v>
      </c>
      <c r="D265" s="109">
        <v>5885151.501215846</v>
      </c>
      <c r="E265" s="109">
        <v>6007240.02089302</v>
      </c>
      <c r="F265" s="109">
        <v>6132692.193803749</v>
      </c>
      <c r="H265" s="241">
        <f t="shared" si="21"/>
        <v>1</v>
      </c>
      <c r="I265" s="241">
        <f t="shared" si="22"/>
        <v>1.0156155118947432</v>
      </c>
      <c r="J265" s="241">
        <f t="shared" si="23"/>
        <v>1.0212959218545894</v>
      </c>
      <c r="K265" s="241">
        <f t="shared" si="24"/>
        <v>1.0207451787183304</v>
      </c>
      <c r="L265" s="241">
        <f t="shared" si="25"/>
        <v>1.0208834959939024</v>
      </c>
    </row>
    <row r="266" spans="1:12" ht="12.75">
      <c r="A266" t="s">
        <v>396</v>
      </c>
      <c r="B266" s="109">
        <v>45391351.56023596</v>
      </c>
      <c r="C266" s="109">
        <v>46019788.48270099</v>
      </c>
      <c r="D266" s="109">
        <v>46750448.23015943</v>
      </c>
      <c r="E266" s="109">
        <v>47437967.378794335</v>
      </c>
      <c r="F266" s="109">
        <v>48075900.63929854</v>
      </c>
      <c r="H266" s="241">
        <f t="shared" si="21"/>
        <v>1</v>
      </c>
      <c r="I266" s="241">
        <f t="shared" si="22"/>
        <v>1.0138448603283177</v>
      </c>
      <c r="J266" s="241">
        <f t="shared" si="23"/>
        <v>1.01587707748229</v>
      </c>
      <c r="K266" s="241">
        <f t="shared" si="24"/>
        <v>1.0147061509496154</v>
      </c>
      <c r="L266" s="241">
        <f t="shared" si="25"/>
        <v>1.0134477359750742</v>
      </c>
    </row>
    <row r="267" spans="1:12" ht="12.75">
      <c r="A267" t="s">
        <v>397</v>
      </c>
      <c r="B267" s="109">
        <v>410389703.1604271</v>
      </c>
      <c r="C267" s="109">
        <v>421436545.5837272</v>
      </c>
      <c r="D267" s="109">
        <v>432342376.46850294</v>
      </c>
      <c r="E267" s="109">
        <v>443478564.5525048</v>
      </c>
      <c r="F267" s="109">
        <v>454243452.0445761</v>
      </c>
      <c r="H267" s="241">
        <f t="shared" si="21"/>
        <v>1</v>
      </c>
      <c r="I267" s="241">
        <f t="shared" si="22"/>
        <v>1.0269179327313231</v>
      </c>
      <c r="J267" s="241">
        <f t="shared" si="23"/>
        <v>1.025877753125729</v>
      </c>
      <c r="K267" s="241">
        <f t="shared" si="24"/>
        <v>1.0257577991196825</v>
      </c>
      <c r="L267" s="241">
        <f t="shared" si="25"/>
        <v>1.0242737492914313</v>
      </c>
    </row>
    <row r="268" spans="1:12" ht="12.75">
      <c r="A268" t="s">
        <v>319</v>
      </c>
      <c r="B268" s="109">
        <v>7874748.951030199</v>
      </c>
      <c r="C268" s="109">
        <v>7975311.455142082</v>
      </c>
      <c r="D268" s="109">
        <v>8080300.12955712</v>
      </c>
      <c r="E268" s="109">
        <v>8185119.154478352</v>
      </c>
      <c r="F268" s="109">
        <v>8298270.379286002</v>
      </c>
      <c r="H268" s="241">
        <f t="shared" si="21"/>
        <v>1</v>
      </c>
      <c r="I268" s="241">
        <f t="shared" si="22"/>
        <v>1.0127702488977413</v>
      </c>
      <c r="J268" s="241">
        <f t="shared" si="23"/>
        <v>1.0131642099503646</v>
      </c>
      <c r="K268" s="241">
        <f t="shared" si="24"/>
        <v>1.0129721697511966</v>
      </c>
      <c r="L268" s="241">
        <f t="shared" si="25"/>
        <v>1.0138240168129675</v>
      </c>
    </row>
    <row r="269" spans="1:12" ht="12.75">
      <c r="A269" t="s">
        <v>398</v>
      </c>
      <c r="B269" s="109">
        <v>6280180.173997006</v>
      </c>
      <c r="C269" s="109">
        <v>6390802.301975151</v>
      </c>
      <c r="D269" s="109">
        <v>6505490.558275366</v>
      </c>
      <c r="E269" s="109">
        <v>6621129.490345629</v>
      </c>
      <c r="F269" s="109">
        <v>6694738.124824848</v>
      </c>
      <c r="H269" s="241">
        <f t="shared" si="21"/>
        <v>1</v>
      </c>
      <c r="I269" s="241">
        <f t="shared" si="22"/>
        <v>1.017614483169794</v>
      </c>
      <c r="J269" s="241">
        <f t="shared" si="23"/>
        <v>1.0179458307237528</v>
      </c>
      <c r="K269" s="241">
        <f t="shared" si="24"/>
        <v>1.0177755898704923</v>
      </c>
      <c r="L269" s="241">
        <f t="shared" si="25"/>
        <v>1.0111172322768418</v>
      </c>
    </row>
    <row r="270" spans="1:12" ht="12.75">
      <c r="A270" t="s">
        <v>399</v>
      </c>
      <c r="B270" s="109">
        <v>79806825.47039367</v>
      </c>
      <c r="C270" s="109">
        <v>81403198.59328918</v>
      </c>
      <c r="D270" s="109">
        <v>82939196.12608835</v>
      </c>
      <c r="E270" s="109">
        <v>84606478.16315874</v>
      </c>
      <c r="F270" s="109">
        <v>86295717.15838985</v>
      </c>
      <c r="H270" s="241">
        <f t="shared" si="21"/>
        <v>1</v>
      </c>
      <c r="I270" s="241">
        <f t="shared" si="22"/>
        <v>1.0200029648277105</v>
      </c>
      <c r="J270" s="241">
        <f t="shared" si="23"/>
        <v>1.0188690071071211</v>
      </c>
      <c r="K270" s="241">
        <f t="shared" si="24"/>
        <v>1.020102461983544</v>
      </c>
      <c r="L270" s="241">
        <f t="shared" si="25"/>
        <v>1.0199658351453125</v>
      </c>
    </row>
    <row r="271" spans="1:12" ht="12.75">
      <c r="A271" t="s">
        <v>400</v>
      </c>
      <c r="B271" s="109">
        <v>18682901.386515696</v>
      </c>
      <c r="C271" s="109">
        <v>19071437.60589123</v>
      </c>
      <c r="D271" s="109">
        <v>19287873.05392154</v>
      </c>
      <c r="E271" s="109">
        <v>19586869.425409302</v>
      </c>
      <c r="F271" s="109">
        <v>19642827.292654406</v>
      </c>
      <c r="H271" s="241">
        <f t="shared" si="21"/>
        <v>1</v>
      </c>
      <c r="I271" s="241">
        <f t="shared" si="22"/>
        <v>1.0207963533788151</v>
      </c>
      <c r="J271" s="241">
        <f t="shared" si="23"/>
        <v>1.0113486698015597</v>
      </c>
      <c r="K271" s="241">
        <f t="shared" si="24"/>
        <v>1.0155017803493358</v>
      </c>
      <c r="L271" s="241">
        <f t="shared" si="25"/>
        <v>1.002856907146811</v>
      </c>
    </row>
    <row r="272" spans="1:12" ht="12.75">
      <c r="A272" t="s">
        <v>401</v>
      </c>
      <c r="B272" s="109">
        <v>26388694.24628226</v>
      </c>
      <c r="C272" s="109">
        <v>26715188.407788</v>
      </c>
      <c r="D272" s="109">
        <v>27138338.11655755</v>
      </c>
      <c r="E272" s="109">
        <v>27617074.803399157</v>
      </c>
      <c r="F272" s="109">
        <v>27979801.257355995</v>
      </c>
      <c r="H272" s="241">
        <f t="shared" si="21"/>
        <v>1</v>
      </c>
      <c r="I272" s="241">
        <f t="shared" si="22"/>
        <v>1.0123725015894538</v>
      </c>
      <c r="J272" s="241">
        <f t="shared" si="23"/>
        <v>1.0158392934502454</v>
      </c>
      <c r="K272" s="241">
        <f t="shared" si="24"/>
        <v>1.0176406044019888</v>
      </c>
      <c r="L272" s="241">
        <f t="shared" si="25"/>
        <v>1.0131341373602751</v>
      </c>
    </row>
    <row r="273" spans="1:12" ht="12.75">
      <c r="A273" t="s">
        <v>402</v>
      </c>
      <c r="B273" s="109">
        <v>9333913.529181376</v>
      </c>
      <c r="C273" s="109">
        <v>9474109.026675299</v>
      </c>
      <c r="D273" s="109">
        <v>9584761.131267205</v>
      </c>
      <c r="E273" s="109">
        <v>9735508.248832583</v>
      </c>
      <c r="F273" s="109">
        <v>9852948.306086926</v>
      </c>
      <c r="H273" s="241">
        <f t="shared" si="21"/>
        <v>1</v>
      </c>
      <c r="I273" s="241">
        <f t="shared" si="22"/>
        <v>1.015020012458399</v>
      </c>
      <c r="J273" s="241">
        <f t="shared" si="23"/>
        <v>1.0116794206484594</v>
      </c>
      <c r="K273" s="241">
        <f t="shared" si="24"/>
        <v>1.0157277907608584</v>
      </c>
      <c r="L273" s="241">
        <f t="shared" si="25"/>
        <v>1.0120630638126598</v>
      </c>
    </row>
    <row r="274" spans="1:12" ht="12.75">
      <c r="A274" t="s">
        <v>403</v>
      </c>
      <c r="B274" s="109">
        <v>9602392.406810971</v>
      </c>
      <c r="C274" s="109">
        <v>9723388.610619854</v>
      </c>
      <c r="D274" s="109">
        <v>9935042.860286023</v>
      </c>
      <c r="E274" s="109">
        <v>10059848.951926704</v>
      </c>
      <c r="F274" s="109">
        <v>10222716.531349692</v>
      </c>
      <c r="H274" s="241">
        <f t="shared" si="21"/>
        <v>1</v>
      </c>
      <c r="I274" s="241">
        <f t="shared" si="22"/>
        <v>1.012600631038892</v>
      </c>
      <c r="J274" s="241">
        <f t="shared" si="23"/>
        <v>1.0217675399124746</v>
      </c>
      <c r="K274" s="241">
        <f t="shared" si="24"/>
        <v>1.0125622096850309</v>
      </c>
      <c r="L274" s="241">
        <f t="shared" si="25"/>
        <v>1.0161898633072215</v>
      </c>
    </row>
    <row r="275" spans="1:12" ht="12.75">
      <c r="A275" t="s">
        <v>404</v>
      </c>
      <c r="B275" s="109">
        <v>4683564.121143634</v>
      </c>
      <c r="C275" s="109">
        <v>4773928.816633066</v>
      </c>
      <c r="D275" s="109">
        <v>4906089.497874152</v>
      </c>
      <c r="E275" s="109">
        <v>4997478.46690718</v>
      </c>
      <c r="F275" s="109">
        <v>5050581.382831457</v>
      </c>
      <c r="H275" s="241">
        <f t="shared" si="21"/>
        <v>1</v>
      </c>
      <c r="I275" s="241">
        <f t="shared" si="22"/>
        <v>1.0192940019933723</v>
      </c>
      <c r="J275" s="241">
        <f t="shared" si="23"/>
        <v>1.027683839939259</v>
      </c>
      <c r="K275" s="241">
        <f t="shared" si="24"/>
        <v>1.0186276603948272</v>
      </c>
      <c r="L275" s="241">
        <f t="shared" si="25"/>
        <v>1.010625941917693</v>
      </c>
    </row>
    <row r="276" spans="1:12" ht="12.75">
      <c r="A276" t="s">
        <v>405</v>
      </c>
      <c r="B276" s="109">
        <v>9094361.729269013</v>
      </c>
      <c r="C276" s="109">
        <v>9350711.831285058</v>
      </c>
      <c r="D276" s="109">
        <v>9518865.430888707</v>
      </c>
      <c r="E276" s="109">
        <v>9669157.61709183</v>
      </c>
      <c r="F276" s="109">
        <v>9818531.080658177</v>
      </c>
      <c r="H276" s="241">
        <f t="shared" si="21"/>
        <v>1</v>
      </c>
      <c r="I276" s="241">
        <f t="shared" si="22"/>
        <v>1.0281878057688223</v>
      </c>
      <c r="J276" s="241">
        <f t="shared" si="23"/>
        <v>1.017982973129495</v>
      </c>
      <c r="K276" s="241">
        <f t="shared" si="24"/>
        <v>1.0157888760266982</v>
      </c>
      <c r="L276" s="241">
        <f t="shared" si="25"/>
        <v>1.0154484464398743</v>
      </c>
    </row>
    <row r="277" spans="1:12" ht="12.75">
      <c r="A277" t="s">
        <v>406</v>
      </c>
      <c r="B277" s="109">
        <v>17861289.312531378</v>
      </c>
      <c r="C277" s="109">
        <v>18342785.284033194</v>
      </c>
      <c r="D277" s="109">
        <v>18672134.88444907</v>
      </c>
      <c r="E277" s="109">
        <v>18903367.28653984</v>
      </c>
      <c r="F277" s="109">
        <v>19053202.812822826</v>
      </c>
      <c r="H277" s="241">
        <f t="shared" si="21"/>
        <v>1</v>
      </c>
      <c r="I277" s="241">
        <f t="shared" si="22"/>
        <v>1.026957514828675</v>
      </c>
      <c r="J277" s="241">
        <f t="shared" si="23"/>
        <v>1.0179552666247782</v>
      </c>
      <c r="K277" s="241">
        <f t="shared" si="24"/>
        <v>1.0123838223921227</v>
      </c>
      <c r="L277" s="241">
        <f t="shared" si="25"/>
        <v>1.0079263934309564</v>
      </c>
    </row>
    <row r="278" spans="1:12" ht="12.75">
      <c r="A278" t="s">
        <v>407</v>
      </c>
      <c r="B278" s="109">
        <v>25497311.44426904</v>
      </c>
      <c r="C278" s="109">
        <v>25899404.96850289</v>
      </c>
      <c r="D278" s="109">
        <v>26207349.56149959</v>
      </c>
      <c r="E278" s="109">
        <v>26610583.493285153</v>
      </c>
      <c r="F278" s="109">
        <v>26957005.969922293</v>
      </c>
      <c r="H278" s="241">
        <f t="shared" si="21"/>
        <v>1</v>
      </c>
      <c r="I278" s="241">
        <f t="shared" si="22"/>
        <v>1.0157700361903932</v>
      </c>
      <c r="J278" s="241">
        <f t="shared" si="23"/>
        <v>1.0118900257890557</v>
      </c>
      <c r="K278" s="241">
        <f t="shared" si="24"/>
        <v>1.0153862919575027</v>
      </c>
      <c r="L278" s="241">
        <f t="shared" si="25"/>
        <v>1.013018221743411</v>
      </c>
    </row>
    <row r="279" spans="1:12" ht="12.75">
      <c r="A279" t="s">
        <v>409</v>
      </c>
      <c r="B279" s="109">
        <v>210644998.6405607</v>
      </c>
      <c r="C279" s="109">
        <v>216017703.97132963</v>
      </c>
      <c r="D279" s="109">
        <v>221567381.83139452</v>
      </c>
      <c r="E279" s="109">
        <v>227110681.97223598</v>
      </c>
      <c r="F279" s="109">
        <v>232699246.93862993</v>
      </c>
      <c r="H279" s="241">
        <f t="shared" si="21"/>
        <v>1</v>
      </c>
      <c r="I279" s="241">
        <f t="shared" si="22"/>
        <v>1.0255059714944232</v>
      </c>
      <c r="J279" s="241">
        <f t="shared" si="23"/>
        <v>1.0256908473612953</v>
      </c>
      <c r="K279" s="241">
        <f t="shared" si="24"/>
        <v>1.0250185749139724</v>
      </c>
      <c r="L279" s="241">
        <f t="shared" si="25"/>
        <v>1.0246072307910077</v>
      </c>
    </row>
    <row r="280" spans="1:12" ht="12.75">
      <c r="A280" t="s">
        <v>410</v>
      </c>
      <c r="B280" s="109">
        <v>39113234.60812651</v>
      </c>
      <c r="C280" s="109">
        <v>39942279.51546858</v>
      </c>
      <c r="D280" s="109">
        <v>40766196.79434953</v>
      </c>
      <c r="E280" s="109">
        <v>41583406.647194356</v>
      </c>
      <c r="F280" s="109">
        <v>42357869.600637585</v>
      </c>
      <c r="H280" s="241">
        <f t="shared" si="21"/>
        <v>1</v>
      </c>
      <c r="I280" s="241">
        <f t="shared" si="22"/>
        <v>1.0211960201105388</v>
      </c>
      <c r="J280" s="241">
        <f t="shared" si="23"/>
        <v>1.0206276979900926</v>
      </c>
      <c r="K280" s="241">
        <f t="shared" si="24"/>
        <v>1.0200462617831962</v>
      </c>
      <c r="L280" s="241">
        <f t="shared" si="25"/>
        <v>1.0186243267660584</v>
      </c>
    </row>
    <row r="281" spans="1:12" ht="12.75">
      <c r="A281" t="s">
        <v>411</v>
      </c>
      <c r="B281" s="109">
        <v>4761125.806041554</v>
      </c>
      <c r="C281" s="109">
        <v>4838892.4308653</v>
      </c>
      <c r="D281" s="109">
        <v>4919827.552644898</v>
      </c>
      <c r="E281" s="109">
        <v>5002075.677056013</v>
      </c>
      <c r="F281" s="109">
        <v>5086672.27247926</v>
      </c>
      <c r="H281" s="241">
        <f t="shared" si="21"/>
        <v>1</v>
      </c>
      <c r="I281" s="241">
        <f t="shared" si="22"/>
        <v>1.0163336630855386</v>
      </c>
      <c r="J281" s="241">
        <f t="shared" si="23"/>
        <v>1.016725960110902</v>
      </c>
      <c r="K281" s="241">
        <f t="shared" si="24"/>
        <v>1.016717684416987</v>
      </c>
      <c r="L281" s="241">
        <f t="shared" si="25"/>
        <v>1.0169122981907857</v>
      </c>
    </row>
    <row r="282" spans="1:12" ht="12.75">
      <c r="A282" t="s">
        <v>413</v>
      </c>
      <c r="B282" s="109">
        <v>41801385.904732704</v>
      </c>
      <c r="C282" s="109">
        <v>42118336.93600085</v>
      </c>
      <c r="D282" s="109">
        <v>42304661.13079462</v>
      </c>
      <c r="E282" s="109">
        <v>42500172.19908619</v>
      </c>
      <c r="F282" s="109">
        <v>42805631.240402035</v>
      </c>
      <c r="H282" s="241">
        <f t="shared" si="21"/>
        <v>1</v>
      </c>
      <c r="I282" s="241">
        <f t="shared" si="22"/>
        <v>1.007582309160526</v>
      </c>
      <c r="J282" s="241">
        <f t="shared" si="23"/>
        <v>1.004423826018508</v>
      </c>
      <c r="K282" s="241">
        <f t="shared" si="24"/>
        <v>1.0046215018171898</v>
      </c>
      <c r="L282" s="241">
        <f t="shared" si="25"/>
        <v>1.007187242439512</v>
      </c>
    </row>
    <row r="283" spans="1:12" ht="12.75">
      <c r="A283" t="s">
        <v>414</v>
      </c>
      <c r="B283" s="109">
        <v>2512046.836961898</v>
      </c>
      <c r="C283" s="109">
        <v>2560136.435677477</v>
      </c>
      <c r="D283" s="109">
        <v>2609749.947602287</v>
      </c>
      <c r="E283" s="109">
        <v>2637473.334841141</v>
      </c>
      <c r="F283" s="109">
        <v>2665997.05625818</v>
      </c>
      <c r="H283" s="241">
        <f t="shared" si="21"/>
        <v>1</v>
      </c>
      <c r="I283" s="241">
        <f t="shared" si="22"/>
        <v>1.0191435915955052</v>
      </c>
      <c r="J283" s="241">
        <f t="shared" si="23"/>
        <v>1.0193792452751373</v>
      </c>
      <c r="K283" s="241">
        <f t="shared" si="24"/>
        <v>1.0106230051903344</v>
      </c>
      <c r="L283" s="241">
        <f t="shared" si="25"/>
        <v>1.0108147904436566</v>
      </c>
    </row>
    <row r="284" spans="1:12" ht="12.75">
      <c r="A284" t="s">
        <v>415</v>
      </c>
      <c r="B284" s="109">
        <v>5026257.914355142</v>
      </c>
      <c r="C284" s="109">
        <v>5138588.200890847</v>
      </c>
      <c r="D284" s="109">
        <v>5266483.304972292</v>
      </c>
      <c r="E284" s="109">
        <v>5346924.735717315</v>
      </c>
      <c r="F284" s="109">
        <v>5376952.462450306</v>
      </c>
      <c r="H284" s="241">
        <f t="shared" si="21"/>
        <v>1</v>
      </c>
      <c r="I284" s="241">
        <f t="shared" si="22"/>
        <v>1.0223486913027058</v>
      </c>
      <c r="J284" s="241">
        <f t="shared" si="23"/>
        <v>1.024889152249887</v>
      </c>
      <c r="K284" s="241">
        <f t="shared" si="24"/>
        <v>1.0152742211617904</v>
      </c>
      <c r="L284" s="241">
        <f t="shared" si="25"/>
        <v>1.0056158873029213</v>
      </c>
    </row>
    <row r="285" spans="1:12" ht="12.75">
      <c r="A285" t="s">
        <v>416</v>
      </c>
      <c r="B285" s="109">
        <v>9817919.57273264</v>
      </c>
      <c r="C285" s="109">
        <v>10098917.197718794</v>
      </c>
      <c r="D285" s="109">
        <v>10284772.604167342</v>
      </c>
      <c r="E285" s="109">
        <v>10490831.170800759</v>
      </c>
      <c r="F285" s="109">
        <v>10575304.155399935</v>
      </c>
      <c r="H285" s="241">
        <f t="shared" si="21"/>
        <v>1</v>
      </c>
      <c r="I285" s="241">
        <f t="shared" si="22"/>
        <v>1.0286208929401468</v>
      </c>
      <c r="J285" s="241">
        <f t="shared" si="23"/>
        <v>1.0184034983959005</v>
      </c>
      <c r="K285" s="241">
        <f t="shared" si="24"/>
        <v>1.0200353060358303</v>
      </c>
      <c r="L285" s="241">
        <f t="shared" si="25"/>
        <v>1.0080520774020547</v>
      </c>
    </row>
    <row r="286" spans="1:12" ht="12.75">
      <c r="A286" t="s">
        <v>417</v>
      </c>
      <c r="B286" s="109">
        <v>7008259.187972106</v>
      </c>
      <c r="C286" s="109">
        <v>7061811.841953506</v>
      </c>
      <c r="D286" s="109">
        <v>7145819.939510553</v>
      </c>
      <c r="E286" s="109">
        <v>7230669.361301142</v>
      </c>
      <c r="F286" s="109">
        <v>7372302.242226953</v>
      </c>
      <c r="H286" s="241">
        <f t="shared" si="21"/>
        <v>1</v>
      </c>
      <c r="I286" s="241">
        <f t="shared" si="22"/>
        <v>1.0076413632180312</v>
      </c>
      <c r="J286" s="241">
        <f t="shared" si="23"/>
        <v>1.0118961110034062</v>
      </c>
      <c r="K286" s="241">
        <f t="shared" si="24"/>
        <v>1.0118739938186017</v>
      </c>
      <c r="L286" s="241">
        <f t="shared" si="25"/>
        <v>1.0195877966269398</v>
      </c>
    </row>
    <row r="287" spans="1:12" ht="12.75">
      <c r="A287" t="s">
        <v>418</v>
      </c>
      <c r="B287" s="109">
        <v>8780521.654104633</v>
      </c>
      <c r="C287" s="109">
        <v>8988496.110421263</v>
      </c>
      <c r="D287" s="109">
        <v>9052512.948301062</v>
      </c>
      <c r="E287" s="109">
        <v>9279537.250711126</v>
      </c>
      <c r="F287" s="109">
        <v>9448942.978613026</v>
      </c>
      <c r="H287" s="241">
        <f t="shared" si="21"/>
        <v>1</v>
      </c>
      <c r="I287" s="241">
        <f t="shared" si="22"/>
        <v>1.0236858884368685</v>
      </c>
      <c r="J287" s="241">
        <f t="shared" si="23"/>
        <v>1.0071220855072271</v>
      </c>
      <c r="K287" s="241">
        <f t="shared" si="24"/>
        <v>1.0250785946075527</v>
      </c>
      <c r="L287" s="241">
        <f t="shared" si="25"/>
        <v>1.0182558379071023</v>
      </c>
    </row>
    <row r="288" spans="1:12" ht="12.75">
      <c r="A288" t="s">
        <v>419</v>
      </c>
      <c r="B288" s="109">
        <v>60042482.26866513</v>
      </c>
      <c r="C288" s="109">
        <v>61383120.90967378</v>
      </c>
      <c r="D288" s="109">
        <v>62270187.68983924</v>
      </c>
      <c r="E288" s="109">
        <v>63387763.74643269</v>
      </c>
      <c r="F288" s="109">
        <v>64283734.72221198</v>
      </c>
      <c r="H288" s="241">
        <f t="shared" si="21"/>
        <v>1</v>
      </c>
      <c r="I288" s="241">
        <f t="shared" si="22"/>
        <v>1.0223281681628327</v>
      </c>
      <c r="J288" s="241">
        <f t="shared" si="23"/>
        <v>1.0144513144170495</v>
      </c>
      <c r="K288" s="241">
        <f t="shared" si="24"/>
        <v>1.0179472087375097</v>
      </c>
      <c r="L288" s="241">
        <f t="shared" si="25"/>
        <v>1.0141347623393593</v>
      </c>
    </row>
    <row r="289" spans="1:12" ht="12.75">
      <c r="A289" t="s">
        <v>420</v>
      </c>
      <c r="B289" s="109">
        <v>14284163.67728097</v>
      </c>
      <c r="C289" s="109">
        <v>14461213.236728203</v>
      </c>
      <c r="D289" s="109">
        <v>14583803.766919939</v>
      </c>
      <c r="E289" s="109">
        <v>14771553.461569857</v>
      </c>
      <c r="F289" s="109">
        <v>14925751.83358425</v>
      </c>
      <c r="H289" s="241">
        <f t="shared" si="21"/>
        <v>1</v>
      </c>
      <c r="I289" s="241">
        <f t="shared" si="22"/>
        <v>1.0123948145265818</v>
      </c>
      <c r="J289" s="241">
        <f t="shared" si="23"/>
        <v>1.0084771953905212</v>
      </c>
      <c r="K289" s="241">
        <f t="shared" si="24"/>
        <v>1.0128738494874558</v>
      </c>
      <c r="L289" s="241">
        <f t="shared" si="25"/>
        <v>1.010438873095884</v>
      </c>
    </row>
    <row r="290" spans="1:12" ht="12.75">
      <c r="A290" t="s">
        <v>421</v>
      </c>
      <c r="B290" s="109">
        <v>5344065.933943247</v>
      </c>
      <c r="C290" s="109">
        <v>5431506.301880183</v>
      </c>
      <c r="D290" s="109">
        <v>5576438.424851073</v>
      </c>
      <c r="E290" s="109">
        <v>5558431.913803078</v>
      </c>
      <c r="F290" s="109">
        <v>5708057.184524512</v>
      </c>
      <c r="H290" s="241">
        <f t="shared" si="21"/>
        <v>1</v>
      </c>
      <c r="I290" s="241">
        <f t="shared" si="22"/>
        <v>1.0163621424244695</v>
      </c>
      <c r="J290" s="241">
        <f t="shared" si="23"/>
        <v>1.0266835965781205</v>
      </c>
      <c r="K290" s="241">
        <f t="shared" si="24"/>
        <v>0.9967709656816527</v>
      </c>
      <c r="L290" s="241">
        <f t="shared" si="25"/>
        <v>1.0269186117670839</v>
      </c>
    </row>
    <row r="291" spans="1:12" ht="12.75">
      <c r="A291" t="s">
        <v>422</v>
      </c>
      <c r="B291" s="109">
        <v>7350044.293667633</v>
      </c>
      <c r="C291" s="109">
        <v>7503132.733703974</v>
      </c>
      <c r="D291" s="109">
        <v>7638686.355274414</v>
      </c>
      <c r="E291" s="109">
        <v>7774749.026251189</v>
      </c>
      <c r="F291" s="109">
        <v>7915179.350030939</v>
      </c>
      <c r="H291" s="241">
        <f t="shared" si="21"/>
        <v>1</v>
      </c>
      <c r="I291" s="241">
        <f t="shared" si="22"/>
        <v>1.0208282336704055</v>
      </c>
      <c r="J291" s="241">
        <f t="shared" si="23"/>
        <v>1.018066269967681</v>
      </c>
      <c r="K291" s="241">
        <f t="shared" si="24"/>
        <v>1.0178123128308345</v>
      </c>
      <c r="L291" s="241">
        <f t="shared" si="25"/>
        <v>1.0180623610235637</v>
      </c>
    </row>
    <row r="292" spans="1:12" ht="12.75">
      <c r="A292" t="s">
        <v>423</v>
      </c>
      <c r="B292" s="109">
        <v>15079057.16151307</v>
      </c>
      <c r="C292" s="109">
        <v>15159301.892107956</v>
      </c>
      <c r="D292" s="109">
        <v>15208788.29955483</v>
      </c>
      <c r="E292" s="109">
        <v>15297983.787949547</v>
      </c>
      <c r="F292" s="109">
        <v>15469705.634783193</v>
      </c>
      <c r="H292" s="241">
        <f t="shared" si="21"/>
        <v>1</v>
      </c>
      <c r="I292" s="241">
        <f t="shared" si="22"/>
        <v>1.00532160132662</v>
      </c>
      <c r="J292" s="241">
        <f t="shared" si="23"/>
        <v>1.003264425222156</v>
      </c>
      <c r="K292" s="241">
        <f t="shared" si="24"/>
        <v>1.0058647333790114</v>
      </c>
      <c r="L292" s="241">
        <f t="shared" si="25"/>
        <v>1.0112251293512884</v>
      </c>
    </row>
    <row r="293" spans="1:12" ht="12.75">
      <c r="A293" t="s">
        <v>137</v>
      </c>
      <c r="B293" s="109">
        <v>17827079.214606382</v>
      </c>
      <c r="C293" s="109">
        <v>18371173.22265894</v>
      </c>
      <c r="D293" s="109">
        <v>18909496.49443543</v>
      </c>
      <c r="E293" s="109">
        <v>19446682.555824</v>
      </c>
      <c r="F293" s="109">
        <v>19857686.979748856</v>
      </c>
      <c r="H293" s="241">
        <f t="shared" si="21"/>
        <v>1</v>
      </c>
      <c r="I293" s="241">
        <f t="shared" si="22"/>
        <v>1.0305206479144806</v>
      </c>
      <c r="J293" s="241">
        <f t="shared" si="23"/>
        <v>1.0293026071471867</v>
      </c>
      <c r="K293" s="241">
        <f t="shared" si="24"/>
        <v>1.0284082689111607</v>
      </c>
      <c r="L293" s="241">
        <f t="shared" si="25"/>
        <v>1.021134937681274</v>
      </c>
    </row>
    <row r="294" spans="1:12" ht="12.75">
      <c r="A294" t="s">
        <v>424</v>
      </c>
      <c r="B294" s="109">
        <v>9172041.474934839</v>
      </c>
      <c r="C294" s="109">
        <v>9388864.356511876</v>
      </c>
      <c r="D294" s="109">
        <v>9456624.6111498</v>
      </c>
      <c r="E294" s="109">
        <v>9642166.498860199</v>
      </c>
      <c r="F294" s="109">
        <v>9778909.874932496</v>
      </c>
      <c r="H294" s="241">
        <f t="shared" si="21"/>
        <v>1</v>
      </c>
      <c r="I294" s="241">
        <f t="shared" si="22"/>
        <v>1.0236395443881896</v>
      </c>
      <c r="J294" s="241">
        <f t="shared" si="23"/>
        <v>1.0072170873989597</v>
      </c>
      <c r="K294" s="241">
        <f t="shared" si="24"/>
        <v>1.019620308021071</v>
      </c>
      <c r="L294" s="241">
        <f t="shared" si="25"/>
        <v>1.01418181029009</v>
      </c>
    </row>
    <row r="295" spans="1:12" ht="12.75">
      <c r="A295" t="s">
        <v>425</v>
      </c>
      <c r="B295" s="109">
        <v>36802430.57622551</v>
      </c>
      <c r="C295" s="109">
        <v>37836693.78031065</v>
      </c>
      <c r="D295" s="109">
        <v>39067059.620914854</v>
      </c>
      <c r="E295" s="109">
        <v>40171302.543374486</v>
      </c>
      <c r="F295" s="109">
        <v>41235491.22770255</v>
      </c>
      <c r="H295" s="241">
        <f t="shared" si="21"/>
        <v>1</v>
      </c>
      <c r="I295" s="241">
        <f t="shared" si="22"/>
        <v>1.0281031222093597</v>
      </c>
      <c r="J295" s="241">
        <f t="shared" si="23"/>
        <v>1.0325177947034172</v>
      </c>
      <c r="K295" s="241">
        <f t="shared" si="24"/>
        <v>1.0282653195089315</v>
      </c>
      <c r="L295" s="241">
        <f t="shared" si="25"/>
        <v>1.0264912665746653</v>
      </c>
    </row>
    <row r="296" spans="1:12" ht="12.75">
      <c r="A296" t="s">
        <v>426</v>
      </c>
      <c r="B296" s="109">
        <v>73943926.54027823</v>
      </c>
      <c r="C296" s="109">
        <v>76157429.17495838</v>
      </c>
      <c r="D296" s="109">
        <v>77935637.5315429</v>
      </c>
      <c r="E296" s="109">
        <v>79772138.57656592</v>
      </c>
      <c r="F296" s="109">
        <v>81557249.719129</v>
      </c>
      <c r="H296" s="241">
        <f t="shared" si="21"/>
        <v>1</v>
      </c>
      <c r="I296" s="241">
        <f t="shared" si="22"/>
        <v>1.0299348809056608</v>
      </c>
      <c r="J296" s="241">
        <f t="shared" si="23"/>
        <v>1.0233491121726206</v>
      </c>
      <c r="K296" s="241">
        <f t="shared" si="24"/>
        <v>1.0235643295312717</v>
      </c>
      <c r="L296" s="241">
        <f t="shared" si="25"/>
        <v>1.0223776267556086</v>
      </c>
    </row>
    <row r="297" spans="1:12" ht="12.75">
      <c r="A297" t="s">
        <v>427</v>
      </c>
      <c r="B297" s="109">
        <v>4869825.156981128</v>
      </c>
      <c r="C297" s="109">
        <v>4956371.409358041</v>
      </c>
      <c r="D297" s="109">
        <v>5045423.958410565</v>
      </c>
      <c r="E297" s="109">
        <v>5136066.679724256</v>
      </c>
      <c r="F297" s="109">
        <v>5231394.651038019</v>
      </c>
      <c r="H297" s="241">
        <f t="shared" si="21"/>
        <v>1</v>
      </c>
      <c r="I297" s="241">
        <f t="shared" si="22"/>
        <v>1.017771942438805</v>
      </c>
      <c r="J297" s="241">
        <f t="shared" si="23"/>
        <v>1.0179672872949725</v>
      </c>
      <c r="K297" s="241">
        <f t="shared" si="24"/>
        <v>1.017965332955339</v>
      </c>
      <c r="L297" s="241">
        <f t="shared" si="25"/>
        <v>1.0185605011107217</v>
      </c>
    </row>
    <row r="298" spans="1:12" ht="12.75">
      <c r="A298" t="s">
        <v>428</v>
      </c>
      <c r="B298" s="109">
        <v>17492907.736309003</v>
      </c>
      <c r="C298" s="109">
        <v>17739040.360567894</v>
      </c>
      <c r="D298" s="109">
        <v>17871319.62471462</v>
      </c>
      <c r="E298" s="109">
        <v>17940926.55516856</v>
      </c>
      <c r="F298" s="109">
        <v>17890497.240670145</v>
      </c>
      <c r="H298" s="241">
        <f t="shared" si="21"/>
        <v>1</v>
      </c>
      <c r="I298" s="241">
        <f t="shared" si="22"/>
        <v>1.0140704237379592</v>
      </c>
      <c r="J298" s="241">
        <f t="shared" si="23"/>
        <v>1.007456957166678</v>
      </c>
      <c r="K298" s="241">
        <f t="shared" si="24"/>
        <v>1.003894895951482</v>
      </c>
      <c r="L298" s="241">
        <f t="shared" si="25"/>
        <v>0.9971891465948903</v>
      </c>
    </row>
    <row r="299" spans="1:12" ht="12.75">
      <c r="A299" t="s">
        <v>429</v>
      </c>
      <c r="B299" s="109">
        <v>46172003.149409205</v>
      </c>
      <c r="C299" s="109">
        <v>46665664.093995765</v>
      </c>
      <c r="D299" s="109">
        <v>47179105.95600413</v>
      </c>
      <c r="E299" s="109">
        <v>47806449.14617261</v>
      </c>
      <c r="F299" s="109">
        <v>48335555.18358593</v>
      </c>
      <c r="H299" s="241">
        <f t="shared" si="21"/>
        <v>1</v>
      </c>
      <c r="I299" s="241">
        <f t="shared" si="22"/>
        <v>1.0106917809692837</v>
      </c>
      <c r="J299" s="241">
        <f t="shared" si="23"/>
        <v>1.011002561990207</v>
      </c>
      <c r="K299" s="241">
        <f t="shared" si="24"/>
        <v>1.0132970554964205</v>
      </c>
      <c r="L299" s="241">
        <f t="shared" si="25"/>
        <v>1.0110676707193944</v>
      </c>
    </row>
  </sheetData>
  <sheetProtection/>
  <hyperlinks>
    <hyperlink ref="N7" r:id="rId1" display="linkki VM sivuille"/>
    <hyperlink ref="N5" r:id="rId2" display="Tarkempi aineistokuvaus"/>
  </hyperlinks>
  <printOptions/>
  <pageMargins left="0.7" right="0.7" top="0.75" bottom="0.75" header="0.3" footer="0.3"/>
  <pageSetup horizontalDpi="600" verticalDpi="600" orientation="portrait" paperSize="9" r:id="rId4"/>
  <drawing r:id="rId3"/>
</worksheet>
</file>

<file path=xl/worksheets/sheet8.xml><?xml version="1.0" encoding="utf-8"?>
<worksheet xmlns="http://schemas.openxmlformats.org/spreadsheetml/2006/main" xmlns:r="http://schemas.openxmlformats.org/officeDocument/2006/relationships">
  <dimension ref="A1:C304"/>
  <sheetViews>
    <sheetView zoomScalePageLayoutView="0" workbookViewId="0" topLeftCell="A1">
      <selection activeCell="D9" sqref="D9"/>
    </sheetView>
  </sheetViews>
  <sheetFormatPr defaultColWidth="9.140625" defaultRowHeight="12.75"/>
  <cols>
    <col min="1" max="1" width="40.7109375" style="125" customWidth="1"/>
    <col min="2" max="2" width="21.7109375" style="125" customWidth="1"/>
    <col min="3" max="3" width="17.421875" style="0" customWidth="1"/>
  </cols>
  <sheetData>
    <row r="1" spans="1:2" ht="18">
      <c r="A1" s="182"/>
      <c r="B1" s="125" t="s">
        <v>494</v>
      </c>
    </row>
    <row r="2" ht="12.75">
      <c r="B2" s="125" t="s">
        <v>642</v>
      </c>
    </row>
    <row r="3" ht="14.25">
      <c r="B3" s="161"/>
    </row>
    <row r="4" ht="14.25">
      <c r="B4" s="161"/>
    </row>
    <row r="5" spans="1:3" ht="14.25">
      <c r="A5" s="161" t="s">
        <v>144</v>
      </c>
      <c r="B5" s="183">
        <v>9700</v>
      </c>
      <c r="C5" s="81"/>
    </row>
    <row r="6" spans="1:3" ht="14.25">
      <c r="A6" s="161" t="s">
        <v>145</v>
      </c>
      <c r="B6" s="183">
        <v>2573</v>
      </c>
      <c r="C6" s="81"/>
    </row>
    <row r="7" spans="1:3" ht="14.25">
      <c r="A7" s="161" t="s">
        <v>146</v>
      </c>
      <c r="B7" s="183">
        <v>11544</v>
      </c>
      <c r="C7" s="81"/>
    </row>
    <row r="8" spans="1:3" ht="14.25">
      <c r="A8" s="161" t="s">
        <v>147</v>
      </c>
      <c r="B8" s="183">
        <v>8149</v>
      </c>
      <c r="C8" s="81"/>
    </row>
    <row r="9" spans="1:3" ht="14.25">
      <c r="A9" s="161" t="s">
        <v>148</v>
      </c>
      <c r="B9" s="183">
        <v>4958</v>
      </c>
      <c r="C9" s="81"/>
    </row>
    <row r="10" spans="1:3" ht="14.25">
      <c r="A10" s="161" t="s">
        <v>149</v>
      </c>
      <c r="B10" s="183">
        <v>3984</v>
      </c>
      <c r="C10" s="81"/>
    </row>
    <row r="11" spans="1:3" ht="14.25">
      <c r="A11" s="161" t="s">
        <v>127</v>
      </c>
      <c r="B11" s="183">
        <v>16611</v>
      </c>
      <c r="C11" s="81"/>
    </row>
    <row r="12" spans="1:3" ht="14.25">
      <c r="A12" s="161" t="s">
        <v>150</v>
      </c>
      <c r="B12" s="183">
        <v>1405</v>
      </c>
      <c r="C12" s="81"/>
    </row>
    <row r="13" spans="1:3" ht="14.25">
      <c r="A13" s="161" t="s">
        <v>151</v>
      </c>
      <c r="B13" s="183">
        <v>1852</v>
      </c>
      <c r="C13" s="81"/>
    </row>
    <row r="14" spans="1:3" ht="14.25">
      <c r="A14" s="161" t="s">
        <v>152</v>
      </c>
      <c r="B14" s="183">
        <v>283632</v>
      </c>
      <c r="C14" s="81"/>
    </row>
    <row r="15" spans="1:3" ht="14.25">
      <c r="A15" s="161" t="s">
        <v>153</v>
      </c>
      <c r="B15" s="183">
        <v>11748</v>
      </c>
      <c r="C15" s="81"/>
    </row>
    <row r="16" spans="1:3" ht="14.25">
      <c r="A16" s="161" t="s">
        <v>154</v>
      </c>
      <c r="B16" s="183">
        <v>9454</v>
      </c>
      <c r="C16" s="81"/>
    </row>
    <row r="17" spans="1:3" ht="14.25">
      <c r="A17" s="161" t="s">
        <v>155</v>
      </c>
      <c r="B17" s="183">
        <v>2473</v>
      </c>
      <c r="C17" s="81"/>
    </row>
    <row r="18" spans="1:3" ht="14.25">
      <c r="A18" s="161" t="s">
        <v>156</v>
      </c>
      <c r="B18" s="183">
        <v>17028</v>
      </c>
      <c r="C18" s="81"/>
    </row>
    <row r="19" spans="1:3" ht="14.25">
      <c r="A19" s="161" t="s">
        <v>157</v>
      </c>
      <c r="B19" s="183">
        <v>7147</v>
      </c>
      <c r="C19" s="81"/>
    </row>
    <row r="20" spans="1:3" ht="14.25">
      <c r="A20" s="161" t="s">
        <v>158</v>
      </c>
      <c r="B20" s="183">
        <v>6854</v>
      </c>
      <c r="C20" s="81"/>
    </row>
    <row r="21" spans="1:3" ht="14.25">
      <c r="A21" s="161" t="s">
        <v>159</v>
      </c>
      <c r="B21" s="183">
        <v>974</v>
      </c>
      <c r="C21" s="81"/>
    </row>
    <row r="22" spans="1:3" ht="14.25">
      <c r="A22" s="161" t="s">
        <v>160</v>
      </c>
      <c r="B22" s="183">
        <v>1165</v>
      </c>
      <c r="C22" s="81"/>
    </row>
    <row r="23" spans="1:3" ht="14.25">
      <c r="A23" s="161" t="s">
        <v>161</v>
      </c>
      <c r="B23" s="183">
        <v>20286</v>
      </c>
      <c r="C23" s="81"/>
    </row>
    <row r="24" spans="1:3" ht="14.25">
      <c r="A24" s="161" t="s">
        <v>162</v>
      </c>
      <c r="B24" s="183">
        <v>4939</v>
      </c>
      <c r="C24" s="81"/>
    </row>
    <row r="25" spans="1:3" ht="14.25">
      <c r="A25" s="161" t="s">
        <v>163</v>
      </c>
      <c r="B25" s="183">
        <v>8379</v>
      </c>
      <c r="C25" s="81"/>
    </row>
    <row r="26" spans="1:3" ht="14.25">
      <c r="A26" s="161" t="s">
        <v>164</v>
      </c>
      <c r="B26" s="183">
        <v>7018</v>
      </c>
      <c r="C26" s="81"/>
    </row>
    <row r="27" spans="1:3" ht="14.25">
      <c r="A27" s="161" t="s">
        <v>165</v>
      </c>
      <c r="B27" s="183">
        <v>2780</v>
      </c>
      <c r="C27" s="81"/>
    </row>
    <row r="28" spans="1:3" ht="14.25">
      <c r="A28" s="161" t="s">
        <v>166</v>
      </c>
      <c r="B28" s="183">
        <v>9475</v>
      </c>
      <c r="C28" s="81"/>
    </row>
    <row r="29" spans="1:3" ht="14.25">
      <c r="A29" s="161" t="s">
        <v>167</v>
      </c>
      <c r="B29" s="183">
        <v>8417</v>
      </c>
      <c r="C29" s="81"/>
    </row>
    <row r="30" spans="1:3" ht="14.25">
      <c r="A30" s="161" t="s">
        <v>169</v>
      </c>
      <c r="B30" s="183">
        <v>3329</v>
      </c>
      <c r="C30" s="81"/>
    </row>
    <row r="31" spans="1:3" ht="14.25">
      <c r="A31" s="161" t="s">
        <v>170</v>
      </c>
      <c r="B31" s="183">
        <v>648042</v>
      </c>
      <c r="C31" s="81"/>
    </row>
    <row r="32" spans="1:3" ht="14.25">
      <c r="A32" s="161" t="s">
        <v>412</v>
      </c>
      <c r="B32" s="183">
        <v>228166</v>
      </c>
      <c r="C32" s="81"/>
    </row>
    <row r="33" spans="1:3" ht="14.25">
      <c r="A33" s="161" t="s">
        <v>171</v>
      </c>
      <c r="B33" s="183">
        <v>2152</v>
      </c>
      <c r="C33" s="81"/>
    </row>
    <row r="34" spans="1:3" ht="14.25">
      <c r="A34" s="161" t="s">
        <v>172</v>
      </c>
      <c r="B34" s="183">
        <v>23602</v>
      </c>
      <c r="C34" s="81"/>
    </row>
    <row r="35" spans="1:3" ht="14.25">
      <c r="A35" s="161" t="s">
        <v>173</v>
      </c>
      <c r="B35" s="183">
        <v>1666</v>
      </c>
      <c r="C35" s="81"/>
    </row>
    <row r="36" spans="1:3" ht="14.25">
      <c r="A36" s="161" t="s">
        <v>174</v>
      </c>
      <c r="B36" s="183">
        <v>10091</v>
      </c>
      <c r="C36" s="81"/>
    </row>
    <row r="37" spans="1:3" ht="14.25">
      <c r="A37" s="161" t="s">
        <v>175</v>
      </c>
      <c r="B37" s="183">
        <v>2235</v>
      </c>
      <c r="C37" s="81"/>
    </row>
    <row r="38" spans="1:3" ht="14.25">
      <c r="A38" s="161" t="s">
        <v>176</v>
      </c>
      <c r="B38" s="183">
        <v>2287</v>
      </c>
      <c r="C38" s="81"/>
    </row>
    <row r="39" spans="1:3" ht="14.25">
      <c r="A39" s="161" t="s">
        <v>177</v>
      </c>
      <c r="B39" s="183">
        <v>46504</v>
      </c>
      <c r="C39" s="81"/>
    </row>
    <row r="40" spans="1:3" ht="14.25">
      <c r="A40" s="161" t="s">
        <v>178</v>
      </c>
      <c r="B40" s="183">
        <v>10510</v>
      </c>
      <c r="C40" s="81"/>
    </row>
    <row r="41" spans="1:3" ht="14.25">
      <c r="A41" s="161" t="s">
        <v>179</v>
      </c>
      <c r="B41" s="183">
        <v>67532</v>
      </c>
      <c r="C41" s="81"/>
    </row>
    <row r="42" spans="1:3" ht="14.25">
      <c r="A42" s="161" t="s">
        <v>168</v>
      </c>
      <c r="B42" s="183">
        <v>18889</v>
      </c>
      <c r="C42" s="81"/>
    </row>
    <row r="43" spans="1:3" ht="14.25">
      <c r="A43" s="161" t="s">
        <v>180</v>
      </c>
      <c r="B43" s="183">
        <v>9862</v>
      </c>
      <c r="C43" s="81"/>
    </row>
    <row r="44" spans="1:3" ht="14.25">
      <c r="A44" s="161" t="s">
        <v>181</v>
      </c>
      <c r="B44" s="183">
        <v>21472</v>
      </c>
      <c r="C44" s="81"/>
    </row>
    <row r="45" spans="1:3" ht="14.25">
      <c r="A45" s="161" t="s">
        <v>182</v>
      </c>
      <c r="B45" s="183">
        <v>6765</v>
      </c>
      <c r="C45" s="81"/>
    </row>
    <row r="46" spans="1:3" ht="14.25">
      <c r="A46" s="161" t="s">
        <v>183</v>
      </c>
      <c r="B46" s="183">
        <v>7003</v>
      </c>
      <c r="C46" s="81"/>
    </row>
    <row r="47" spans="1:3" ht="14.25">
      <c r="A47" s="161" t="s">
        <v>184</v>
      </c>
      <c r="B47" s="183">
        <v>12187</v>
      </c>
      <c r="C47" s="81"/>
    </row>
    <row r="48" spans="1:3" ht="14.25">
      <c r="A48" s="161" t="s">
        <v>185</v>
      </c>
      <c r="B48" s="183">
        <v>4973</v>
      </c>
      <c r="C48" s="81"/>
    </row>
    <row r="49" spans="1:3" ht="14.25">
      <c r="A49" s="161" t="s">
        <v>187</v>
      </c>
      <c r="B49" s="183">
        <v>6930</v>
      </c>
      <c r="C49" s="81"/>
    </row>
    <row r="50" spans="1:3" ht="14.25">
      <c r="A50" s="161" t="s">
        <v>188</v>
      </c>
      <c r="B50" s="183">
        <v>5403</v>
      </c>
      <c r="C50" s="81"/>
    </row>
    <row r="51" spans="1:3" ht="14.25">
      <c r="A51" s="161" t="s">
        <v>189</v>
      </c>
      <c r="B51" s="183">
        <v>1976</v>
      </c>
      <c r="C51" s="81"/>
    </row>
    <row r="52" spans="1:3" ht="14.25">
      <c r="A52" s="161" t="s">
        <v>190</v>
      </c>
      <c r="B52" s="183">
        <v>4601</v>
      </c>
      <c r="C52" s="81"/>
    </row>
    <row r="53" spans="1:3" ht="14.25">
      <c r="A53" s="161" t="s">
        <v>186</v>
      </c>
      <c r="B53" s="183">
        <v>26932</v>
      </c>
      <c r="C53" s="81"/>
    </row>
    <row r="54" spans="1:3" ht="14.25">
      <c r="A54" s="161" t="s">
        <v>191</v>
      </c>
      <c r="B54" s="183">
        <v>16447</v>
      </c>
      <c r="C54" s="81"/>
    </row>
    <row r="55" spans="1:3" ht="14.25">
      <c r="A55" s="161" t="s">
        <v>192</v>
      </c>
      <c r="B55" s="183">
        <v>76551</v>
      </c>
      <c r="C55" s="81"/>
    </row>
    <row r="56" spans="1:3" ht="14.25">
      <c r="A56" s="161" t="s">
        <v>193</v>
      </c>
      <c r="B56" s="183">
        <v>5195</v>
      </c>
      <c r="C56" s="81"/>
    </row>
    <row r="57" spans="1:3" ht="14.25">
      <c r="A57" s="161" t="s">
        <v>194</v>
      </c>
      <c r="B57" s="183">
        <v>4812</v>
      </c>
      <c r="C57" s="81"/>
    </row>
    <row r="58" spans="1:3" ht="14.25">
      <c r="A58" s="161" t="s">
        <v>195</v>
      </c>
      <c r="B58" s="183">
        <v>4467</v>
      </c>
      <c r="C58" s="81"/>
    </row>
    <row r="59" spans="1:3" ht="14.25">
      <c r="A59" s="161" t="s">
        <v>197</v>
      </c>
      <c r="B59" s="183">
        <v>4709</v>
      </c>
      <c r="C59" s="81"/>
    </row>
    <row r="60" spans="1:3" ht="14.25">
      <c r="A60" s="161" t="s">
        <v>198</v>
      </c>
      <c r="B60" s="183">
        <v>1884</v>
      </c>
      <c r="C60" s="81"/>
    </row>
    <row r="61" spans="1:3" ht="14.25">
      <c r="A61" s="161" t="s">
        <v>199</v>
      </c>
      <c r="B61" s="183">
        <v>6225</v>
      </c>
      <c r="C61" s="81"/>
    </row>
    <row r="62" spans="1:3" ht="14.25">
      <c r="A62" s="161" t="s">
        <v>200</v>
      </c>
      <c r="B62" s="183">
        <v>141305</v>
      </c>
      <c r="C62" s="81"/>
    </row>
    <row r="63" spans="1:3" ht="14.25">
      <c r="A63" s="161" t="s">
        <v>201</v>
      </c>
      <c r="B63" s="183">
        <v>1809</v>
      </c>
      <c r="C63" s="81"/>
    </row>
    <row r="64" spans="1:3" ht="14.25">
      <c r="A64" s="161" t="s">
        <v>128</v>
      </c>
      <c r="B64" s="183">
        <v>20607</v>
      </c>
      <c r="C64" s="81"/>
    </row>
    <row r="65" spans="1:3" ht="14.25">
      <c r="A65" s="161" t="s">
        <v>202</v>
      </c>
      <c r="B65" s="183">
        <v>43410</v>
      </c>
      <c r="C65" s="81"/>
    </row>
    <row r="66" spans="1:3" ht="14.25">
      <c r="A66" s="161" t="s">
        <v>203</v>
      </c>
      <c r="B66" s="183">
        <v>33458</v>
      </c>
      <c r="C66" s="81"/>
    </row>
    <row r="67" spans="1:3" ht="14.25">
      <c r="A67" s="161" t="s">
        <v>204</v>
      </c>
      <c r="B67" s="183">
        <v>2990</v>
      </c>
      <c r="C67" s="81"/>
    </row>
    <row r="68" spans="1:3" ht="14.25">
      <c r="A68" s="161" t="s">
        <v>205</v>
      </c>
      <c r="B68" s="183">
        <v>36973</v>
      </c>
      <c r="C68" s="81"/>
    </row>
    <row r="69" spans="1:3" ht="14.25">
      <c r="A69" s="161" t="s">
        <v>206</v>
      </c>
      <c r="B69" s="183">
        <v>12387</v>
      </c>
      <c r="C69" s="81"/>
    </row>
    <row r="70" spans="1:3" ht="14.25">
      <c r="A70" s="161" t="s">
        <v>207</v>
      </c>
      <c r="B70" s="183">
        <v>31676</v>
      </c>
      <c r="C70" s="81"/>
    </row>
    <row r="71" spans="1:3" ht="14.25">
      <c r="A71" s="161" t="s">
        <v>208</v>
      </c>
      <c r="B71" s="183">
        <v>5452</v>
      </c>
      <c r="C71" s="81"/>
    </row>
    <row r="72" spans="1:3" ht="14.25">
      <c r="A72" s="161" t="s">
        <v>209</v>
      </c>
      <c r="B72" s="183">
        <v>11471</v>
      </c>
      <c r="C72" s="81"/>
    </row>
    <row r="73" spans="1:3" ht="14.25">
      <c r="A73" s="161" t="s">
        <v>210</v>
      </c>
      <c r="B73" s="183">
        <v>1353</v>
      </c>
      <c r="C73" s="81"/>
    </row>
    <row r="74" spans="1:3" ht="14.25">
      <c r="A74" s="161" t="s">
        <v>211</v>
      </c>
      <c r="B74" s="183">
        <v>5502</v>
      </c>
      <c r="C74" s="81"/>
    </row>
    <row r="75" spans="1:3" ht="14.25">
      <c r="A75" s="161" t="s">
        <v>212</v>
      </c>
      <c r="B75" s="183">
        <v>1274</v>
      </c>
      <c r="C75" s="81"/>
    </row>
    <row r="76" spans="1:3" ht="14.25">
      <c r="A76" s="161" t="s">
        <v>213</v>
      </c>
      <c r="B76" s="183">
        <v>8778</v>
      </c>
      <c r="C76" s="81"/>
    </row>
    <row r="77" spans="1:3" ht="14.25">
      <c r="A77" s="161" t="s">
        <v>214</v>
      </c>
      <c r="B77" s="183">
        <v>4031</v>
      </c>
      <c r="C77" s="81"/>
    </row>
    <row r="78" spans="1:3" ht="14.25">
      <c r="A78" s="161" t="s">
        <v>215</v>
      </c>
      <c r="B78" s="183">
        <v>2390</v>
      </c>
      <c r="C78" s="81"/>
    </row>
    <row r="79" spans="1:3" ht="14.25">
      <c r="A79" s="161" t="s">
        <v>216</v>
      </c>
      <c r="B79" s="183">
        <v>1262</v>
      </c>
      <c r="C79" s="81"/>
    </row>
    <row r="80" spans="1:3" ht="14.25">
      <c r="A80" s="161" t="s">
        <v>217</v>
      </c>
      <c r="B80" s="183">
        <v>13375</v>
      </c>
      <c r="C80" s="81"/>
    </row>
    <row r="81" spans="1:3" ht="14.25">
      <c r="A81" s="161" t="s">
        <v>218</v>
      </c>
      <c r="B81" s="183">
        <v>16022</v>
      </c>
      <c r="C81" s="81"/>
    </row>
    <row r="82" spans="1:3" ht="14.25">
      <c r="A82" s="161" t="s">
        <v>219</v>
      </c>
      <c r="B82" s="183">
        <v>9615</v>
      </c>
      <c r="C82" s="81"/>
    </row>
    <row r="83" spans="1:3" ht="14.25">
      <c r="A83" s="161" t="s">
        <v>220</v>
      </c>
      <c r="B83" s="183">
        <v>4273</v>
      </c>
      <c r="C83" s="81"/>
    </row>
    <row r="84" spans="1:3" ht="14.25">
      <c r="A84" s="161" t="s">
        <v>221</v>
      </c>
      <c r="B84" s="183">
        <v>2244</v>
      </c>
      <c r="C84" s="81"/>
    </row>
    <row r="85" spans="1:3" ht="14.25">
      <c r="A85" s="161" t="s">
        <v>222</v>
      </c>
      <c r="B85" s="183">
        <v>21021</v>
      </c>
      <c r="C85" s="81"/>
    </row>
    <row r="86" spans="1:3" ht="14.25">
      <c r="A86" s="161" t="s">
        <v>224</v>
      </c>
      <c r="B86" s="183">
        <v>8147</v>
      </c>
      <c r="C86" s="81"/>
    </row>
    <row r="87" spans="1:3" ht="14.25">
      <c r="A87" s="161" t="s">
        <v>225</v>
      </c>
      <c r="B87" s="183">
        <v>17923</v>
      </c>
      <c r="C87" s="81"/>
    </row>
    <row r="88" spans="1:3" ht="14.25">
      <c r="A88" s="161" t="s">
        <v>226</v>
      </c>
      <c r="B88" s="183">
        <v>36254</v>
      </c>
      <c r="C88" s="81"/>
    </row>
    <row r="89" spans="1:3" ht="14.25">
      <c r="A89" s="161" t="s">
        <v>227</v>
      </c>
      <c r="B89" s="183">
        <v>9762</v>
      </c>
      <c r="C89" s="81"/>
    </row>
    <row r="90" spans="1:3" ht="14.25">
      <c r="A90" s="161" t="s">
        <v>228</v>
      </c>
      <c r="B90" s="183">
        <v>1910</v>
      </c>
      <c r="C90" s="81"/>
    </row>
    <row r="91" spans="1:3" ht="14.25">
      <c r="A91" s="161" t="s">
        <v>229</v>
      </c>
      <c r="B91" s="183">
        <v>1615</v>
      </c>
      <c r="C91" s="154"/>
    </row>
    <row r="92" spans="1:3" ht="14.25">
      <c r="A92" s="161" t="s">
        <v>230</v>
      </c>
      <c r="B92" s="183">
        <v>39262</v>
      </c>
      <c r="C92" s="81"/>
    </row>
    <row r="93" spans="1:3" ht="14.25">
      <c r="A93" s="161" t="s">
        <v>231</v>
      </c>
      <c r="B93" s="183">
        <v>10358</v>
      </c>
      <c r="C93" s="81"/>
    </row>
    <row r="94" spans="1:3" ht="14.25">
      <c r="A94" s="161" t="s">
        <v>232</v>
      </c>
      <c r="B94" s="183">
        <v>6436</v>
      </c>
      <c r="C94" s="81"/>
    </row>
    <row r="95" spans="1:3" ht="14.25">
      <c r="A95" s="161" t="s">
        <v>233</v>
      </c>
      <c r="B95" s="183">
        <v>8153</v>
      </c>
      <c r="C95" s="81"/>
    </row>
    <row r="96" spans="1:3" ht="14.25">
      <c r="A96" s="161" t="s">
        <v>234</v>
      </c>
      <c r="B96" s="183">
        <v>1103</v>
      </c>
      <c r="C96" s="81"/>
    </row>
    <row r="97" spans="1:3" ht="14.25">
      <c r="A97" s="161" t="s">
        <v>235</v>
      </c>
      <c r="B97" s="183">
        <v>7226</v>
      </c>
      <c r="C97" s="81"/>
    </row>
    <row r="98" spans="1:3" ht="14.25">
      <c r="A98" s="161" t="s">
        <v>236</v>
      </c>
      <c r="B98" s="183">
        <v>47657</v>
      </c>
      <c r="C98" s="81"/>
    </row>
    <row r="99" spans="1:3" ht="14.25">
      <c r="A99" s="161" t="s">
        <v>237</v>
      </c>
      <c r="B99" s="183">
        <v>3834</v>
      </c>
      <c r="C99" s="81"/>
    </row>
    <row r="100" spans="1:3" ht="14.25">
      <c r="A100" s="161" t="s">
        <v>238</v>
      </c>
      <c r="B100" s="183">
        <v>2698</v>
      </c>
      <c r="C100" s="81"/>
    </row>
    <row r="101" spans="1:3" ht="14.25">
      <c r="A101" s="161" t="s">
        <v>239</v>
      </c>
      <c r="B101" s="183">
        <v>14849</v>
      </c>
      <c r="C101" s="81"/>
    </row>
    <row r="102" spans="1:3" ht="14.25">
      <c r="A102" s="161" t="s">
        <v>240</v>
      </c>
      <c r="B102" s="183">
        <v>2122</v>
      </c>
      <c r="C102" s="81"/>
    </row>
    <row r="103" spans="1:3" ht="14.25">
      <c r="A103" s="161" t="s">
        <v>510</v>
      </c>
      <c r="B103" s="183">
        <v>2340</v>
      </c>
      <c r="C103" s="81"/>
    </row>
    <row r="104" spans="1:3" ht="14.25">
      <c r="A104" s="161" t="s">
        <v>242</v>
      </c>
      <c r="B104" s="183">
        <v>52883</v>
      </c>
      <c r="C104" s="81"/>
    </row>
    <row r="105" spans="1:3" ht="14.25">
      <c r="A105" s="161" t="s">
        <v>243</v>
      </c>
      <c r="B105" s="183">
        <v>83177</v>
      </c>
      <c r="C105" s="81"/>
    </row>
    <row r="106" spans="1:3" ht="14.25">
      <c r="A106" s="161" t="s">
        <v>589</v>
      </c>
      <c r="B106" s="183">
        <v>6596</v>
      </c>
      <c r="C106" s="81"/>
    </row>
    <row r="107" spans="1:3" ht="14.25">
      <c r="A107" s="161" t="s">
        <v>245</v>
      </c>
      <c r="B107" s="183">
        <v>6509</v>
      </c>
      <c r="C107" s="81"/>
    </row>
    <row r="108" spans="1:3" ht="14.25">
      <c r="A108" s="161" t="s">
        <v>246</v>
      </c>
      <c r="B108" s="183">
        <v>8329</v>
      </c>
      <c r="C108" s="81"/>
    </row>
    <row r="109" spans="1:3" ht="14.25">
      <c r="A109" s="161" t="s">
        <v>247</v>
      </c>
      <c r="B109" s="183">
        <v>2238</v>
      </c>
      <c r="C109" s="81"/>
    </row>
    <row r="110" spans="1:3" ht="14.25">
      <c r="A110" s="161" t="s">
        <v>248</v>
      </c>
      <c r="B110" s="183">
        <v>118664</v>
      </c>
      <c r="C110" s="81"/>
    </row>
    <row r="111" spans="1:3" ht="14.25">
      <c r="A111" s="161" t="s">
        <v>249</v>
      </c>
      <c r="B111" s="183">
        <v>3572</v>
      </c>
      <c r="C111" s="81"/>
    </row>
    <row r="112" spans="1:3" ht="14.25">
      <c r="A112" s="161" t="s">
        <v>250</v>
      </c>
      <c r="B112" s="183">
        <v>20952</v>
      </c>
      <c r="C112" s="81"/>
    </row>
    <row r="113" spans="1:3" ht="14.25">
      <c r="A113" s="161" t="s">
        <v>251</v>
      </c>
      <c r="B113" s="183">
        <v>926</v>
      </c>
      <c r="C113" s="81"/>
    </row>
    <row r="114" spans="1:3" ht="14.25">
      <c r="A114" s="161" t="s">
        <v>252</v>
      </c>
      <c r="B114" s="183">
        <v>15207</v>
      </c>
      <c r="C114" s="81"/>
    </row>
    <row r="115" spans="1:3" ht="14.25">
      <c r="A115" s="161" t="s">
        <v>312</v>
      </c>
      <c r="B115" s="183">
        <v>6803</v>
      </c>
      <c r="C115" s="81"/>
    </row>
    <row r="116" spans="1:3" ht="14.25">
      <c r="A116" s="161" t="s">
        <v>253</v>
      </c>
      <c r="B116" s="183">
        <v>1343</v>
      </c>
      <c r="C116" s="81"/>
    </row>
    <row r="117" spans="1:3" ht="14.25">
      <c r="A117" s="161" t="s">
        <v>254</v>
      </c>
      <c r="B117" s="183">
        <v>4451</v>
      </c>
      <c r="C117" s="81"/>
    </row>
    <row r="118" spans="1:3" ht="14.25">
      <c r="A118" s="161" t="s">
        <v>255</v>
      </c>
      <c r="B118" s="183">
        <v>2613</v>
      </c>
      <c r="C118" s="81"/>
    </row>
    <row r="119" spans="1:3" ht="14.25">
      <c r="A119" s="161" t="s">
        <v>223</v>
      </c>
      <c r="B119" s="183">
        <v>7370</v>
      </c>
      <c r="C119" s="81"/>
    </row>
    <row r="120" spans="1:3" ht="14.25">
      <c r="A120" s="161" t="s">
        <v>129</v>
      </c>
      <c r="B120" s="183">
        <v>6724</v>
      </c>
      <c r="C120" s="81"/>
    </row>
    <row r="121" spans="1:3" ht="14.25">
      <c r="A121" s="161" t="s">
        <v>256</v>
      </c>
      <c r="B121" s="183">
        <v>119951</v>
      </c>
      <c r="C121" s="81"/>
    </row>
    <row r="122" spans="1:3" ht="14.25">
      <c r="A122" s="161" t="s">
        <v>257</v>
      </c>
      <c r="B122" s="183">
        <v>8058</v>
      </c>
      <c r="C122" s="81"/>
    </row>
    <row r="123" spans="1:3" ht="14.25">
      <c r="A123" s="161" t="s">
        <v>258</v>
      </c>
      <c r="B123" s="183">
        <v>8647</v>
      </c>
      <c r="C123" s="81"/>
    </row>
    <row r="124" spans="1:3" ht="14.25">
      <c r="A124" s="161" t="s">
        <v>260</v>
      </c>
      <c r="B124" s="183">
        <v>9617</v>
      </c>
      <c r="C124" s="81"/>
    </row>
    <row r="125" spans="1:3" ht="14.25">
      <c r="A125" s="161" t="s">
        <v>261</v>
      </c>
      <c r="B125" s="183">
        <v>3078</v>
      </c>
      <c r="C125" s="81"/>
    </row>
    <row r="126" spans="1:3" ht="14.25">
      <c r="A126" s="161" t="s">
        <v>262</v>
      </c>
      <c r="B126" s="183">
        <v>72699</v>
      </c>
      <c r="C126" s="81"/>
    </row>
    <row r="127" spans="1:3" ht="14.25">
      <c r="A127" s="161" t="s">
        <v>259</v>
      </c>
      <c r="B127" s="183">
        <v>2665</v>
      </c>
      <c r="C127" s="81"/>
    </row>
    <row r="128" spans="1:3" ht="14.25">
      <c r="A128" s="161" t="s">
        <v>263</v>
      </c>
      <c r="B128" s="183">
        <v>14427</v>
      </c>
      <c r="C128" s="81"/>
    </row>
    <row r="129" spans="1:3" ht="14.25">
      <c r="A129" s="161" t="s">
        <v>264</v>
      </c>
      <c r="B129" s="183">
        <v>18927</v>
      </c>
      <c r="C129" s="81"/>
    </row>
    <row r="130" spans="1:3" ht="14.25">
      <c r="A130" s="161" t="s">
        <v>265</v>
      </c>
      <c r="B130" s="183">
        <v>3043</v>
      </c>
      <c r="C130" s="81"/>
    </row>
    <row r="131" spans="1:3" ht="14.25">
      <c r="A131" s="161" t="s">
        <v>266</v>
      </c>
      <c r="B131" s="183">
        <v>23206</v>
      </c>
      <c r="C131" s="81"/>
    </row>
    <row r="132" spans="1:3" ht="14.25">
      <c r="A132" s="161" t="s">
        <v>267</v>
      </c>
      <c r="B132" s="183">
        <v>9650</v>
      </c>
      <c r="C132" s="81"/>
    </row>
    <row r="133" spans="1:3" ht="14.25">
      <c r="A133" s="161" t="s">
        <v>268</v>
      </c>
      <c r="B133" s="183">
        <v>737</v>
      </c>
      <c r="C133" s="81"/>
    </row>
    <row r="134" spans="1:3" ht="14.25">
      <c r="A134" s="161" t="s">
        <v>269</v>
      </c>
      <c r="B134" s="183">
        <v>11098</v>
      </c>
      <c r="C134" s="81"/>
    </row>
    <row r="135" spans="1:3" ht="14.25">
      <c r="A135" s="161" t="s">
        <v>270</v>
      </c>
      <c r="B135" s="183">
        <v>19831</v>
      </c>
      <c r="C135" s="81"/>
    </row>
    <row r="136" spans="1:3" ht="14.25">
      <c r="A136" s="161" t="s">
        <v>271</v>
      </c>
      <c r="B136" s="183">
        <v>10161</v>
      </c>
      <c r="C136" s="81"/>
    </row>
    <row r="137" spans="1:3" ht="14.25">
      <c r="A137" s="161" t="s">
        <v>272</v>
      </c>
      <c r="B137" s="183">
        <v>12145</v>
      </c>
      <c r="C137" s="81"/>
    </row>
    <row r="138" spans="1:3" ht="14.25">
      <c r="A138" s="161" t="s">
        <v>274</v>
      </c>
      <c r="B138" s="183">
        <v>16032</v>
      </c>
      <c r="C138" s="81"/>
    </row>
    <row r="139" spans="1:3" ht="14.25">
      <c r="A139" s="161" t="s">
        <v>275</v>
      </c>
      <c r="B139" s="183">
        <v>7861</v>
      </c>
      <c r="C139" s="81"/>
    </row>
    <row r="140" spans="1:3" ht="14.25">
      <c r="A140" s="161" t="s">
        <v>276</v>
      </c>
      <c r="B140" s="183">
        <v>14891</v>
      </c>
      <c r="C140" s="81"/>
    </row>
    <row r="141" spans="1:3" ht="14.25">
      <c r="A141" s="161" t="s">
        <v>277</v>
      </c>
      <c r="B141" s="183">
        <v>707</v>
      </c>
      <c r="C141" s="81"/>
    </row>
    <row r="142" spans="1:3" ht="14.25">
      <c r="A142" s="161" t="s">
        <v>278</v>
      </c>
      <c r="B142" s="183">
        <v>2052</v>
      </c>
      <c r="C142" s="81"/>
    </row>
    <row r="143" spans="1:3" ht="14.25">
      <c r="A143" s="161" t="s">
        <v>279</v>
      </c>
      <c r="B143" s="183">
        <v>5340</v>
      </c>
      <c r="C143" s="81"/>
    </row>
    <row r="144" spans="1:3" ht="14.25">
      <c r="A144" s="161" t="s">
        <v>280</v>
      </c>
      <c r="B144" s="183">
        <v>4662</v>
      </c>
      <c r="C144" s="81"/>
    </row>
    <row r="145" spans="1:3" ht="14.25">
      <c r="A145" s="161" t="s">
        <v>273</v>
      </c>
      <c r="B145" s="183">
        <v>46296</v>
      </c>
      <c r="C145" s="81"/>
    </row>
    <row r="146" spans="1:3" ht="14.25">
      <c r="A146" s="161" t="s">
        <v>130</v>
      </c>
      <c r="B146" s="183">
        <v>15217</v>
      </c>
      <c r="C146" s="81"/>
    </row>
    <row r="147" spans="1:3" ht="14.25">
      <c r="A147" s="161" t="s">
        <v>282</v>
      </c>
      <c r="B147" s="183">
        <v>5477</v>
      </c>
      <c r="C147" s="81"/>
    </row>
    <row r="148" spans="1:3" ht="14.25">
      <c r="A148" s="161" t="s">
        <v>283</v>
      </c>
      <c r="B148" s="183">
        <v>2018</v>
      </c>
      <c r="C148" s="81"/>
    </row>
    <row r="149" spans="1:3" ht="14.25">
      <c r="A149" s="161" t="s">
        <v>284</v>
      </c>
      <c r="B149" s="183">
        <v>9554</v>
      </c>
      <c r="C149" s="81"/>
    </row>
    <row r="150" spans="1:3" ht="14.25">
      <c r="A150" s="161" t="s">
        <v>285</v>
      </c>
      <c r="B150" s="183">
        <v>1104</v>
      </c>
      <c r="C150" s="81"/>
    </row>
    <row r="151" spans="1:3" ht="14.25">
      <c r="A151" s="161" t="s">
        <v>286</v>
      </c>
      <c r="B151" s="183">
        <v>3115</v>
      </c>
      <c r="C151" s="81"/>
    </row>
    <row r="152" spans="1:3" ht="14.25">
      <c r="A152" s="161" t="s">
        <v>287</v>
      </c>
      <c r="B152" s="183">
        <v>1940</v>
      </c>
      <c r="C152" s="81"/>
    </row>
    <row r="153" spans="1:3" ht="14.25">
      <c r="A153" s="161" t="s">
        <v>288</v>
      </c>
      <c r="B153" s="183">
        <v>53818</v>
      </c>
      <c r="C153" s="81"/>
    </row>
    <row r="154" spans="1:3" ht="14.25">
      <c r="A154" s="161" t="s">
        <v>289</v>
      </c>
      <c r="B154" s="183">
        <v>8980</v>
      </c>
      <c r="C154" s="81"/>
    </row>
    <row r="155" spans="1:3" ht="14.25">
      <c r="A155" s="161" t="s">
        <v>290</v>
      </c>
      <c r="B155" s="183">
        <v>1584</v>
      </c>
      <c r="C155" s="81"/>
    </row>
    <row r="156" spans="1:3" ht="14.25">
      <c r="A156" s="161" t="s">
        <v>291</v>
      </c>
      <c r="B156" s="183">
        <v>2299</v>
      </c>
      <c r="C156" s="81"/>
    </row>
    <row r="157" spans="1:3" ht="14.25">
      <c r="A157" s="161" t="s">
        <v>292</v>
      </c>
      <c r="B157" s="183">
        <v>19444</v>
      </c>
      <c r="C157" s="81"/>
    </row>
    <row r="158" spans="1:3" ht="14.25">
      <c r="A158" s="161" t="s">
        <v>293</v>
      </c>
      <c r="B158" s="183">
        <v>10170</v>
      </c>
      <c r="C158" s="81"/>
    </row>
    <row r="159" spans="1:3" ht="14.25">
      <c r="A159" s="161" t="s">
        <v>294</v>
      </c>
      <c r="B159" s="183">
        <v>7766</v>
      </c>
      <c r="C159" s="81"/>
    </row>
    <row r="160" spans="1:3" ht="14.25">
      <c r="A160" s="161" t="s">
        <v>295</v>
      </c>
      <c r="B160" s="183">
        <v>1922</v>
      </c>
      <c r="C160" s="81"/>
    </row>
    <row r="161" spans="1:3" ht="14.25">
      <c r="A161" s="161" t="s">
        <v>296</v>
      </c>
      <c r="B161" s="183">
        <v>20686</v>
      </c>
      <c r="C161" s="81"/>
    </row>
    <row r="162" spans="1:3" ht="14.25">
      <c r="A162" s="161" t="s">
        <v>298</v>
      </c>
      <c r="B162" s="183">
        <v>5924</v>
      </c>
      <c r="C162" s="81"/>
    </row>
    <row r="163" spans="1:3" ht="14.25">
      <c r="A163" s="161" t="s">
        <v>297</v>
      </c>
      <c r="B163" s="183">
        <v>9983</v>
      </c>
      <c r="C163" s="81"/>
    </row>
    <row r="164" spans="1:3" ht="14.25">
      <c r="A164" s="161" t="s">
        <v>299</v>
      </c>
      <c r="B164" s="183">
        <v>19245</v>
      </c>
      <c r="C164" s="81"/>
    </row>
    <row r="165" spans="1:3" ht="14.25">
      <c r="A165" s="161" t="s">
        <v>300</v>
      </c>
      <c r="B165" s="183">
        <v>5437</v>
      </c>
      <c r="C165" s="81"/>
    </row>
    <row r="166" spans="1:3" ht="14.25">
      <c r="A166" s="161" t="s">
        <v>301</v>
      </c>
      <c r="B166" s="183">
        <v>10737</v>
      </c>
      <c r="C166" s="81"/>
    </row>
    <row r="167" spans="1:3" ht="14.25">
      <c r="A167" s="161" t="s">
        <v>302</v>
      </c>
      <c r="B167" s="183">
        <v>33527</v>
      </c>
      <c r="C167" s="81"/>
    </row>
    <row r="168" spans="1:3" ht="14.25">
      <c r="A168" s="161" t="s">
        <v>303</v>
      </c>
      <c r="B168" s="183">
        <v>4733</v>
      </c>
      <c r="C168" s="81"/>
    </row>
    <row r="169" spans="1:3" ht="14.25">
      <c r="A169" s="161" t="s">
        <v>304</v>
      </c>
      <c r="B169" s="183">
        <v>9784</v>
      </c>
      <c r="C169" s="81"/>
    </row>
    <row r="170" spans="1:3" ht="14.25">
      <c r="A170" s="161" t="s">
        <v>305</v>
      </c>
      <c r="B170" s="183">
        <v>42665</v>
      </c>
      <c r="C170" s="81"/>
    </row>
    <row r="171" spans="1:3" ht="14.25">
      <c r="A171" s="161" t="s">
        <v>306</v>
      </c>
      <c r="B171" s="183">
        <v>9471</v>
      </c>
      <c r="C171" s="81"/>
    </row>
    <row r="172" spans="1:3" ht="14.25">
      <c r="A172" s="161" t="s">
        <v>307</v>
      </c>
      <c r="B172" s="183">
        <v>16091</v>
      </c>
      <c r="C172" s="81"/>
    </row>
    <row r="173" spans="1:3" ht="14.25">
      <c r="A173" s="161" t="s">
        <v>308</v>
      </c>
      <c r="B173" s="183">
        <v>1364</v>
      </c>
      <c r="C173" s="81"/>
    </row>
    <row r="174" spans="1:3" ht="14.25">
      <c r="A174" s="161" t="s">
        <v>309</v>
      </c>
      <c r="B174" s="183">
        <v>9221</v>
      </c>
      <c r="C174" s="81"/>
    </row>
    <row r="175" spans="1:3" ht="14.25">
      <c r="A175" s="161" t="s">
        <v>310</v>
      </c>
      <c r="B175" s="183">
        <v>7430</v>
      </c>
      <c r="C175" s="81"/>
    </row>
    <row r="176" spans="1:3" ht="14.25">
      <c r="A176" s="161" t="s">
        <v>311</v>
      </c>
      <c r="B176" s="183">
        <v>203567</v>
      </c>
      <c r="C176" s="81"/>
    </row>
    <row r="177" spans="1:3" ht="14.25">
      <c r="A177" s="161" t="s">
        <v>313</v>
      </c>
      <c r="B177" s="183">
        <v>2963</v>
      </c>
      <c r="C177" s="81"/>
    </row>
    <row r="178" spans="1:3" ht="14.25">
      <c r="A178" s="161" t="s">
        <v>314</v>
      </c>
      <c r="B178" s="183">
        <v>10832</v>
      </c>
      <c r="C178" s="81"/>
    </row>
    <row r="179" spans="1:3" ht="14.25">
      <c r="A179" s="161" t="s">
        <v>315</v>
      </c>
      <c r="B179" s="183">
        <v>3336</v>
      </c>
      <c r="C179" s="81"/>
    </row>
    <row r="180" spans="1:3" ht="14.25">
      <c r="A180" s="161" t="s">
        <v>316</v>
      </c>
      <c r="B180" s="183">
        <v>4842</v>
      </c>
      <c r="C180" s="81"/>
    </row>
    <row r="181" spans="1:3" ht="14.25">
      <c r="A181" s="161" t="s">
        <v>317</v>
      </c>
      <c r="B181" s="183">
        <v>6469</v>
      </c>
      <c r="C181" s="81"/>
    </row>
    <row r="182" spans="1:3" ht="14.25">
      <c r="A182" s="161" t="s">
        <v>318</v>
      </c>
      <c r="B182" s="183">
        <v>954</v>
      </c>
      <c r="C182" s="81"/>
    </row>
    <row r="183" spans="1:3" ht="14.25">
      <c r="A183" s="161" t="s">
        <v>320</v>
      </c>
      <c r="B183" s="183">
        <v>2825</v>
      </c>
      <c r="C183" s="81"/>
    </row>
    <row r="184" spans="1:3" ht="14.25">
      <c r="A184" s="161" t="s">
        <v>321</v>
      </c>
      <c r="B184" s="183">
        <v>1713</v>
      </c>
      <c r="C184" s="81"/>
    </row>
    <row r="185" spans="1:3" ht="14.25">
      <c r="A185" s="161" t="s">
        <v>322</v>
      </c>
      <c r="B185" s="183">
        <v>3900</v>
      </c>
      <c r="C185" s="81"/>
    </row>
    <row r="186" spans="1:3" ht="14.25">
      <c r="A186" s="161" t="s">
        <v>323</v>
      </c>
      <c r="B186" s="183">
        <v>17933</v>
      </c>
      <c r="C186" s="81"/>
    </row>
    <row r="187" spans="1:3" ht="14.25">
      <c r="A187" s="161" t="s">
        <v>324</v>
      </c>
      <c r="B187" s="183">
        <v>4498</v>
      </c>
      <c r="C187" s="81"/>
    </row>
    <row r="188" spans="1:3" ht="14.25">
      <c r="A188" s="161" t="s">
        <v>325</v>
      </c>
      <c r="B188" s="183">
        <v>19278</v>
      </c>
      <c r="C188" s="81"/>
    </row>
    <row r="189" spans="1:3" ht="14.25">
      <c r="A189" s="161" t="s">
        <v>590</v>
      </c>
      <c r="B189" s="183">
        <v>11016</v>
      </c>
      <c r="C189" s="81"/>
    </row>
    <row r="190" spans="1:3" ht="14.25">
      <c r="A190" s="161" t="s">
        <v>326</v>
      </c>
      <c r="B190" s="183">
        <v>4053</v>
      </c>
      <c r="C190" s="81"/>
    </row>
    <row r="191" spans="1:3" ht="14.25">
      <c r="A191" s="161" t="s">
        <v>327</v>
      </c>
      <c r="B191" s="183">
        <v>19368</v>
      </c>
      <c r="C191" s="81"/>
    </row>
    <row r="192" spans="1:3" ht="14.25">
      <c r="A192" s="161" t="s">
        <v>328</v>
      </c>
      <c r="B192" s="183">
        <v>4307</v>
      </c>
      <c r="C192" s="81"/>
    </row>
    <row r="193" spans="1:3" ht="14.25">
      <c r="A193" s="161" t="s">
        <v>329</v>
      </c>
      <c r="B193" s="183">
        <v>2146</v>
      </c>
      <c r="C193" s="81"/>
    </row>
    <row r="194" spans="1:3" ht="14.25">
      <c r="A194" s="161" t="s">
        <v>330</v>
      </c>
      <c r="B194" s="183">
        <v>84403</v>
      </c>
      <c r="C194" s="81"/>
    </row>
    <row r="195" spans="1:3" ht="14.25">
      <c r="A195" s="161" t="s">
        <v>331</v>
      </c>
      <c r="B195" s="183">
        <v>5068</v>
      </c>
      <c r="C195" s="81"/>
    </row>
    <row r="196" spans="1:3" ht="14.25">
      <c r="A196" s="161" t="s">
        <v>333</v>
      </c>
      <c r="B196" s="183">
        <v>3237</v>
      </c>
      <c r="C196" s="81"/>
    </row>
    <row r="197" spans="1:3" ht="14.25">
      <c r="A197" s="161" t="s">
        <v>334</v>
      </c>
      <c r="B197" s="183">
        <v>7990</v>
      </c>
      <c r="C197" s="81"/>
    </row>
    <row r="198" spans="1:3" ht="14.25">
      <c r="A198" s="161" t="s">
        <v>335</v>
      </c>
      <c r="B198" s="183">
        <v>1899</v>
      </c>
      <c r="C198" s="81"/>
    </row>
    <row r="199" spans="1:3" ht="14.25">
      <c r="A199" s="161" t="s">
        <v>336</v>
      </c>
      <c r="B199" s="183">
        <v>2896</v>
      </c>
      <c r="C199" s="81"/>
    </row>
    <row r="200" spans="1:3" ht="14.25">
      <c r="A200" s="161" t="s">
        <v>337</v>
      </c>
      <c r="B200" s="183">
        <v>2597</v>
      </c>
      <c r="C200" s="81"/>
    </row>
    <row r="201" spans="1:3" ht="14.25">
      <c r="A201" s="161" t="s">
        <v>338</v>
      </c>
      <c r="B201" s="183">
        <v>2197</v>
      </c>
      <c r="C201" s="81"/>
    </row>
    <row r="202" spans="1:3" ht="14.25">
      <c r="A202" s="161" t="s">
        <v>132</v>
      </c>
      <c r="B202" s="183">
        <v>5187</v>
      </c>
      <c r="C202" s="81"/>
    </row>
    <row r="203" spans="1:3" ht="14.25">
      <c r="A203" s="161" t="s">
        <v>339</v>
      </c>
      <c r="B203" s="183">
        <v>3146</v>
      </c>
      <c r="C203" s="81"/>
    </row>
    <row r="204" spans="1:3" ht="14.25">
      <c r="A204" s="161" t="s">
        <v>133</v>
      </c>
      <c r="B204" s="183">
        <v>5248</v>
      </c>
      <c r="C204" s="81"/>
    </row>
    <row r="205" spans="1:3" ht="14.25">
      <c r="A205" s="161" t="s">
        <v>340</v>
      </c>
      <c r="B205" s="183">
        <v>1557</v>
      </c>
      <c r="C205" s="81"/>
    </row>
    <row r="206" spans="1:3" ht="14.25">
      <c r="A206" s="161" t="s">
        <v>341</v>
      </c>
      <c r="B206" s="183">
        <v>2028</v>
      </c>
      <c r="C206" s="81"/>
    </row>
    <row r="207" spans="1:3" ht="14.25">
      <c r="A207" s="161" t="s">
        <v>342</v>
      </c>
      <c r="B207" s="183">
        <v>6499</v>
      </c>
      <c r="C207" s="81"/>
    </row>
    <row r="208" spans="1:3" ht="14.25">
      <c r="A208" s="161" t="s">
        <v>343</v>
      </c>
      <c r="B208" s="183">
        <v>8333</v>
      </c>
      <c r="C208" s="81"/>
    </row>
    <row r="209" spans="1:3" ht="14.25">
      <c r="A209" s="161" t="s">
        <v>332</v>
      </c>
      <c r="B209" s="183">
        <v>50262</v>
      </c>
      <c r="C209" s="81"/>
    </row>
    <row r="210" spans="1:3" ht="14.25">
      <c r="A210" s="161" t="s">
        <v>344</v>
      </c>
      <c r="B210" s="183">
        <v>24811</v>
      </c>
      <c r="C210" s="81"/>
    </row>
    <row r="211" spans="1:3" ht="14.25">
      <c r="A211" s="161" t="s">
        <v>345</v>
      </c>
      <c r="B211" s="183">
        <v>24178</v>
      </c>
      <c r="C211" s="81"/>
    </row>
    <row r="212" spans="1:3" ht="14.25">
      <c r="A212" s="161" t="s">
        <v>346</v>
      </c>
      <c r="B212" s="183">
        <v>3514</v>
      </c>
      <c r="C212" s="81"/>
    </row>
    <row r="213" spans="1:3" ht="14.25">
      <c r="A213" s="161" t="s">
        <v>347</v>
      </c>
      <c r="B213" s="183">
        <v>3896</v>
      </c>
      <c r="C213" s="81"/>
    </row>
    <row r="214" spans="1:3" ht="14.25">
      <c r="A214" s="161" t="s">
        <v>348</v>
      </c>
      <c r="B214" s="183">
        <v>39360</v>
      </c>
      <c r="C214" s="81"/>
    </row>
    <row r="215" spans="1:3" ht="14.25">
      <c r="A215" s="161" t="s">
        <v>349</v>
      </c>
      <c r="B215" s="183">
        <v>3196</v>
      </c>
      <c r="C215" s="81"/>
    </row>
    <row r="216" spans="1:3" ht="14.25">
      <c r="A216" s="161" t="s">
        <v>350</v>
      </c>
      <c r="B216" s="183">
        <v>1651</v>
      </c>
      <c r="C216" s="81"/>
    </row>
    <row r="217" spans="1:3" ht="14.25">
      <c r="A217" s="161" t="s">
        <v>351</v>
      </c>
      <c r="B217" s="183">
        <v>3335</v>
      </c>
      <c r="C217" s="81"/>
    </row>
    <row r="218" spans="1:3" ht="14.25">
      <c r="A218" s="161" t="s">
        <v>352</v>
      </c>
      <c r="B218" s="183">
        <v>2743</v>
      </c>
      <c r="C218" s="81"/>
    </row>
    <row r="219" spans="1:3" ht="14.25">
      <c r="A219" s="161" t="s">
        <v>353</v>
      </c>
      <c r="B219" s="183">
        <v>28736</v>
      </c>
      <c r="C219" s="81"/>
    </row>
    <row r="220" spans="1:3" ht="14.25">
      <c r="A220" s="161" t="s">
        <v>354</v>
      </c>
      <c r="B220" s="183">
        <v>1288</v>
      </c>
      <c r="C220" s="81"/>
    </row>
    <row r="221" spans="1:3" ht="14.25">
      <c r="A221" s="161" t="s">
        <v>355</v>
      </c>
      <c r="B221" s="183">
        <v>62922</v>
      </c>
      <c r="C221" s="81"/>
    </row>
    <row r="222" spans="1:3" ht="14.25">
      <c r="A222" s="161" t="s">
        <v>356</v>
      </c>
      <c r="B222" s="183">
        <v>5099</v>
      </c>
      <c r="C222" s="81"/>
    </row>
    <row r="223" spans="1:3" ht="14.25">
      <c r="A223" s="161" t="s">
        <v>357</v>
      </c>
      <c r="B223" s="183">
        <v>4398</v>
      </c>
      <c r="C223" s="81"/>
    </row>
    <row r="224" spans="1:3" ht="14.25">
      <c r="A224" s="161" t="s">
        <v>358</v>
      </c>
      <c r="B224" s="183">
        <v>6251</v>
      </c>
      <c r="C224" s="81"/>
    </row>
    <row r="225" spans="1:3" ht="14.25">
      <c r="A225" s="161" t="s">
        <v>359</v>
      </c>
      <c r="B225" s="183">
        <v>2181</v>
      </c>
      <c r="C225" s="81"/>
    </row>
    <row r="226" spans="1:3" ht="14.25">
      <c r="A226" s="161" t="s">
        <v>134</v>
      </c>
      <c r="B226" s="183">
        <v>27592</v>
      </c>
      <c r="C226" s="81"/>
    </row>
    <row r="227" spans="1:3" ht="14.25">
      <c r="A227" s="161" t="s">
        <v>360</v>
      </c>
      <c r="B227" s="183">
        <v>9415</v>
      </c>
      <c r="C227" s="81"/>
    </row>
    <row r="228" spans="1:3" ht="14.25">
      <c r="A228" s="161" t="s">
        <v>361</v>
      </c>
      <c r="B228" s="183">
        <v>3491</v>
      </c>
      <c r="C228" s="81"/>
    </row>
    <row r="229" spans="1:3" ht="14.25">
      <c r="A229" s="161" t="s">
        <v>362</v>
      </c>
      <c r="B229" s="183">
        <v>52321</v>
      </c>
      <c r="C229" s="81"/>
    </row>
    <row r="230" spans="1:3" ht="14.25">
      <c r="A230" s="161" t="s">
        <v>363</v>
      </c>
      <c r="B230" s="183">
        <v>2994</v>
      </c>
      <c r="C230" s="81"/>
    </row>
    <row r="231" spans="1:3" ht="14.25">
      <c r="A231" s="161" t="s">
        <v>364</v>
      </c>
      <c r="B231" s="183">
        <v>3429</v>
      </c>
      <c r="C231" s="81"/>
    </row>
    <row r="232" spans="1:3" ht="14.25">
      <c r="A232" s="161" t="s">
        <v>365</v>
      </c>
      <c r="B232" s="183">
        <v>33611</v>
      </c>
      <c r="C232" s="81"/>
    </row>
    <row r="233" spans="1:3" ht="14.25">
      <c r="A233" s="161" t="s">
        <v>366</v>
      </c>
      <c r="B233" s="183">
        <v>1015</v>
      </c>
      <c r="C233" s="81"/>
    </row>
    <row r="234" spans="1:3" ht="14.25">
      <c r="A234" s="161" t="s">
        <v>367</v>
      </c>
      <c r="B234" s="183">
        <v>63288</v>
      </c>
      <c r="C234" s="81"/>
    </row>
    <row r="235" spans="1:3" ht="14.25">
      <c r="A235" s="161" t="s">
        <v>368</v>
      </c>
      <c r="B235" s="183">
        <v>4980</v>
      </c>
      <c r="C235" s="81"/>
    </row>
    <row r="236" spans="1:3" ht="14.25">
      <c r="A236" s="161" t="s">
        <v>369</v>
      </c>
      <c r="B236" s="183">
        <v>1458</v>
      </c>
      <c r="C236" s="81"/>
    </row>
    <row r="237" spans="1:3" ht="14.25">
      <c r="A237" s="161" t="s">
        <v>370</v>
      </c>
      <c r="B237" s="183">
        <v>5249</v>
      </c>
      <c r="C237" s="81"/>
    </row>
    <row r="238" spans="1:3" ht="14.25">
      <c r="A238" s="161" t="s">
        <v>371</v>
      </c>
      <c r="B238" s="183">
        <v>21674</v>
      </c>
      <c r="C238" s="81"/>
    </row>
    <row r="239" spans="1:3" ht="14.25">
      <c r="A239" s="161" t="s">
        <v>372</v>
      </c>
      <c r="B239" s="183">
        <v>3045</v>
      </c>
      <c r="C239" s="81"/>
    </row>
    <row r="240" spans="1:3" ht="14.25">
      <c r="A240" s="161" t="s">
        <v>373</v>
      </c>
      <c r="B240" s="183">
        <v>20666</v>
      </c>
      <c r="C240" s="81"/>
    </row>
    <row r="241" spans="1:3" ht="14.25">
      <c r="A241" s="161" t="s">
        <v>374</v>
      </c>
      <c r="B241" s="183">
        <v>6134</v>
      </c>
      <c r="C241" s="81"/>
    </row>
    <row r="242" spans="1:3" ht="14.25">
      <c r="A242" s="161" t="s">
        <v>375</v>
      </c>
      <c r="B242" s="183">
        <v>8444</v>
      </c>
      <c r="C242" s="81"/>
    </row>
    <row r="243" spans="1:3" ht="14.25">
      <c r="A243" s="161" t="s">
        <v>376</v>
      </c>
      <c r="B243" s="183">
        <v>2085</v>
      </c>
      <c r="C243" s="81"/>
    </row>
    <row r="244" spans="1:3" ht="14.25">
      <c r="A244" s="161" t="s">
        <v>377</v>
      </c>
      <c r="B244" s="183">
        <v>8828</v>
      </c>
      <c r="C244" s="81"/>
    </row>
    <row r="245" spans="1:3" ht="14.25">
      <c r="A245" s="161" t="s">
        <v>378</v>
      </c>
      <c r="B245" s="183">
        <v>3967</v>
      </c>
      <c r="C245" s="81"/>
    </row>
    <row r="246" spans="1:3" ht="14.25">
      <c r="A246" s="161" t="s">
        <v>379</v>
      </c>
      <c r="B246" s="183">
        <v>10389</v>
      </c>
      <c r="C246" s="81"/>
    </row>
    <row r="247" spans="1:3" ht="14.25">
      <c r="A247" s="161" t="s">
        <v>380</v>
      </c>
      <c r="B247" s="183">
        <v>2530</v>
      </c>
      <c r="C247" s="81"/>
    </row>
    <row r="248" spans="1:3" ht="14.25">
      <c r="A248" s="161" t="s">
        <v>381</v>
      </c>
      <c r="B248" s="183">
        <v>7862</v>
      </c>
      <c r="C248" s="81"/>
    </row>
    <row r="249" spans="1:3" ht="14.25">
      <c r="A249" s="161" t="s">
        <v>382</v>
      </c>
      <c r="B249" s="183">
        <v>7145</v>
      </c>
      <c r="C249" s="81"/>
    </row>
    <row r="250" spans="1:3" ht="14.25">
      <c r="A250" s="161" t="s">
        <v>383</v>
      </c>
      <c r="B250" s="183">
        <v>3753</v>
      </c>
      <c r="C250" s="81"/>
    </row>
    <row r="251" spans="1:3" ht="14.25">
      <c r="A251" s="161" t="s">
        <v>384</v>
      </c>
      <c r="B251" s="183">
        <v>6811</v>
      </c>
      <c r="C251" s="81"/>
    </row>
    <row r="252" spans="1:3" ht="14.25">
      <c r="A252" s="161" t="s">
        <v>408</v>
      </c>
      <c r="B252" s="183">
        <v>2869</v>
      </c>
      <c r="C252" s="81"/>
    </row>
    <row r="253" spans="1:3" ht="14.25">
      <c r="A253" s="161" t="s">
        <v>135</v>
      </c>
      <c r="B253" s="183">
        <v>24651</v>
      </c>
      <c r="C253" s="81"/>
    </row>
    <row r="254" spans="1:3" ht="14.25">
      <c r="A254" s="161" t="s">
        <v>136</v>
      </c>
      <c r="B254" s="183">
        <v>5301</v>
      </c>
      <c r="C254" s="81"/>
    </row>
    <row r="255" spans="1:3" ht="14.25">
      <c r="A255" s="161" t="s">
        <v>385</v>
      </c>
      <c r="B255" s="183">
        <v>4715</v>
      </c>
      <c r="C255" s="81"/>
    </row>
    <row r="256" spans="1:3" ht="14.25">
      <c r="A256" s="161" t="s">
        <v>386</v>
      </c>
      <c r="B256" s="183">
        <v>4024</v>
      </c>
      <c r="C256" s="81"/>
    </row>
    <row r="257" spans="1:3" ht="14.25">
      <c r="A257" s="161" t="s">
        <v>387</v>
      </c>
      <c r="B257" s="183">
        <v>1662</v>
      </c>
      <c r="C257" s="81"/>
    </row>
    <row r="258" spans="1:3" ht="14.25">
      <c r="A258" s="161" t="s">
        <v>388</v>
      </c>
      <c r="B258" s="183">
        <v>6081</v>
      </c>
      <c r="C258" s="81"/>
    </row>
    <row r="259" spans="1:3" ht="14.25">
      <c r="A259" s="161" t="s">
        <v>389</v>
      </c>
      <c r="B259" s="183">
        <v>235239</v>
      </c>
      <c r="C259" s="81"/>
    </row>
    <row r="260" spans="1:3" ht="14.25">
      <c r="A260" s="161" t="s">
        <v>390</v>
      </c>
      <c r="B260" s="183">
        <v>1567</v>
      </c>
      <c r="C260" s="81"/>
    </row>
    <row r="261" spans="1:3" ht="14.25">
      <c r="A261" s="161" t="s">
        <v>391</v>
      </c>
      <c r="B261" s="183">
        <v>3062</v>
      </c>
      <c r="C261" s="81"/>
    </row>
    <row r="262" spans="1:3" ht="14.25">
      <c r="A262" s="161" t="s">
        <v>392</v>
      </c>
      <c r="B262" s="183">
        <v>5158</v>
      </c>
      <c r="C262" s="81"/>
    </row>
    <row r="263" spans="1:3" ht="14.25">
      <c r="A263" s="161" t="s">
        <v>393</v>
      </c>
      <c r="B263" s="183">
        <v>4482</v>
      </c>
      <c r="C263" s="81"/>
    </row>
    <row r="264" spans="1:3" ht="14.25">
      <c r="A264" s="161" t="s">
        <v>394</v>
      </c>
      <c r="B264" s="183">
        <v>3112</v>
      </c>
      <c r="C264" s="81"/>
    </row>
    <row r="265" spans="1:3" ht="14.25">
      <c r="A265" s="161" t="s">
        <v>395</v>
      </c>
      <c r="B265" s="183">
        <v>2406</v>
      </c>
      <c r="C265" s="81"/>
    </row>
    <row r="266" spans="1:3" ht="14.25">
      <c r="A266" s="161" t="s">
        <v>396</v>
      </c>
      <c r="B266" s="183">
        <v>21875</v>
      </c>
      <c r="C266" s="81"/>
    </row>
    <row r="267" spans="1:3" ht="14.25">
      <c r="A267" s="161" t="s">
        <v>397</v>
      </c>
      <c r="B267" s="183">
        <v>191331</v>
      </c>
      <c r="C267" s="81"/>
    </row>
    <row r="268" spans="1:3" ht="14.25">
      <c r="A268" s="161" t="s">
        <v>319</v>
      </c>
      <c r="B268" s="183">
        <v>3438</v>
      </c>
      <c r="C268" s="81"/>
    </row>
    <row r="269" spans="1:3" ht="14.25">
      <c r="A269" s="161" t="s">
        <v>398</v>
      </c>
      <c r="B269" s="183">
        <v>2551</v>
      </c>
      <c r="C269" s="81"/>
    </row>
    <row r="270" spans="1:3" ht="14.25">
      <c r="A270" s="161" t="s">
        <v>399</v>
      </c>
      <c r="B270" s="183">
        <v>38664</v>
      </c>
      <c r="C270" s="81"/>
    </row>
    <row r="271" spans="1:3" ht="14.25">
      <c r="A271" s="161" t="s">
        <v>400</v>
      </c>
      <c r="B271" s="183">
        <v>6758</v>
      </c>
      <c r="C271" s="81"/>
    </row>
    <row r="272" spans="1:3" ht="14.25">
      <c r="A272" s="161" t="s">
        <v>401</v>
      </c>
      <c r="B272" s="183">
        <v>13021</v>
      </c>
      <c r="C272" s="81"/>
    </row>
    <row r="273" spans="1:3" ht="14.25">
      <c r="A273" s="161" t="s">
        <v>402</v>
      </c>
      <c r="B273" s="183">
        <v>4792</v>
      </c>
      <c r="C273" s="81"/>
    </row>
    <row r="274" spans="1:3" ht="14.25">
      <c r="A274" s="161" t="s">
        <v>403</v>
      </c>
      <c r="B274" s="183">
        <v>2702</v>
      </c>
      <c r="C274" s="81"/>
    </row>
    <row r="275" spans="1:3" ht="14.25">
      <c r="A275" s="161" t="s">
        <v>404</v>
      </c>
      <c r="B275" s="183">
        <v>1232</v>
      </c>
      <c r="C275" s="81"/>
    </row>
    <row r="276" spans="1:3" ht="14.25">
      <c r="A276" s="161" t="s">
        <v>405</v>
      </c>
      <c r="B276" s="183">
        <v>3783</v>
      </c>
      <c r="C276" s="81"/>
    </row>
    <row r="277" spans="1:3" ht="14.25">
      <c r="A277" s="161" t="s">
        <v>406</v>
      </c>
      <c r="B277" s="183">
        <v>7455</v>
      </c>
      <c r="C277" s="81"/>
    </row>
    <row r="278" spans="1:3" ht="14.25">
      <c r="A278" s="161" t="s">
        <v>407</v>
      </c>
      <c r="B278" s="183">
        <v>15700</v>
      </c>
      <c r="C278" s="81"/>
    </row>
    <row r="279" spans="1:3" ht="14.25">
      <c r="A279" s="161" t="s">
        <v>409</v>
      </c>
      <c r="B279" s="183">
        <v>67552</v>
      </c>
      <c r="C279" s="81"/>
    </row>
    <row r="280" spans="1:3" ht="14.25">
      <c r="A280" s="161" t="s">
        <v>410</v>
      </c>
      <c r="B280" s="183">
        <v>21137</v>
      </c>
      <c r="C280" s="81"/>
    </row>
    <row r="281" spans="1:3" ht="14.25">
      <c r="A281" s="161" t="s">
        <v>413</v>
      </c>
      <c r="B281" s="183">
        <v>20829</v>
      </c>
      <c r="C281" s="81"/>
    </row>
    <row r="282" spans="1:3" ht="14.25">
      <c r="A282" s="161" t="s">
        <v>414</v>
      </c>
      <c r="B282" s="183">
        <v>2285</v>
      </c>
      <c r="C282" s="81"/>
    </row>
    <row r="283" spans="1:3" ht="14.25">
      <c r="A283" s="161" t="s">
        <v>415</v>
      </c>
      <c r="B283" s="183">
        <v>2058</v>
      </c>
      <c r="C283" s="81"/>
    </row>
    <row r="284" spans="1:3" ht="14.25">
      <c r="A284" s="161" t="s">
        <v>416</v>
      </c>
      <c r="B284" s="183">
        <v>4393</v>
      </c>
      <c r="C284" s="81"/>
    </row>
    <row r="285" spans="1:3" ht="14.25">
      <c r="A285" s="161" t="s">
        <v>417</v>
      </c>
      <c r="B285" s="183">
        <v>3166</v>
      </c>
      <c r="C285" s="81"/>
    </row>
    <row r="286" spans="1:3" ht="14.25">
      <c r="A286" s="161" t="s">
        <v>418</v>
      </c>
      <c r="B286" s="183">
        <v>3676</v>
      </c>
      <c r="C286" s="81"/>
    </row>
    <row r="287" spans="1:3" ht="14.25">
      <c r="A287" s="161" t="s">
        <v>419</v>
      </c>
      <c r="B287" s="183">
        <v>29211</v>
      </c>
      <c r="C287" s="81"/>
    </row>
    <row r="288" spans="1:3" ht="14.25">
      <c r="A288" s="161" t="s">
        <v>420</v>
      </c>
      <c r="B288" s="183">
        <v>6264</v>
      </c>
      <c r="C288" s="81"/>
    </row>
    <row r="289" spans="1:3" ht="14.25">
      <c r="A289" s="161" t="s">
        <v>421</v>
      </c>
      <c r="B289" s="183">
        <v>2901</v>
      </c>
      <c r="C289" s="81"/>
    </row>
    <row r="290" spans="1:3" ht="14.25">
      <c r="A290" s="161" t="s">
        <v>422</v>
      </c>
      <c r="B290" s="183">
        <v>3150</v>
      </c>
      <c r="C290" s="81"/>
    </row>
    <row r="291" spans="1:3" ht="14.25">
      <c r="A291" s="161" t="s">
        <v>423</v>
      </c>
      <c r="B291" s="183">
        <v>6739</v>
      </c>
      <c r="C291" s="81"/>
    </row>
    <row r="292" spans="1:3" ht="14.25">
      <c r="A292" s="161" t="s">
        <v>137</v>
      </c>
      <c r="B292" s="183">
        <v>6613</v>
      </c>
      <c r="C292" s="81"/>
    </row>
    <row r="293" spans="1:3" ht="14.25">
      <c r="A293" s="161" t="s">
        <v>424</v>
      </c>
      <c r="B293" s="183">
        <v>4022</v>
      </c>
      <c r="C293" s="81"/>
    </row>
    <row r="294" spans="1:3" ht="14.25">
      <c r="A294" s="161" t="s">
        <v>425</v>
      </c>
      <c r="B294" s="183">
        <v>15212</v>
      </c>
      <c r="C294" s="81"/>
    </row>
    <row r="295" spans="1:3" ht="14.25">
      <c r="A295" s="161" t="s">
        <v>426</v>
      </c>
      <c r="B295" s="183">
        <v>32983</v>
      </c>
      <c r="C295" s="81"/>
    </row>
    <row r="296" spans="1:3" ht="14.25">
      <c r="A296" s="161" t="s">
        <v>427</v>
      </c>
      <c r="B296" s="183">
        <v>2357</v>
      </c>
      <c r="C296" s="81"/>
    </row>
    <row r="297" spans="1:3" ht="14.25">
      <c r="A297" s="161" t="s">
        <v>428</v>
      </c>
      <c r="B297" s="183">
        <v>5703</v>
      </c>
      <c r="C297" s="81"/>
    </row>
    <row r="298" spans="1:3" ht="14.25">
      <c r="A298" s="161" t="s">
        <v>429</v>
      </c>
      <c r="B298" s="183">
        <v>18851</v>
      </c>
      <c r="C298" s="81"/>
    </row>
    <row r="299" spans="1:3" ht="14.25">
      <c r="A299" s="161"/>
      <c r="B299" s="183"/>
      <c r="C299" s="81"/>
    </row>
    <row r="300" spans="1:2" ht="14.25">
      <c r="A300" s="161" t="s">
        <v>611</v>
      </c>
      <c r="B300" s="183">
        <f>SUM(B5:B299)</f>
        <v>5488130</v>
      </c>
    </row>
    <row r="303" ht="12.75">
      <c r="A303" s="184"/>
    </row>
    <row r="304" ht="12.75">
      <c r="A304" s="184"/>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Y300"/>
  <sheetViews>
    <sheetView zoomScale="130" zoomScaleNormal="130" zoomScalePageLayoutView="0" workbookViewId="0" topLeftCell="A1">
      <selection activeCell="G7" sqref="A1:Y300"/>
    </sheetView>
  </sheetViews>
  <sheetFormatPr defaultColWidth="9.140625" defaultRowHeight="12.75"/>
  <cols>
    <col min="4" max="4" width="10.140625" style="0" bestFit="1" customWidth="1"/>
  </cols>
  <sheetData>
    <row r="1" spans="1:25" ht="12.75">
      <c r="A1" s="263" t="s">
        <v>596</v>
      </c>
      <c r="B1" s="299">
        <v>1</v>
      </c>
      <c r="C1" s="299">
        <v>2</v>
      </c>
      <c r="D1" s="264">
        <v>3</v>
      </c>
      <c r="E1" s="299">
        <v>4</v>
      </c>
      <c r="F1" s="299">
        <v>5</v>
      </c>
      <c r="G1" s="264">
        <v>6</v>
      </c>
      <c r="H1" s="299">
        <v>7</v>
      </c>
      <c r="I1" s="299">
        <v>8</v>
      </c>
      <c r="J1" s="264">
        <v>9</v>
      </c>
      <c r="K1" s="299">
        <v>10</v>
      </c>
      <c r="L1" s="299">
        <v>11</v>
      </c>
      <c r="M1" s="264">
        <v>12</v>
      </c>
      <c r="N1" s="299">
        <v>13</v>
      </c>
      <c r="O1" s="299">
        <v>14</v>
      </c>
      <c r="P1" s="264">
        <v>15</v>
      </c>
      <c r="Q1" s="299">
        <v>16</v>
      </c>
      <c r="R1" s="299">
        <v>17</v>
      </c>
      <c r="S1" s="264">
        <v>18</v>
      </c>
      <c r="T1" s="299">
        <v>19</v>
      </c>
      <c r="U1" s="299">
        <v>20</v>
      </c>
      <c r="V1" s="264">
        <v>21</v>
      </c>
      <c r="W1" s="299">
        <v>22</v>
      </c>
      <c r="X1" s="299">
        <v>23</v>
      </c>
      <c r="Y1" s="264">
        <v>24</v>
      </c>
    </row>
    <row r="2" spans="1:25" ht="12.75">
      <c r="A2" s="263" t="s">
        <v>569</v>
      </c>
      <c r="B2" s="265" t="s">
        <v>122</v>
      </c>
      <c r="C2" s="266" t="s">
        <v>138</v>
      </c>
      <c r="D2" s="266" t="s">
        <v>484</v>
      </c>
      <c r="E2" s="267"/>
      <c r="F2" s="267"/>
      <c r="G2" s="267"/>
      <c r="H2" s="267"/>
      <c r="I2" s="266" t="s">
        <v>442</v>
      </c>
      <c r="J2" s="266"/>
      <c r="K2" s="266"/>
      <c r="L2" s="266"/>
      <c r="M2" s="266"/>
      <c r="N2" s="266" t="s">
        <v>512</v>
      </c>
      <c r="O2" s="268"/>
      <c r="P2" s="268"/>
      <c r="Q2" s="268"/>
      <c r="R2" s="299"/>
      <c r="S2" s="273"/>
      <c r="T2" s="273"/>
      <c r="U2" s="273"/>
      <c r="V2" s="273"/>
      <c r="W2" s="273"/>
      <c r="X2" s="273"/>
      <c r="Y2" s="273"/>
    </row>
    <row r="3" spans="1:25" ht="12.75">
      <c r="A3" s="300">
        <v>2018</v>
      </c>
      <c r="B3" s="300"/>
      <c r="C3" s="301" t="s">
        <v>104</v>
      </c>
      <c r="D3" s="267"/>
      <c r="E3" s="267"/>
      <c r="F3" s="267"/>
      <c r="G3" s="267"/>
      <c r="H3" s="267"/>
      <c r="I3" s="267"/>
      <c r="J3" s="267"/>
      <c r="K3" s="267"/>
      <c r="L3" s="267"/>
      <c r="M3" s="267"/>
      <c r="N3" s="268"/>
      <c r="O3" s="268"/>
      <c r="P3" s="268"/>
      <c r="Q3" s="268"/>
      <c r="R3" s="299"/>
      <c r="S3" s="273"/>
      <c r="T3" s="273"/>
      <c r="U3" s="273"/>
      <c r="V3" s="273"/>
      <c r="W3" s="273"/>
      <c r="X3" s="273"/>
      <c r="Y3" s="273"/>
    </row>
    <row r="4" spans="1:25" ht="14.25">
      <c r="A4" s="302"/>
      <c r="B4" s="303"/>
      <c r="C4" s="269"/>
      <c r="D4" s="270">
        <v>2017</v>
      </c>
      <c r="E4" s="270" t="s">
        <v>570</v>
      </c>
      <c r="F4" s="270" t="s">
        <v>571</v>
      </c>
      <c r="G4" s="270" t="s">
        <v>572</v>
      </c>
      <c r="H4" s="270" t="s">
        <v>619</v>
      </c>
      <c r="I4" s="271">
        <v>2017</v>
      </c>
      <c r="J4" s="271" t="s">
        <v>570</v>
      </c>
      <c r="K4" s="271" t="s">
        <v>571</v>
      </c>
      <c r="L4" s="271" t="s">
        <v>572</v>
      </c>
      <c r="M4" s="271" t="s">
        <v>620</v>
      </c>
      <c r="N4" s="272">
        <v>2017</v>
      </c>
      <c r="O4" s="272" t="s">
        <v>570</v>
      </c>
      <c r="P4" s="272" t="s">
        <v>571</v>
      </c>
      <c r="Q4" s="272" t="s">
        <v>572</v>
      </c>
      <c r="R4" s="272" t="s">
        <v>619</v>
      </c>
      <c r="S4" s="273"/>
      <c r="T4" s="273"/>
      <c r="U4" s="273"/>
      <c r="V4" s="273"/>
      <c r="W4" s="273"/>
      <c r="X4" s="273"/>
      <c r="Y4" s="273"/>
    </row>
    <row r="5" spans="1:25" ht="12.75">
      <c r="A5" s="304">
        <v>20</v>
      </c>
      <c r="B5" s="262" t="s">
        <v>127</v>
      </c>
      <c r="C5" s="298">
        <v>6</v>
      </c>
      <c r="D5" s="274">
        <v>54016.24557</v>
      </c>
      <c r="E5" s="274">
        <v>56434.73096764213</v>
      </c>
      <c r="F5" s="274">
        <v>59062.72852290648</v>
      </c>
      <c r="G5" s="274">
        <v>31993.08864281961</v>
      </c>
      <c r="H5" s="274">
        <v>31363.75735713269</v>
      </c>
      <c r="I5" s="274">
        <v>1892.6969</v>
      </c>
      <c r="J5" s="274">
        <v>1628.567884</v>
      </c>
      <c r="K5" s="274">
        <v>1757.1719659999999</v>
      </c>
      <c r="L5" s="274">
        <v>1356.263799</v>
      </c>
      <c r="M5" s="274">
        <v>1373.3237209999998</v>
      </c>
      <c r="N5" s="274">
        <v>3489.0633399999997</v>
      </c>
      <c r="O5" s="274">
        <v>3290.5971709439996</v>
      </c>
      <c r="P5" s="274">
        <v>3290.5971709439996</v>
      </c>
      <c r="Q5" s="274">
        <v>3290.5971709439996</v>
      </c>
      <c r="R5" s="305">
        <v>3290.5971709439996</v>
      </c>
      <c r="S5" s="305"/>
      <c r="T5" s="305"/>
      <c r="U5" s="305"/>
      <c r="V5" s="273"/>
      <c r="W5" s="273"/>
      <c r="X5" s="273"/>
      <c r="Y5" s="273"/>
    </row>
    <row r="6" spans="1:25" ht="12.75">
      <c r="A6" s="304">
        <v>5</v>
      </c>
      <c r="B6" s="262" t="s">
        <v>144</v>
      </c>
      <c r="C6" s="298">
        <v>14</v>
      </c>
      <c r="D6" s="274">
        <v>25064.81082</v>
      </c>
      <c r="E6" s="274">
        <v>25220.78546765667</v>
      </c>
      <c r="F6" s="274">
        <v>26066.76381510774</v>
      </c>
      <c r="G6" s="274">
        <v>14274.65440478373</v>
      </c>
      <c r="H6" s="274">
        <v>14102.440397079428</v>
      </c>
      <c r="I6" s="274">
        <v>2438.0982000000004</v>
      </c>
      <c r="J6" s="274">
        <v>2168.3605629999997</v>
      </c>
      <c r="K6" s="274">
        <v>2347.316852</v>
      </c>
      <c r="L6" s="274">
        <v>1811.763978</v>
      </c>
      <c r="M6" s="274">
        <v>1834.5534619999999</v>
      </c>
      <c r="N6" s="274">
        <v>2155.64923</v>
      </c>
      <c r="O6" s="274">
        <v>2101.0174717800005</v>
      </c>
      <c r="P6" s="274">
        <v>2101.0174717800005</v>
      </c>
      <c r="Q6" s="274">
        <v>2101.0174717800005</v>
      </c>
      <c r="R6" s="305">
        <v>2101.0174717800005</v>
      </c>
      <c r="S6" s="305"/>
      <c r="T6" s="305"/>
      <c r="U6" s="305"/>
      <c r="V6" s="273"/>
      <c r="W6" s="273"/>
      <c r="X6" s="273"/>
      <c r="Y6" s="273"/>
    </row>
    <row r="7" spans="1:25" ht="12.75">
      <c r="A7" s="304">
        <v>9</v>
      </c>
      <c r="B7" s="262" t="s">
        <v>145</v>
      </c>
      <c r="C7" s="298">
        <v>17</v>
      </c>
      <c r="D7" s="274">
        <v>6493.73081</v>
      </c>
      <c r="E7" s="274">
        <v>6921.63928958213</v>
      </c>
      <c r="F7" s="274">
        <v>7147.584937186669</v>
      </c>
      <c r="G7" s="274">
        <v>3909.0970452948723</v>
      </c>
      <c r="H7" s="274">
        <v>3824.130909467229</v>
      </c>
      <c r="I7" s="274">
        <v>285.62636</v>
      </c>
      <c r="J7" s="274">
        <v>263.465965</v>
      </c>
      <c r="K7" s="274">
        <v>285.172598</v>
      </c>
      <c r="L7" s="274">
        <v>220.108947</v>
      </c>
      <c r="M7" s="274">
        <v>222.87761300000003</v>
      </c>
      <c r="N7" s="274">
        <v>504.91699</v>
      </c>
      <c r="O7" s="274">
        <v>514.8753937776</v>
      </c>
      <c r="P7" s="274">
        <v>514.8753937776</v>
      </c>
      <c r="Q7" s="274">
        <v>514.8753937776</v>
      </c>
      <c r="R7" s="305">
        <v>514.8753937776</v>
      </c>
      <c r="S7" s="305"/>
      <c r="T7" s="305"/>
      <c r="U7" s="305"/>
      <c r="V7" s="273"/>
      <c r="W7" s="273"/>
      <c r="X7" s="273"/>
      <c r="Y7" s="273"/>
    </row>
    <row r="8" spans="1:25" ht="12.75">
      <c r="A8" s="304">
        <v>10</v>
      </c>
      <c r="B8" s="262" t="s">
        <v>146</v>
      </c>
      <c r="C8" s="298">
        <v>14</v>
      </c>
      <c r="D8" s="274">
        <v>29789.408030000002</v>
      </c>
      <c r="E8" s="274">
        <v>29693.275510831412</v>
      </c>
      <c r="F8" s="274">
        <v>30932.903522970453</v>
      </c>
      <c r="G8" s="274">
        <v>16610.542640061427</v>
      </c>
      <c r="H8" s="274">
        <v>16330.357283844372</v>
      </c>
      <c r="I8" s="274">
        <v>2698.7567400000003</v>
      </c>
      <c r="J8" s="274">
        <v>2457.4311880000005</v>
      </c>
      <c r="K8" s="274">
        <v>2668.6910660000003</v>
      </c>
      <c r="L8" s="274">
        <v>2059.814949</v>
      </c>
      <c r="M8" s="274">
        <v>2085.7245709999997</v>
      </c>
      <c r="N8" s="274">
        <v>2729.53481</v>
      </c>
      <c r="O8" s="274">
        <v>2742.7334357616</v>
      </c>
      <c r="P8" s="274">
        <v>2742.7334357616</v>
      </c>
      <c r="Q8" s="274">
        <v>2742.7334357616</v>
      </c>
      <c r="R8" s="305">
        <v>2742.7334357616</v>
      </c>
      <c r="S8" s="305"/>
      <c r="T8" s="305"/>
      <c r="U8" s="305"/>
      <c r="V8" s="273"/>
      <c r="W8" s="273"/>
      <c r="X8" s="273"/>
      <c r="Y8" s="273"/>
    </row>
    <row r="9" spans="1:25" ht="12.75">
      <c r="A9" s="304">
        <v>16</v>
      </c>
      <c r="B9" s="262" t="s">
        <v>147</v>
      </c>
      <c r="C9" s="298">
        <v>7</v>
      </c>
      <c r="D9" s="274">
        <v>25297.77145</v>
      </c>
      <c r="E9" s="274">
        <v>25225.5672137486</v>
      </c>
      <c r="F9" s="274">
        <v>26559.268644122785</v>
      </c>
      <c r="G9" s="274">
        <v>13746.379607876304</v>
      </c>
      <c r="H9" s="274">
        <v>13398.892730932475</v>
      </c>
      <c r="I9" s="274">
        <v>1615.50731</v>
      </c>
      <c r="J9" s="274">
        <v>1468.962137</v>
      </c>
      <c r="K9" s="274">
        <v>1587.303954</v>
      </c>
      <c r="L9" s="274">
        <v>1225.1520810000002</v>
      </c>
      <c r="M9" s="274">
        <v>1240.5627989999998</v>
      </c>
      <c r="N9" s="274">
        <v>2786.5875499999997</v>
      </c>
      <c r="O9" s="274">
        <v>2923.4028085824</v>
      </c>
      <c r="P9" s="274">
        <v>2923.4028085824</v>
      </c>
      <c r="Q9" s="274">
        <v>2923.4028085824</v>
      </c>
      <c r="R9" s="305">
        <v>2923.4028085824</v>
      </c>
      <c r="S9" s="305"/>
      <c r="T9" s="305"/>
      <c r="U9" s="305"/>
      <c r="V9" s="273"/>
      <c r="W9" s="273"/>
      <c r="X9" s="273"/>
      <c r="Y9" s="273"/>
    </row>
    <row r="10" spans="1:25" ht="12.75">
      <c r="A10" s="304">
        <v>18</v>
      </c>
      <c r="B10" s="262" t="s">
        <v>148</v>
      </c>
      <c r="C10" s="298">
        <v>1</v>
      </c>
      <c r="D10" s="274">
        <v>16579.26711</v>
      </c>
      <c r="E10" s="274">
        <v>17029.181034925543</v>
      </c>
      <c r="F10" s="274">
        <v>18019.912541733374</v>
      </c>
      <c r="G10" s="274">
        <v>9416.371139335755</v>
      </c>
      <c r="H10" s="274">
        <v>9107.88961933852</v>
      </c>
      <c r="I10" s="274">
        <v>1037.75463</v>
      </c>
      <c r="J10" s="274">
        <v>955.9614029999999</v>
      </c>
      <c r="K10" s="274">
        <v>1035.984094</v>
      </c>
      <c r="L10" s="274">
        <v>799.618791</v>
      </c>
      <c r="M10" s="274">
        <v>809.676889</v>
      </c>
      <c r="N10" s="274">
        <v>1139.10031</v>
      </c>
      <c r="O10" s="274">
        <v>1127.882291544</v>
      </c>
      <c r="P10" s="274">
        <v>1127.882291544</v>
      </c>
      <c r="Q10" s="274">
        <v>1127.882291544</v>
      </c>
      <c r="R10" s="305">
        <v>1127.882291544</v>
      </c>
      <c r="S10" s="305"/>
      <c r="T10" s="305"/>
      <c r="U10" s="305"/>
      <c r="V10" s="273"/>
      <c r="W10" s="273"/>
      <c r="X10" s="273"/>
      <c r="Y10" s="273"/>
    </row>
    <row r="11" spans="1:25" ht="12.75">
      <c r="A11" s="304">
        <v>19</v>
      </c>
      <c r="B11" s="262" t="s">
        <v>149</v>
      </c>
      <c r="C11" s="298">
        <v>2</v>
      </c>
      <c r="D11" s="274">
        <v>13596.44977</v>
      </c>
      <c r="E11" s="274">
        <v>13398.54609240528</v>
      </c>
      <c r="F11" s="274">
        <v>14192.750994641949</v>
      </c>
      <c r="G11" s="274">
        <v>7807.83491900522</v>
      </c>
      <c r="H11" s="274">
        <v>7626.438682964662</v>
      </c>
      <c r="I11" s="274">
        <v>530.47126</v>
      </c>
      <c r="J11" s="274">
        <v>606.0164070000001</v>
      </c>
      <c r="K11" s="274">
        <v>656.8623120000001</v>
      </c>
      <c r="L11" s="274">
        <v>506.995668</v>
      </c>
      <c r="M11" s="274">
        <v>513.372972</v>
      </c>
      <c r="N11" s="274">
        <v>745.49145</v>
      </c>
      <c r="O11" s="274">
        <v>742.0066639920001</v>
      </c>
      <c r="P11" s="274">
        <v>742.0066639920001</v>
      </c>
      <c r="Q11" s="274">
        <v>742.0066639920001</v>
      </c>
      <c r="R11" s="305">
        <v>742.0066639920001</v>
      </c>
      <c r="S11" s="305"/>
      <c r="T11" s="305"/>
      <c r="U11" s="305"/>
      <c r="V11" s="273"/>
      <c r="W11" s="273"/>
      <c r="X11" s="273"/>
      <c r="Y11" s="273"/>
    </row>
    <row r="12" spans="1:25" ht="12.75">
      <c r="A12" s="304">
        <v>46</v>
      </c>
      <c r="B12" s="262" t="s">
        <v>150</v>
      </c>
      <c r="C12" s="298">
        <v>10</v>
      </c>
      <c r="D12" s="274">
        <v>3723.11026</v>
      </c>
      <c r="E12" s="274">
        <v>3594.0909941538944</v>
      </c>
      <c r="F12" s="274">
        <v>3771.2160201553897</v>
      </c>
      <c r="G12" s="274">
        <v>1947.5654242494884</v>
      </c>
      <c r="H12" s="274">
        <v>1921.156389507919</v>
      </c>
      <c r="I12" s="274">
        <v>595.09958</v>
      </c>
      <c r="J12" s="274">
        <v>574.743366</v>
      </c>
      <c r="K12" s="274">
        <v>622.97284</v>
      </c>
      <c r="L12" s="274">
        <v>480.83825999999993</v>
      </c>
      <c r="M12" s="274">
        <v>486.88653999999997</v>
      </c>
      <c r="N12" s="274">
        <v>535.41331</v>
      </c>
      <c r="O12" s="274">
        <v>528.238754952</v>
      </c>
      <c r="P12" s="274">
        <v>528.238754952</v>
      </c>
      <c r="Q12" s="274">
        <v>528.238754952</v>
      </c>
      <c r="R12" s="305">
        <v>528.238754952</v>
      </c>
      <c r="S12" s="305"/>
      <c r="T12" s="305"/>
      <c r="U12" s="305"/>
      <c r="V12" s="273"/>
      <c r="W12" s="273"/>
      <c r="X12" s="273"/>
      <c r="Y12" s="273"/>
    </row>
    <row r="13" spans="1:25" ht="12.75">
      <c r="A13" s="304">
        <v>47</v>
      </c>
      <c r="B13" s="262" t="s">
        <v>151</v>
      </c>
      <c r="C13" s="298">
        <v>19</v>
      </c>
      <c r="D13" s="274">
        <v>4963.380190000001</v>
      </c>
      <c r="E13" s="274">
        <v>5017.896209595879</v>
      </c>
      <c r="F13" s="274">
        <v>5202.0930479517265</v>
      </c>
      <c r="G13" s="274">
        <v>2858.9017055375707</v>
      </c>
      <c r="H13" s="274">
        <v>2821.7323483134246</v>
      </c>
      <c r="I13" s="274">
        <v>409.93638</v>
      </c>
      <c r="J13" s="274">
        <v>390.57563999999996</v>
      </c>
      <c r="K13" s="274">
        <v>423.379234</v>
      </c>
      <c r="L13" s="274">
        <v>326.78300099999996</v>
      </c>
      <c r="M13" s="274">
        <v>330.89347899999996</v>
      </c>
      <c r="N13" s="274">
        <v>829.74312</v>
      </c>
      <c r="O13" s="274">
        <v>830.8569759720001</v>
      </c>
      <c r="P13" s="274">
        <v>830.8569759720001</v>
      </c>
      <c r="Q13" s="274">
        <v>830.8569759720001</v>
      </c>
      <c r="R13" s="305">
        <v>830.8569759720001</v>
      </c>
      <c r="S13" s="305"/>
      <c r="T13" s="305"/>
      <c r="U13" s="305"/>
      <c r="V13" s="273"/>
      <c r="W13" s="273"/>
      <c r="X13" s="273"/>
      <c r="Y13" s="273"/>
    </row>
    <row r="14" spans="1:25" ht="12.75">
      <c r="A14" s="304">
        <v>49</v>
      </c>
      <c r="B14" s="262" t="s">
        <v>152</v>
      </c>
      <c r="C14" s="298">
        <v>1</v>
      </c>
      <c r="D14" s="274">
        <v>1236908.57743</v>
      </c>
      <c r="E14" s="274">
        <v>1280107.248110516</v>
      </c>
      <c r="F14" s="274">
        <v>1347243.9617374537</v>
      </c>
      <c r="G14" s="274">
        <v>580235.0301909824</v>
      </c>
      <c r="H14" s="274">
        <v>543743.1421098111</v>
      </c>
      <c r="I14" s="274">
        <v>137156.2491</v>
      </c>
      <c r="J14" s="274">
        <v>129676.208551</v>
      </c>
      <c r="K14" s="274">
        <v>140374.15955399998</v>
      </c>
      <c r="L14" s="274">
        <v>108347.045481</v>
      </c>
      <c r="M14" s="274">
        <v>109709.901399</v>
      </c>
      <c r="N14" s="274">
        <v>116153.15004000001</v>
      </c>
      <c r="O14" s="274">
        <v>118125.79390338478</v>
      </c>
      <c r="P14" s="274">
        <v>118125.79390338478</v>
      </c>
      <c r="Q14" s="274">
        <v>118125.79390338478</v>
      </c>
      <c r="R14" s="305">
        <v>118125.79390338478</v>
      </c>
      <c r="S14" s="305"/>
      <c r="T14" s="305"/>
      <c r="U14" s="305"/>
      <c r="V14" s="273"/>
      <c r="W14" s="273"/>
      <c r="X14" s="273"/>
      <c r="Y14" s="273"/>
    </row>
    <row r="15" spans="1:25" ht="12.75">
      <c r="A15" s="304">
        <v>50</v>
      </c>
      <c r="B15" s="262" t="s">
        <v>153</v>
      </c>
      <c r="C15" s="298">
        <v>4</v>
      </c>
      <c r="D15" s="274">
        <v>39020.664840000005</v>
      </c>
      <c r="E15" s="274">
        <v>39674.12089150757</v>
      </c>
      <c r="F15" s="274">
        <v>40782.92565942501</v>
      </c>
      <c r="G15" s="274">
        <v>20768.99465653099</v>
      </c>
      <c r="H15" s="274">
        <v>20221.64081884535</v>
      </c>
      <c r="I15" s="274">
        <v>2303.13727</v>
      </c>
      <c r="J15" s="274">
        <v>2017.1530319999997</v>
      </c>
      <c r="K15" s="274">
        <v>2178.1074219999996</v>
      </c>
      <c r="L15" s="274">
        <v>1681.1605829999999</v>
      </c>
      <c r="M15" s="274">
        <v>1702.307257</v>
      </c>
      <c r="N15" s="274">
        <v>3076.73602</v>
      </c>
      <c r="O15" s="274">
        <v>3099.148185576</v>
      </c>
      <c r="P15" s="274">
        <v>3099.148185576</v>
      </c>
      <c r="Q15" s="274">
        <v>3099.148185576</v>
      </c>
      <c r="R15" s="305">
        <v>3099.148185576</v>
      </c>
      <c r="S15" s="305"/>
      <c r="T15" s="305"/>
      <c r="U15" s="305"/>
      <c r="V15" s="273"/>
      <c r="W15" s="273"/>
      <c r="X15" s="273"/>
      <c r="Y15" s="273"/>
    </row>
    <row r="16" spans="1:25" ht="12.75">
      <c r="A16" s="304">
        <v>51</v>
      </c>
      <c r="B16" s="262" t="s">
        <v>154</v>
      </c>
      <c r="C16" s="298">
        <v>4</v>
      </c>
      <c r="D16" s="274">
        <v>30552.22738</v>
      </c>
      <c r="E16" s="274">
        <v>29223.96079358613</v>
      </c>
      <c r="F16" s="274">
        <v>31111.584832562337</v>
      </c>
      <c r="G16" s="274">
        <v>13355.138487614307</v>
      </c>
      <c r="H16" s="274">
        <v>12794.539274253544</v>
      </c>
      <c r="I16" s="274">
        <v>2027.95176</v>
      </c>
      <c r="J16" s="274">
        <v>2363.752804</v>
      </c>
      <c r="K16" s="274">
        <v>2560.299428</v>
      </c>
      <c r="L16" s="274">
        <v>1976.1534419999998</v>
      </c>
      <c r="M16" s="274">
        <v>2001.010718</v>
      </c>
      <c r="N16" s="274">
        <v>19329.88507</v>
      </c>
      <c r="O16" s="274">
        <v>24217.5335910984</v>
      </c>
      <c r="P16" s="274">
        <v>24217.5335910984</v>
      </c>
      <c r="Q16" s="274">
        <v>24217.5335910984</v>
      </c>
      <c r="R16" s="305">
        <v>24217.5335910984</v>
      </c>
      <c r="S16" s="305"/>
      <c r="T16" s="305"/>
      <c r="U16" s="305"/>
      <c r="V16" s="273"/>
      <c r="W16" s="273"/>
      <c r="X16" s="273"/>
      <c r="Y16" s="273"/>
    </row>
    <row r="17" spans="1:25" ht="12.75">
      <c r="A17" s="304">
        <v>52</v>
      </c>
      <c r="B17" s="262" t="s">
        <v>155</v>
      </c>
      <c r="C17" s="298">
        <v>14</v>
      </c>
      <c r="D17" s="274">
        <v>6673.29157</v>
      </c>
      <c r="E17" s="274">
        <v>6855.856906271023</v>
      </c>
      <c r="F17" s="274">
        <v>7121.735897340751</v>
      </c>
      <c r="G17" s="274">
        <v>3882.8675390254984</v>
      </c>
      <c r="H17" s="274">
        <v>3815.3840604661605</v>
      </c>
      <c r="I17" s="274">
        <v>827.0765200000001</v>
      </c>
      <c r="J17" s="274">
        <v>638.07506</v>
      </c>
      <c r="K17" s="274">
        <v>692.6086679999999</v>
      </c>
      <c r="L17" s="274">
        <v>534.586302</v>
      </c>
      <c r="M17" s="274">
        <v>541.310658</v>
      </c>
      <c r="N17" s="274">
        <v>723.43796</v>
      </c>
      <c r="O17" s="274">
        <v>727.1229033599999</v>
      </c>
      <c r="P17" s="274">
        <v>727.1229033599999</v>
      </c>
      <c r="Q17" s="274">
        <v>727.1229033599999</v>
      </c>
      <c r="R17" s="305">
        <v>727.1229033599999</v>
      </c>
      <c r="S17" s="305"/>
      <c r="T17" s="305"/>
      <c r="U17" s="305"/>
      <c r="V17" s="273"/>
      <c r="W17" s="273"/>
      <c r="X17" s="273"/>
      <c r="Y17" s="273"/>
    </row>
    <row r="18" spans="1:25" ht="12.75">
      <c r="A18" s="304">
        <v>61</v>
      </c>
      <c r="B18" s="262" t="s">
        <v>156</v>
      </c>
      <c r="C18" s="298">
        <v>5</v>
      </c>
      <c r="D18" s="274">
        <v>51893.00207</v>
      </c>
      <c r="E18" s="274">
        <v>52069.705233273075</v>
      </c>
      <c r="F18" s="274">
        <v>54348.52388044013</v>
      </c>
      <c r="G18" s="274">
        <v>27691.54970228605</v>
      </c>
      <c r="H18" s="274">
        <v>27094.5447795919</v>
      </c>
      <c r="I18" s="274">
        <v>3855.90377</v>
      </c>
      <c r="J18" s="274">
        <v>3767.979213</v>
      </c>
      <c r="K18" s="274">
        <v>4077.9183199999998</v>
      </c>
      <c r="L18" s="274">
        <v>3147.5194800000004</v>
      </c>
      <c r="M18" s="274">
        <v>3187.1109200000005</v>
      </c>
      <c r="N18" s="274">
        <v>5326.101</v>
      </c>
      <c r="O18" s="274">
        <v>5292.857178648</v>
      </c>
      <c r="P18" s="274">
        <v>5292.857178648</v>
      </c>
      <c r="Q18" s="274">
        <v>5292.857178648</v>
      </c>
      <c r="R18" s="305">
        <v>5292.857178648</v>
      </c>
      <c r="S18" s="305"/>
      <c r="T18" s="305"/>
      <c r="U18" s="305"/>
      <c r="V18" s="273"/>
      <c r="W18" s="273"/>
      <c r="X18" s="273"/>
      <c r="Y18" s="273"/>
    </row>
    <row r="19" spans="1:25" ht="12.75">
      <c r="A19" s="304">
        <v>69</v>
      </c>
      <c r="B19" s="262" t="s">
        <v>157</v>
      </c>
      <c r="C19" s="298">
        <v>17</v>
      </c>
      <c r="D19" s="274">
        <v>19281.86422</v>
      </c>
      <c r="E19" s="274">
        <v>19871.349818970903</v>
      </c>
      <c r="F19" s="274">
        <v>20741.236650463474</v>
      </c>
      <c r="G19" s="274">
        <v>11461.23009315497</v>
      </c>
      <c r="H19" s="274">
        <v>11293.74160803685</v>
      </c>
      <c r="I19" s="274">
        <v>1574.92745</v>
      </c>
      <c r="J19" s="274">
        <v>1228.472282</v>
      </c>
      <c r="K19" s="274">
        <v>1329.519674</v>
      </c>
      <c r="L19" s="274">
        <v>1026.182661</v>
      </c>
      <c r="M19" s="274">
        <v>1039.090619</v>
      </c>
      <c r="N19" s="274">
        <v>1893.38267</v>
      </c>
      <c r="O19" s="274">
        <v>2036.593204344</v>
      </c>
      <c r="P19" s="274">
        <v>2036.593204344</v>
      </c>
      <c r="Q19" s="274">
        <v>2036.593204344</v>
      </c>
      <c r="R19" s="305">
        <v>2036.593204344</v>
      </c>
      <c r="S19" s="305"/>
      <c r="T19" s="305"/>
      <c r="U19" s="305"/>
      <c r="V19" s="273"/>
      <c r="W19" s="273"/>
      <c r="X19" s="273"/>
      <c r="Y19" s="273"/>
    </row>
    <row r="20" spans="1:25" ht="12.75">
      <c r="A20" s="304">
        <v>71</v>
      </c>
      <c r="B20" s="262" t="s">
        <v>158</v>
      </c>
      <c r="C20" s="260">
        <v>17</v>
      </c>
      <c r="D20" s="274">
        <v>17803.32315</v>
      </c>
      <c r="E20" s="274">
        <v>17876.921792901154</v>
      </c>
      <c r="F20" s="274">
        <v>18783.610323765683</v>
      </c>
      <c r="G20" s="274">
        <v>10335.368976370612</v>
      </c>
      <c r="H20" s="274">
        <v>10240.503243721807</v>
      </c>
      <c r="I20" s="274">
        <v>1291.14697</v>
      </c>
      <c r="J20" s="274">
        <v>1365.06904</v>
      </c>
      <c r="K20" s="274">
        <v>1478.593634</v>
      </c>
      <c r="L20" s="274">
        <v>1141.244601</v>
      </c>
      <c r="M20" s="274">
        <v>1155.599879</v>
      </c>
      <c r="N20" s="274">
        <v>1672.8593899999998</v>
      </c>
      <c r="O20" s="274">
        <v>1656.5129899319998</v>
      </c>
      <c r="P20" s="274">
        <v>1656.5129899319998</v>
      </c>
      <c r="Q20" s="274">
        <v>1656.5129899319998</v>
      </c>
      <c r="R20" s="305">
        <v>1656.5129899319998</v>
      </c>
      <c r="S20" s="305"/>
      <c r="T20" s="305"/>
      <c r="U20" s="305"/>
      <c r="V20" s="273"/>
      <c r="W20" s="273"/>
      <c r="X20" s="273"/>
      <c r="Y20" s="273"/>
    </row>
    <row r="21" spans="1:25" ht="12.75">
      <c r="A21" s="304">
        <v>72</v>
      </c>
      <c r="B21" s="262" t="s">
        <v>159</v>
      </c>
      <c r="C21" s="260">
        <v>17</v>
      </c>
      <c r="D21" s="274">
        <v>3245.0600499999996</v>
      </c>
      <c r="E21" s="274">
        <v>3193.6683057050286</v>
      </c>
      <c r="F21" s="274">
        <v>3405.6270133229104</v>
      </c>
      <c r="G21" s="274">
        <v>1725.0755672196526</v>
      </c>
      <c r="H21" s="274">
        <v>1676.4296649718847</v>
      </c>
      <c r="I21" s="274">
        <v>113.52828</v>
      </c>
      <c r="J21" s="274">
        <v>98.51819199999998</v>
      </c>
      <c r="K21" s="274">
        <v>106.69337399999999</v>
      </c>
      <c r="L21" s="274">
        <v>82.35071099999999</v>
      </c>
      <c r="M21" s="274">
        <v>83.386569</v>
      </c>
      <c r="N21" s="274">
        <v>332.09195</v>
      </c>
      <c r="O21" s="274">
        <v>351.51091398240004</v>
      </c>
      <c r="P21" s="274">
        <v>351.51091398240004</v>
      </c>
      <c r="Q21" s="274">
        <v>351.51091398240004</v>
      </c>
      <c r="R21" s="305">
        <v>351.51091398240004</v>
      </c>
      <c r="S21" s="305"/>
      <c r="T21" s="305"/>
      <c r="U21" s="305"/>
      <c r="V21" s="273"/>
      <c r="W21" s="273"/>
      <c r="X21" s="273"/>
      <c r="Y21" s="273"/>
    </row>
    <row r="22" spans="1:25" ht="12.75">
      <c r="A22" s="304">
        <v>74</v>
      </c>
      <c r="B22" s="262" t="s">
        <v>160</v>
      </c>
      <c r="C22" s="260">
        <v>16</v>
      </c>
      <c r="D22" s="274">
        <v>2805.18011</v>
      </c>
      <c r="E22" s="274">
        <v>2837.1144494896384</v>
      </c>
      <c r="F22" s="274">
        <v>3019.71127837435</v>
      </c>
      <c r="G22" s="274">
        <v>1683.3441842896464</v>
      </c>
      <c r="H22" s="274">
        <v>1663.26794312627</v>
      </c>
      <c r="I22" s="274">
        <v>551.2226400000001</v>
      </c>
      <c r="J22" s="274">
        <v>424.14190399999995</v>
      </c>
      <c r="K22" s="274">
        <v>459.79158799999993</v>
      </c>
      <c r="L22" s="274">
        <v>354.887682</v>
      </c>
      <c r="M22" s="274">
        <v>359.35167799999994</v>
      </c>
      <c r="N22" s="274">
        <v>355.70615000000004</v>
      </c>
      <c r="O22" s="274">
        <v>351.16690207199997</v>
      </c>
      <c r="P22" s="274">
        <v>351.16690207199997</v>
      </c>
      <c r="Q22" s="274">
        <v>351.16690207199997</v>
      </c>
      <c r="R22" s="305">
        <v>351.16690207199997</v>
      </c>
      <c r="S22" s="305"/>
      <c r="T22" s="305"/>
      <c r="U22" s="305"/>
      <c r="V22" s="273"/>
      <c r="W22" s="273"/>
      <c r="X22" s="273"/>
      <c r="Y22" s="273"/>
    </row>
    <row r="23" spans="1:25" ht="12.75">
      <c r="A23" s="304">
        <v>75</v>
      </c>
      <c r="B23" s="262" t="s">
        <v>161</v>
      </c>
      <c r="C23" s="260">
        <v>8</v>
      </c>
      <c r="D23" s="274">
        <v>70567.05258</v>
      </c>
      <c r="E23" s="274">
        <v>71238.74334203004</v>
      </c>
      <c r="F23" s="274">
        <v>74014.70035126142</v>
      </c>
      <c r="G23" s="274">
        <v>38005.56447328695</v>
      </c>
      <c r="H23" s="274">
        <v>37336.690246875674</v>
      </c>
      <c r="I23" s="274">
        <v>5202.32727</v>
      </c>
      <c r="J23" s="274">
        <v>5626.838153999999</v>
      </c>
      <c r="K23" s="274">
        <v>6102.823747999999</v>
      </c>
      <c r="L23" s="274">
        <v>4710.431922</v>
      </c>
      <c r="M23" s="274">
        <v>4769.682638</v>
      </c>
      <c r="N23" s="274">
        <v>6787.0652900000005</v>
      </c>
      <c r="O23" s="274">
        <v>7001.070205080001</v>
      </c>
      <c r="P23" s="274">
        <v>7001.070205080001</v>
      </c>
      <c r="Q23" s="274">
        <v>7001.070205080001</v>
      </c>
      <c r="R23" s="305">
        <v>7001.070205080001</v>
      </c>
      <c r="S23" s="305"/>
      <c r="T23" s="305"/>
      <c r="U23" s="305"/>
      <c r="V23" s="273"/>
      <c r="W23" s="273"/>
      <c r="X23" s="273"/>
      <c r="Y23" s="273"/>
    </row>
    <row r="24" spans="1:25" ht="12.75">
      <c r="A24" s="304">
        <v>77</v>
      </c>
      <c r="B24" s="262" t="s">
        <v>162</v>
      </c>
      <c r="C24" s="260">
        <v>13</v>
      </c>
      <c r="D24" s="274">
        <v>13141.17399</v>
      </c>
      <c r="E24" s="274">
        <v>12911.385659970041</v>
      </c>
      <c r="F24" s="274">
        <v>13471.690415357592</v>
      </c>
      <c r="G24" s="274">
        <v>7490.442853666191</v>
      </c>
      <c r="H24" s="274">
        <v>7406.326710693979</v>
      </c>
      <c r="I24" s="274">
        <v>853.96076</v>
      </c>
      <c r="J24" s="274">
        <v>902.6738929999998</v>
      </c>
      <c r="K24" s="274">
        <v>978.356418</v>
      </c>
      <c r="L24" s="274">
        <v>755.1391770000001</v>
      </c>
      <c r="M24" s="274">
        <v>764.637783</v>
      </c>
      <c r="N24" s="274">
        <v>1308.3196200000002</v>
      </c>
      <c r="O24" s="274">
        <v>1299.5231109120002</v>
      </c>
      <c r="P24" s="274">
        <v>1299.5231109120002</v>
      </c>
      <c r="Q24" s="274">
        <v>1299.5231109120002</v>
      </c>
      <c r="R24" s="305">
        <v>1299.5231109120002</v>
      </c>
      <c r="S24" s="305"/>
      <c r="T24" s="305"/>
      <c r="U24" s="305"/>
      <c r="V24" s="273"/>
      <c r="W24" s="273"/>
      <c r="X24" s="273"/>
      <c r="Y24" s="273"/>
    </row>
    <row r="25" spans="1:25" ht="12.75">
      <c r="A25" s="304">
        <v>78</v>
      </c>
      <c r="B25" s="262" t="s">
        <v>163</v>
      </c>
      <c r="C25" s="260">
        <v>1</v>
      </c>
      <c r="D25" s="274">
        <v>33622.098869999994</v>
      </c>
      <c r="E25" s="274">
        <v>33899.12414732435</v>
      </c>
      <c r="F25" s="274">
        <v>34692.27597524871</v>
      </c>
      <c r="G25" s="274">
        <v>18440.58728150931</v>
      </c>
      <c r="H25" s="274">
        <v>18162.709457258832</v>
      </c>
      <c r="I25" s="274">
        <v>2781.58276</v>
      </c>
      <c r="J25" s="274">
        <v>3068.548179</v>
      </c>
      <c r="K25" s="274">
        <v>3319.750564</v>
      </c>
      <c r="L25" s="274">
        <v>2562.3317459999994</v>
      </c>
      <c r="M25" s="274">
        <v>2594.5623339999997</v>
      </c>
      <c r="N25" s="274">
        <v>2624.02849</v>
      </c>
      <c r="O25" s="274">
        <v>2672.069890596</v>
      </c>
      <c r="P25" s="274">
        <v>2672.069890596</v>
      </c>
      <c r="Q25" s="274">
        <v>2672.069890596</v>
      </c>
      <c r="R25" s="305">
        <v>2672.069890596</v>
      </c>
      <c r="S25" s="305"/>
      <c r="T25" s="305"/>
      <c r="U25" s="305"/>
      <c r="V25" s="273"/>
      <c r="W25" s="273"/>
      <c r="X25" s="273"/>
      <c r="Y25" s="273"/>
    </row>
    <row r="26" spans="1:25" ht="12.75">
      <c r="A26" s="304">
        <v>79</v>
      </c>
      <c r="B26" s="262" t="s">
        <v>164</v>
      </c>
      <c r="C26" s="260">
        <v>4</v>
      </c>
      <c r="D26" s="274">
        <v>24136.23348</v>
      </c>
      <c r="E26" s="274">
        <v>24360.389552463</v>
      </c>
      <c r="F26" s="274">
        <v>25300.66486570728</v>
      </c>
      <c r="G26" s="274">
        <v>12846.326249669934</v>
      </c>
      <c r="H26" s="274">
        <v>12584.964392617989</v>
      </c>
      <c r="I26" s="274">
        <v>8739.72641</v>
      </c>
      <c r="J26" s="274">
        <v>7240.2527740000005</v>
      </c>
      <c r="K26" s="274">
        <v>7870.173556</v>
      </c>
      <c r="L26" s="274">
        <v>6074.551433999999</v>
      </c>
      <c r="M26" s="274">
        <v>6150.960886000001</v>
      </c>
      <c r="N26" s="274">
        <v>1870.64803</v>
      </c>
      <c r="O26" s="274">
        <v>1907.6280704903998</v>
      </c>
      <c r="P26" s="274">
        <v>1907.6280704903998</v>
      </c>
      <c r="Q26" s="274">
        <v>1907.6280704903998</v>
      </c>
      <c r="R26" s="305">
        <v>1907.6280704903998</v>
      </c>
      <c r="S26" s="305"/>
      <c r="T26" s="305"/>
      <c r="U26" s="305"/>
      <c r="V26" s="273"/>
      <c r="W26" s="273"/>
      <c r="X26" s="273"/>
      <c r="Y26" s="273"/>
    </row>
    <row r="27" spans="1:25" ht="12.75">
      <c r="A27" s="304">
        <v>81</v>
      </c>
      <c r="B27" s="262" t="s">
        <v>165</v>
      </c>
      <c r="C27" s="260">
        <v>7</v>
      </c>
      <c r="D27" s="274">
        <v>7275.13304</v>
      </c>
      <c r="E27" s="274">
        <v>7354.65956986592</v>
      </c>
      <c r="F27" s="274">
        <v>7555.611781749434</v>
      </c>
      <c r="G27" s="274">
        <v>4136.525897117796</v>
      </c>
      <c r="H27" s="274">
        <v>4068.436994516539</v>
      </c>
      <c r="I27" s="274">
        <v>1390.8181100000002</v>
      </c>
      <c r="J27" s="274">
        <v>1277.9328830000002</v>
      </c>
      <c r="K27" s="274">
        <v>1385.424778</v>
      </c>
      <c r="L27" s="274">
        <v>1069.3327170000002</v>
      </c>
      <c r="M27" s="274">
        <v>1082.783443</v>
      </c>
      <c r="N27" s="274">
        <v>1322.1095</v>
      </c>
      <c r="O27" s="274">
        <v>1302.9018480960003</v>
      </c>
      <c r="P27" s="274">
        <v>1302.9018480960003</v>
      </c>
      <c r="Q27" s="274">
        <v>1302.9018480960003</v>
      </c>
      <c r="R27" s="305">
        <v>1302.9018480960003</v>
      </c>
      <c r="S27" s="305"/>
      <c r="T27" s="305"/>
      <c r="U27" s="305"/>
      <c r="V27" s="273"/>
      <c r="W27" s="273"/>
      <c r="X27" s="273"/>
      <c r="Y27" s="273"/>
    </row>
    <row r="28" spans="1:25" ht="12.75">
      <c r="A28" s="304">
        <v>82</v>
      </c>
      <c r="B28" s="262" t="s">
        <v>166</v>
      </c>
      <c r="C28" s="260">
        <v>5</v>
      </c>
      <c r="D28" s="274">
        <v>34091.17949</v>
      </c>
      <c r="E28" s="274">
        <v>34664.24597048836</v>
      </c>
      <c r="F28" s="274">
        <v>36111.616318833934</v>
      </c>
      <c r="G28" s="274">
        <v>18454.976001198913</v>
      </c>
      <c r="H28" s="274">
        <v>17860.587275765618</v>
      </c>
      <c r="I28" s="274">
        <v>1330.30522</v>
      </c>
      <c r="J28" s="274">
        <v>1358.226422</v>
      </c>
      <c r="K28" s="274">
        <v>1471.663382</v>
      </c>
      <c r="L28" s="274">
        <v>1135.895523</v>
      </c>
      <c r="M28" s="274">
        <v>1150.1835170000002</v>
      </c>
      <c r="N28" s="274">
        <v>2122.98075</v>
      </c>
      <c r="O28" s="274">
        <v>2205.193232472</v>
      </c>
      <c r="P28" s="274">
        <v>2205.193232472</v>
      </c>
      <c r="Q28" s="274">
        <v>2205.193232472</v>
      </c>
      <c r="R28" s="305">
        <v>2205.193232472</v>
      </c>
      <c r="S28" s="305"/>
      <c r="T28" s="305"/>
      <c r="U28" s="305"/>
      <c r="V28" s="273"/>
      <c r="W28" s="273"/>
      <c r="X28" s="273"/>
      <c r="Y28" s="273"/>
    </row>
    <row r="29" spans="1:25" ht="12.75">
      <c r="A29" s="304">
        <v>86</v>
      </c>
      <c r="B29" s="262" t="s">
        <v>167</v>
      </c>
      <c r="C29" s="260">
        <v>5</v>
      </c>
      <c r="D29" s="274">
        <v>29361.93342</v>
      </c>
      <c r="E29" s="274">
        <v>29047.91197763545</v>
      </c>
      <c r="F29" s="274">
        <v>30856.716444033038</v>
      </c>
      <c r="G29" s="274">
        <v>16488.274741587345</v>
      </c>
      <c r="H29" s="274">
        <v>16103.74833497328</v>
      </c>
      <c r="I29" s="274">
        <v>1179.59121</v>
      </c>
      <c r="J29" s="274">
        <v>1097.599888</v>
      </c>
      <c r="K29" s="274">
        <v>1187.2667860000001</v>
      </c>
      <c r="L29" s="274">
        <v>916.385529</v>
      </c>
      <c r="M29" s="274">
        <v>927.9123910000001</v>
      </c>
      <c r="N29" s="274">
        <v>1690.39851</v>
      </c>
      <c r="O29" s="274">
        <v>1661.1936806400001</v>
      </c>
      <c r="P29" s="274">
        <v>1661.1936806400001</v>
      </c>
      <c r="Q29" s="274">
        <v>1661.1936806400001</v>
      </c>
      <c r="R29" s="305">
        <v>1661.1936806400001</v>
      </c>
      <c r="S29" s="305"/>
      <c r="T29" s="305"/>
      <c r="U29" s="305"/>
      <c r="V29" s="273"/>
      <c r="W29" s="273"/>
      <c r="X29" s="273"/>
      <c r="Y29" s="273"/>
    </row>
    <row r="30" spans="1:25" ht="12.75">
      <c r="A30" s="304">
        <v>111</v>
      </c>
      <c r="B30" s="262" t="s">
        <v>168</v>
      </c>
      <c r="C30" s="260">
        <v>7</v>
      </c>
      <c r="D30" s="274">
        <v>60315.10786</v>
      </c>
      <c r="E30" s="274">
        <v>60906.5834694027</v>
      </c>
      <c r="F30" s="274">
        <v>63056.65316174591</v>
      </c>
      <c r="G30" s="274">
        <v>32062.98577043949</v>
      </c>
      <c r="H30" s="274">
        <v>31266.752666040185</v>
      </c>
      <c r="I30" s="274">
        <v>3231.70224</v>
      </c>
      <c r="J30" s="274">
        <v>3095.9085230000005</v>
      </c>
      <c r="K30" s="274">
        <v>3350.0842700000003</v>
      </c>
      <c r="L30" s="274">
        <v>2585.744655</v>
      </c>
      <c r="M30" s="274">
        <v>2618.269745</v>
      </c>
      <c r="N30" s="274">
        <v>6264.00914</v>
      </c>
      <c r="O30" s="274">
        <v>6233.075149559999</v>
      </c>
      <c r="P30" s="274">
        <v>6233.075149559999</v>
      </c>
      <c r="Q30" s="274">
        <v>6233.075149559999</v>
      </c>
      <c r="R30" s="305">
        <v>6233.075149559999</v>
      </c>
      <c r="S30" s="305"/>
      <c r="T30" s="305"/>
      <c r="U30" s="305"/>
      <c r="V30" s="273"/>
      <c r="W30" s="273"/>
      <c r="X30" s="273"/>
      <c r="Y30" s="273"/>
    </row>
    <row r="31" spans="1:25" ht="12.75">
      <c r="A31" s="304">
        <v>90</v>
      </c>
      <c r="B31" s="262" t="s">
        <v>169</v>
      </c>
      <c r="C31" s="260">
        <v>10</v>
      </c>
      <c r="D31" s="274">
        <v>8593.94076</v>
      </c>
      <c r="E31" s="274">
        <v>8500.427034055316</v>
      </c>
      <c r="F31" s="274">
        <v>8819.80622753059</v>
      </c>
      <c r="G31" s="274">
        <v>4594.087367074979</v>
      </c>
      <c r="H31" s="274">
        <v>4532.751224211866</v>
      </c>
      <c r="I31" s="274">
        <v>2236.44473</v>
      </c>
      <c r="J31" s="274">
        <v>2084.512774</v>
      </c>
      <c r="K31" s="274">
        <v>2258.708424</v>
      </c>
      <c r="L31" s="274">
        <v>1743.3720360000002</v>
      </c>
      <c r="M31" s="274">
        <v>1765.301244</v>
      </c>
      <c r="N31" s="274">
        <v>1225.10045</v>
      </c>
      <c r="O31" s="274">
        <v>1347.8500023000001</v>
      </c>
      <c r="P31" s="274">
        <v>1347.8500023000001</v>
      </c>
      <c r="Q31" s="274">
        <v>1347.8500023000001</v>
      </c>
      <c r="R31" s="305">
        <v>1347.8500023000001</v>
      </c>
      <c r="S31" s="305"/>
      <c r="T31" s="305"/>
      <c r="U31" s="305"/>
      <c r="V31" s="273"/>
      <c r="W31" s="273"/>
      <c r="X31" s="273"/>
      <c r="Y31" s="273"/>
    </row>
    <row r="32" spans="1:25" ht="12.75">
      <c r="A32" s="304">
        <v>91</v>
      </c>
      <c r="B32" s="262" t="s">
        <v>170</v>
      </c>
      <c r="C32" s="260">
        <v>1</v>
      </c>
      <c r="D32" s="274">
        <v>2595072.82404</v>
      </c>
      <c r="E32" s="274">
        <v>2619400.911592941</v>
      </c>
      <c r="F32" s="274">
        <v>2721936.0866296333</v>
      </c>
      <c r="G32" s="274">
        <v>1179634.2171927267</v>
      </c>
      <c r="H32" s="274">
        <v>1113261.2272953477</v>
      </c>
      <c r="I32" s="274">
        <v>528591.45728</v>
      </c>
      <c r="J32" s="274">
        <v>598972.3425860001</v>
      </c>
      <c r="K32" s="274">
        <v>650591.09417</v>
      </c>
      <c r="L32" s="274">
        <v>502155.262005</v>
      </c>
      <c r="M32" s="274">
        <v>508471.6803950001</v>
      </c>
      <c r="N32" s="274">
        <v>256715.68355000002</v>
      </c>
      <c r="O32" s="274">
        <v>263958.2218453584</v>
      </c>
      <c r="P32" s="274">
        <v>263958.2218453584</v>
      </c>
      <c r="Q32" s="274">
        <v>263958.2218453584</v>
      </c>
      <c r="R32" s="305">
        <v>263958.2218453584</v>
      </c>
      <c r="S32" s="305"/>
      <c r="T32" s="305"/>
      <c r="U32" s="305"/>
      <c r="V32" s="273"/>
      <c r="W32" s="273"/>
      <c r="X32" s="273"/>
      <c r="Y32" s="273"/>
    </row>
    <row r="33" spans="1:25" ht="12.75">
      <c r="A33" s="304">
        <v>97</v>
      </c>
      <c r="B33" s="306" t="s">
        <v>171</v>
      </c>
      <c r="C33" s="260">
        <v>10</v>
      </c>
      <c r="D33" s="274">
        <v>5879.09933</v>
      </c>
      <c r="E33" s="274">
        <v>5532.399672709098</v>
      </c>
      <c r="F33" s="274">
        <v>5848.19133277196</v>
      </c>
      <c r="G33" s="274">
        <v>2946.912721993842</v>
      </c>
      <c r="H33" s="274">
        <v>2852.217055830041</v>
      </c>
      <c r="I33" s="274">
        <v>936.6709000000001</v>
      </c>
      <c r="J33" s="274">
        <v>900.3498639999999</v>
      </c>
      <c r="K33" s="274">
        <v>976.525284</v>
      </c>
      <c r="L33" s="274">
        <v>753.7258260000001</v>
      </c>
      <c r="M33" s="274">
        <v>763.2066540000001</v>
      </c>
      <c r="N33" s="274">
        <v>1298.7503000000002</v>
      </c>
      <c r="O33" s="274">
        <v>1280.1354070296002</v>
      </c>
      <c r="P33" s="274">
        <v>1280.1354070296002</v>
      </c>
      <c r="Q33" s="274">
        <v>1280.1354070296002</v>
      </c>
      <c r="R33" s="305">
        <v>1280.1354070296002</v>
      </c>
      <c r="S33" s="305"/>
      <c r="T33" s="305"/>
      <c r="U33" s="305"/>
      <c r="V33" s="273"/>
      <c r="W33" s="273"/>
      <c r="X33" s="273"/>
      <c r="Y33" s="273"/>
    </row>
    <row r="34" spans="1:25" ht="12.75">
      <c r="A34" s="304">
        <v>98</v>
      </c>
      <c r="B34" s="262" t="s">
        <v>172</v>
      </c>
      <c r="C34" s="260">
        <v>7</v>
      </c>
      <c r="D34" s="274">
        <v>83598.01123</v>
      </c>
      <c r="E34" s="274">
        <v>84038.98775257367</v>
      </c>
      <c r="F34" s="274">
        <v>87089.53542559469</v>
      </c>
      <c r="G34" s="274">
        <v>45497.44554916629</v>
      </c>
      <c r="H34" s="274">
        <v>44313.90930838662</v>
      </c>
      <c r="I34" s="274">
        <v>3007.41336</v>
      </c>
      <c r="J34" s="274">
        <v>2908.4797329999997</v>
      </c>
      <c r="K34" s="274">
        <v>3144.9610059999995</v>
      </c>
      <c r="L34" s="274">
        <v>2427.421359</v>
      </c>
      <c r="M34" s="274">
        <v>2457.954961</v>
      </c>
      <c r="N34" s="274">
        <v>5377.16708</v>
      </c>
      <c r="O34" s="274">
        <v>5410.316000604</v>
      </c>
      <c r="P34" s="274">
        <v>5410.316000604</v>
      </c>
      <c r="Q34" s="274">
        <v>5410.316000604</v>
      </c>
      <c r="R34" s="305">
        <v>5410.316000604</v>
      </c>
      <c r="S34" s="305"/>
      <c r="T34" s="305"/>
      <c r="U34" s="305"/>
      <c r="V34" s="273"/>
      <c r="W34" s="273"/>
      <c r="X34" s="273"/>
      <c r="Y34" s="273"/>
    </row>
    <row r="35" spans="1:25" ht="12.75">
      <c r="A35" s="304">
        <v>99</v>
      </c>
      <c r="B35" s="262" t="s">
        <v>173</v>
      </c>
      <c r="C35" s="260">
        <v>4</v>
      </c>
      <c r="D35" s="274">
        <v>4595.4900099999995</v>
      </c>
      <c r="E35" s="274">
        <v>4462.627938390349</v>
      </c>
      <c r="F35" s="274">
        <v>4821.659269336702</v>
      </c>
      <c r="G35" s="274">
        <v>2656.1731459539396</v>
      </c>
      <c r="H35" s="274">
        <v>2625.411078206982</v>
      </c>
      <c r="I35" s="274">
        <v>893.55493</v>
      </c>
      <c r="J35" s="274">
        <v>708.3104620000001</v>
      </c>
      <c r="K35" s="274">
        <v>767.9035220000001</v>
      </c>
      <c r="L35" s="274">
        <v>592.702233</v>
      </c>
      <c r="M35" s="274">
        <v>600.1576070000001</v>
      </c>
      <c r="N35" s="274">
        <v>488.63815999999997</v>
      </c>
      <c r="O35" s="274">
        <v>631.3322090255999</v>
      </c>
      <c r="P35" s="274">
        <v>631.3322090255999</v>
      </c>
      <c r="Q35" s="274">
        <v>631.3322090255999</v>
      </c>
      <c r="R35" s="305">
        <v>631.3322090255999</v>
      </c>
      <c r="S35" s="305"/>
      <c r="T35" s="305"/>
      <c r="U35" s="305"/>
      <c r="V35" s="273"/>
      <c r="W35" s="273"/>
      <c r="X35" s="273"/>
      <c r="Y35" s="273"/>
    </row>
    <row r="36" spans="1:25" ht="12.75">
      <c r="A36" s="304">
        <v>102</v>
      </c>
      <c r="B36" s="262" t="s">
        <v>174</v>
      </c>
      <c r="C36" s="260">
        <v>4</v>
      </c>
      <c r="D36" s="274">
        <v>29763.13816</v>
      </c>
      <c r="E36" s="274">
        <v>29336.276283330215</v>
      </c>
      <c r="F36" s="274">
        <v>30755.473908650558</v>
      </c>
      <c r="G36" s="274">
        <v>16073.393291450078</v>
      </c>
      <c r="H36" s="274">
        <v>15666.508870832004</v>
      </c>
      <c r="I36" s="274">
        <v>1974.8603</v>
      </c>
      <c r="J36" s="274">
        <v>1957.0588450000002</v>
      </c>
      <c r="K36" s="274">
        <v>2118.776332</v>
      </c>
      <c r="L36" s="274">
        <v>1635.3661980000002</v>
      </c>
      <c r="M36" s="274">
        <v>1655.936842</v>
      </c>
      <c r="N36" s="274">
        <v>2242.35852</v>
      </c>
      <c r="O36" s="274">
        <v>2205.100505724</v>
      </c>
      <c r="P36" s="274">
        <v>2205.100505724</v>
      </c>
      <c r="Q36" s="274">
        <v>2205.100505724</v>
      </c>
      <c r="R36" s="305">
        <v>2205.100505724</v>
      </c>
      <c r="S36" s="305"/>
      <c r="T36" s="305"/>
      <c r="U36" s="305"/>
      <c r="V36" s="273"/>
      <c r="W36" s="273"/>
      <c r="X36" s="273"/>
      <c r="Y36" s="273"/>
    </row>
    <row r="37" spans="1:25" ht="12.75">
      <c r="A37" s="304">
        <v>103</v>
      </c>
      <c r="B37" s="262" t="s">
        <v>175</v>
      </c>
      <c r="C37" s="260">
        <v>5</v>
      </c>
      <c r="D37" s="274">
        <v>6683.93784</v>
      </c>
      <c r="E37" s="274">
        <v>6704.262918553338</v>
      </c>
      <c r="F37" s="274">
        <v>6921.257072995392</v>
      </c>
      <c r="G37" s="274">
        <v>3830.6202575365287</v>
      </c>
      <c r="H37" s="274">
        <v>3772.861245804814</v>
      </c>
      <c r="I37" s="274">
        <v>467.78868</v>
      </c>
      <c r="J37" s="274">
        <v>399.138374</v>
      </c>
      <c r="K37" s="274">
        <v>432.07696599999997</v>
      </c>
      <c r="L37" s="274">
        <v>333.496299</v>
      </c>
      <c r="M37" s="274">
        <v>337.69122100000004</v>
      </c>
      <c r="N37" s="274">
        <v>501.08074</v>
      </c>
      <c r="O37" s="274">
        <v>537.437101344</v>
      </c>
      <c r="P37" s="274">
        <v>537.437101344</v>
      </c>
      <c r="Q37" s="274">
        <v>537.437101344</v>
      </c>
      <c r="R37" s="305">
        <v>537.437101344</v>
      </c>
      <c r="S37" s="305"/>
      <c r="T37" s="305"/>
      <c r="U37" s="305"/>
      <c r="V37" s="273"/>
      <c r="W37" s="273"/>
      <c r="X37" s="273"/>
      <c r="Y37" s="273"/>
    </row>
    <row r="38" spans="1:25" ht="12.75">
      <c r="A38" s="304">
        <v>105</v>
      </c>
      <c r="B38" s="262" t="s">
        <v>176</v>
      </c>
      <c r="C38" s="260">
        <v>18</v>
      </c>
      <c r="D38" s="274">
        <v>6248.3405999999995</v>
      </c>
      <c r="E38" s="274">
        <v>6133.806053078386</v>
      </c>
      <c r="F38" s="274">
        <v>6341.316537572942</v>
      </c>
      <c r="G38" s="274">
        <v>3406.188458461597</v>
      </c>
      <c r="H38" s="274">
        <v>3374.8241557760384</v>
      </c>
      <c r="I38" s="274">
        <v>801.1418299999999</v>
      </c>
      <c r="J38" s="274">
        <v>764.8375180000002</v>
      </c>
      <c r="K38" s="274">
        <v>828.2304160000001</v>
      </c>
      <c r="L38" s="274">
        <v>639.265224</v>
      </c>
      <c r="M38" s="274">
        <v>647.306296</v>
      </c>
      <c r="N38" s="274">
        <v>850.67689</v>
      </c>
      <c r="O38" s="274">
        <v>1159.8301391472</v>
      </c>
      <c r="P38" s="274">
        <v>1159.8301391472</v>
      </c>
      <c r="Q38" s="274">
        <v>1159.8301391472</v>
      </c>
      <c r="R38" s="305">
        <v>1159.8301391472</v>
      </c>
      <c r="S38" s="305"/>
      <c r="T38" s="305"/>
      <c r="U38" s="305"/>
      <c r="V38" s="273"/>
      <c r="W38" s="273"/>
      <c r="X38" s="273"/>
      <c r="Y38" s="273"/>
    </row>
    <row r="39" spans="1:25" ht="12.75">
      <c r="A39" s="304">
        <v>106</v>
      </c>
      <c r="B39" s="262" t="s">
        <v>177</v>
      </c>
      <c r="C39" s="260">
        <v>1</v>
      </c>
      <c r="D39" s="274">
        <v>173505.62092</v>
      </c>
      <c r="E39" s="274">
        <v>177672.2588937188</v>
      </c>
      <c r="F39" s="274">
        <v>185378.07199162143</v>
      </c>
      <c r="G39" s="274">
        <v>90501.39704456444</v>
      </c>
      <c r="H39" s="274">
        <v>87090.82453565394</v>
      </c>
      <c r="I39" s="274">
        <v>11470.926449999999</v>
      </c>
      <c r="J39" s="274">
        <v>12283.946533</v>
      </c>
      <c r="K39" s="274">
        <v>13296.709192</v>
      </c>
      <c r="L39" s="274">
        <v>10262.993988</v>
      </c>
      <c r="M39" s="274">
        <v>10392.088252</v>
      </c>
      <c r="N39" s="274">
        <v>13356.17468</v>
      </c>
      <c r="O39" s="274">
        <v>13460.652819432002</v>
      </c>
      <c r="P39" s="274">
        <v>13460.652819432002</v>
      </c>
      <c r="Q39" s="274">
        <v>13460.652819432002</v>
      </c>
      <c r="R39" s="305">
        <v>13460.652819432002</v>
      </c>
      <c r="S39" s="305"/>
      <c r="T39" s="305"/>
      <c r="U39" s="305"/>
      <c r="V39" s="273"/>
      <c r="W39" s="273"/>
      <c r="X39" s="273"/>
      <c r="Y39" s="273"/>
    </row>
    <row r="40" spans="1:25" ht="12.75">
      <c r="A40" s="304">
        <v>108</v>
      </c>
      <c r="B40" s="262" t="s">
        <v>178</v>
      </c>
      <c r="C40" s="260">
        <v>6</v>
      </c>
      <c r="D40" s="274">
        <v>34469.53259</v>
      </c>
      <c r="E40" s="274">
        <v>34885.47458332978</v>
      </c>
      <c r="F40" s="274">
        <v>36273.87097600333</v>
      </c>
      <c r="G40" s="274">
        <v>20140.618199406446</v>
      </c>
      <c r="H40" s="274">
        <v>19747.030565036846</v>
      </c>
      <c r="I40" s="274">
        <v>1636.37447</v>
      </c>
      <c r="J40" s="274">
        <v>1701.6648880000002</v>
      </c>
      <c r="K40" s="274">
        <v>1846.5207580000001</v>
      </c>
      <c r="L40" s="274">
        <v>1425.227187</v>
      </c>
      <c r="M40" s="274">
        <v>1443.154573</v>
      </c>
      <c r="N40" s="274">
        <v>2130.66372</v>
      </c>
      <c r="O40" s="274">
        <v>2088.2965021152</v>
      </c>
      <c r="P40" s="274">
        <v>2088.2965021152</v>
      </c>
      <c r="Q40" s="274">
        <v>2088.2965021152</v>
      </c>
      <c r="R40" s="305">
        <v>2088.2965021152</v>
      </c>
      <c r="S40" s="305"/>
      <c r="T40" s="305"/>
      <c r="U40" s="305"/>
      <c r="V40" s="273"/>
      <c r="W40" s="273"/>
      <c r="X40" s="273"/>
      <c r="Y40" s="273"/>
    </row>
    <row r="41" spans="1:25" ht="12.75">
      <c r="A41" s="304">
        <v>109</v>
      </c>
      <c r="B41" s="262" t="s">
        <v>179</v>
      </c>
      <c r="C41" s="260">
        <v>5</v>
      </c>
      <c r="D41" s="274">
        <v>238146.01615</v>
      </c>
      <c r="E41" s="274">
        <v>243650.49629758202</v>
      </c>
      <c r="F41" s="274">
        <v>253809.57758261738</v>
      </c>
      <c r="G41" s="274">
        <v>131161.50332670414</v>
      </c>
      <c r="H41" s="274">
        <v>127654.37411871062</v>
      </c>
      <c r="I41" s="274">
        <v>16011.405470000002</v>
      </c>
      <c r="J41" s="274">
        <v>16102.585889999998</v>
      </c>
      <c r="K41" s="274">
        <v>17438.043375999998</v>
      </c>
      <c r="L41" s="274">
        <v>13459.460664</v>
      </c>
      <c r="M41" s="274">
        <v>13628.762056</v>
      </c>
      <c r="N41" s="274">
        <v>26918.5103</v>
      </c>
      <c r="O41" s="274">
        <v>27400.074011772</v>
      </c>
      <c r="P41" s="274">
        <v>27400.074011772</v>
      </c>
      <c r="Q41" s="274">
        <v>27400.074011772</v>
      </c>
      <c r="R41" s="305">
        <v>27400.074011772</v>
      </c>
      <c r="S41" s="305"/>
      <c r="T41" s="305"/>
      <c r="U41" s="305"/>
      <c r="V41" s="273"/>
      <c r="W41" s="273"/>
      <c r="X41" s="273"/>
      <c r="Y41" s="273"/>
    </row>
    <row r="42" spans="1:25" ht="12.75">
      <c r="A42" s="304">
        <v>139</v>
      </c>
      <c r="B42" s="262" t="s">
        <v>180</v>
      </c>
      <c r="C42" s="260">
        <v>17</v>
      </c>
      <c r="D42" s="274">
        <v>26594.66742</v>
      </c>
      <c r="E42" s="274">
        <v>28514.10180781477</v>
      </c>
      <c r="F42" s="274">
        <v>29001.155781991623</v>
      </c>
      <c r="G42" s="274">
        <v>15603.101775273151</v>
      </c>
      <c r="H42" s="274">
        <v>15333.352199715167</v>
      </c>
      <c r="I42" s="274">
        <v>1526.46696</v>
      </c>
      <c r="J42" s="274">
        <v>1411.444882</v>
      </c>
      <c r="K42" s="274">
        <v>1529.744876</v>
      </c>
      <c r="L42" s="274">
        <v>1180.7254139999998</v>
      </c>
      <c r="M42" s="274">
        <v>1195.577306</v>
      </c>
      <c r="N42" s="274">
        <v>3519.9227400000004</v>
      </c>
      <c r="O42" s="274">
        <v>4221.573641652</v>
      </c>
      <c r="P42" s="274">
        <v>4221.573641652</v>
      </c>
      <c r="Q42" s="274">
        <v>4221.573641652</v>
      </c>
      <c r="R42" s="305">
        <v>4221.573641652</v>
      </c>
      <c r="S42" s="305"/>
      <c r="T42" s="305"/>
      <c r="U42" s="305"/>
      <c r="V42" s="273"/>
      <c r="W42" s="273"/>
      <c r="X42" s="273"/>
      <c r="Y42" s="273"/>
    </row>
    <row r="43" spans="1:25" ht="12.75">
      <c r="A43" s="304">
        <v>140</v>
      </c>
      <c r="B43" s="262" t="s">
        <v>181</v>
      </c>
      <c r="C43" s="260">
        <v>11</v>
      </c>
      <c r="D43" s="274">
        <v>64543.431840000005</v>
      </c>
      <c r="E43" s="274">
        <v>63219.053230899975</v>
      </c>
      <c r="F43" s="274">
        <v>66256.17426400182</v>
      </c>
      <c r="G43" s="274">
        <v>33765.67380977471</v>
      </c>
      <c r="H43" s="274">
        <v>33058.54902120749</v>
      </c>
      <c r="I43" s="274">
        <v>5255.20781</v>
      </c>
      <c r="J43" s="274">
        <v>5996.378350000001</v>
      </c>
      <c r="K43" s="274">
        <v>6498.817548000001</v>
      </c>
      <c r="L43" s="274">
        <v>5016.077622000001</v>
      </c>
      <c r="M43" s="274">
        <v>5079.172938</v>
      </c>
      <c r="N43" s="274">
        <v>5774.5183799999995</v>
      </c>
      <c r="O43" s="274">
        <v>5710.409107687199</v>
      </c>
      <c r="P43" s="274">
        <v>5710.409107687199</v>
      </c>
      <c r="Q43" s="274">
        <v>5710.409107687199</v>
      </c>
      <c r="R43" s="305">
        <v>5710.409107687199</v>
      </c>
      <c r="S43" s="305"/>
      <c r="T43" s="305"/>
      <c r="U43" s="305"/>
      <c r="V43" s="273"/>
      <c r="W43" s="273"/>
      <c r="X43" s="273"/>
      <c r="Y43" s="273"/>
    </row>
    <row r="44" spans="1:25" ht="12.75">
      <c r="A44" s="304">
        <v>142</v>
      </c>
      <c r="B44" s="262" t="s">
        <v>182</v>
      </c>
      <c r="C44" s="260">
        <v>8</v>
      </c>
      <c r="D44" s="274">
        <v>20212.66334</v>
      </c>
      <c r="E44" s="274">
        <v>20244.367798789575</v>
      </c>
      <c r="F44" s="274">
        <v>21585.21689108375</v>
      </c>
      <c r="G44" s="274">
        <v>11036.152071205597</v>
      </c>
      <c r="H44" s="274">
        <v>10805.776260912062</v>
      </c>
      <c r="I44" s="274">
        <v>1491.76326</v>
      </c>
      <c r="J44" s="274">
        <v>1439.7130330000002</v>
      </c>
      <c r="K44" s="274">
        <v>1558.804678</v>
      </c>
      <c r="L44" s="274">
        <v>1203.155067</v>
      </c>
      <c r="M44" s="274">
        <v>1218.289093</v>
      </c>
      <c r="N44" s="274">
        <v>2462.8474100000003</v>
      </c>
      <c r="O44" s="274">
        <v>2444.9387857919996</v>
      </c>
      <c r="P44" s="274">
        <v>2444.9387857919996</v>
      </c>
      <c r="Q44" s="274">
        <v>2444.9387857919996</v>
      </c>
      <c r="R44" s="305">
        <v>2444.9387857919996</v>
      </c>
      <c r="S44" s="305"/>
      <c r="T44" s="305"/>
      <c r="U44" s="305"/>
      <c r="V44" s="273"/>
      <c r="W44" s="273"/>
      <c r="X44" s="273"/>
      <c r="Y44" s="273"/>
    </row>
    <row r="45" spans="1:25" ht="12.75">
      <c r="A45" s="304">
        <v>143</v>
      </c>
      <c r="B45" s="262" t="s">
        <v>183</v>
      </c>
      <c r="C45" s="260">
        <v>6</v>
      </c>
      <c r="D45" s="274">
        <v>20748.685989999998</v>
      </c>
      <c r="E45" s="274">
        <v>20882.85865455228</v>
      </c>
      <c r="F45" s="274">
        <v>21485.560332799338</v>
      </c>
      <c r="G45" s="274">
        <v>11458.688996716828</v>
      </c>
      <c r="H45" s="274">
        <v>11274.985041066417</v>
      </c>
      <c r="I45" s="274">
        <v>1732.3463000000002</v>
      </c>
      <c r="J45" s="274">
        <v>1707.942542</v>
      </c>
      <c r="K45" s="274">
        <v>1850.316102</v>
      </c>
      <c r="L45" s="274">
        <v>1428.1566030000001</v>
      </c>
      <c r="M45" s="274">
        <v>1446.1208369999997</v>
      </c>
      <c r="N45" s="274">
        <v>2895.3529700000004</v>
      </c>
      <c r="O45" s="274">
        <v>2888.2901786544</v>
      </c>
      <c r="P45" s="274">
        <v>2888.2901786544</v>
      </c>
      <c r="Q45" s="274">
        <v>2888.2901786544</v>
      </c>
      <c r="R45" s="305">
        <v>2888.2901786544</v>
      </c>
      <c r="S45" s="305"/>
      <c r="T45" s="305"/>
      <c r="U45" s="305"/>
      <c r="V45" s="273"/>
      <c r="W45" s="273"/>
      <c r="X45" s="273"/>
      <c r="Y45" s="273"/>
    </row>
    <row r="46" spans="1:25" ht="12.75">
      <c r="A46" s="304">
        <v>145</v>
      </c>
      <c r="B46" s="262" t="s">
        <v>184</v>
      </c>
      <c r="C46" s="260">
        <v>14</v>
      </c>
      <c r="D46" s="274">
        <v>35208.18415</v>
      </c>
      <c r="E46" s="274">
        <v>36490.06051183684</v>
      </c>
      <c r="F46" s="274">
        <v>38343.36933195737</v>
      </c>
      <c r="G46" s="274">
        <v>20137.225284893928</v>
      </c>
      <c r="H46" s="274">
        <v>19597.70324025599</v>
      </c>
      <c r="I46" s="274">
        <v>1430.44221</v>
      </c>
      <c r="J46" s="274">
        <v>1495.180165</v>
      </c>
      <c r="K46" s="274">
        <v>1619.5901279999998</v>
      </c>
      <c r="L46" s="274">
        <v>1250.0719919999997</v>
      </c>
      <c r="M46" s="274">
        <v>1265.796168</v>
      </c>
      <c r="N46" s="274">
        <v>2305.63637</v>
      </c>
      <c r="O46" s="274">
        <v>2485.0738394928</v>
      </c>
      <c r="P46" s="274">
        <v>2485.0738394928</v>
      </c>
      <c r="Q46" s="274">
        <v>2485.0738394928</v>
      </c>
      <c r="R46" s="305">
        <v>2485.0738394928</v>
      </c>
      <c r="S46" s="305"/>
      <c r="T46" s="305"/>
      <c r="U46" s="305"/>
      <c r="V46" s="273"/>
      <c r="W46" s="273"/>
      <c r="X46" s="273"/>
      <c r="Y46" s="273"/>
    </row>
    <row r="47" spans="1:25" ht="12.75">
      <c r="A47" s="304">
        <v>146</v>
      </c>
      <c r="B47" s="262" t="s">
        <v>185</v>
      </c>
      <c r="C47" s="260">
        <v>12</v>
      </c>
      <c r="D47" s="274">
        <v>13573.08609</v>
      </c>
      <c r="E47" s="274">
        <v>13354.451953614287</v>
      </c>
      <c r="F47" s="274">
        <v>13741.285872564502</v>
      </c>
      <c r="G47" s="274">
        <v>7057.050339400071</v>
      </c>
      <c r="H47" s="274">
        <v>6951.774439912324</v>
      </c>
      <c r="I47" s="274">
        <v>3414.49001</v>
      </c>
      <c r="J47" s="274">
        <v>3161.4406110000004</v>
      </c>
      <c r="K47" s="274">
        <v>3427.832584</v>
      </c>
      <c r="L47" s="274">
        <v>2645.754276</v>
      </c>
      <c r="M47" s="274">
        <v>2679.034204</v>
      </c>
      <c r="N47" s="274">
        <v>1371.86445</v>
      </c>
      <c r="O47" s="274">
        <v>1357.4508636336</v>
      </c>
      <c r="P47" s="274">
        <v>1357.4508636336</v>
      </c>
      <c r="Q47" s="274">
        <v>1357.4508636336</v>
      </c>
      <c r="R47" s="305">
        <v>1357.4508636336</v>
      </c>
      <c r="S47" s="305"/>
      <c r="T47" s="305"/>
      <c r="U47" s="305"/>
      <c r="V47" s="273"/>
      <c r="W47" s="273"/>
      <c r="X47" s="273"/>
      <c r="Y47" s="273"/>
    </row>
    <row r="48" spans="1:25" ht="12.75">
      <c r="A48" s="304">
        <v>153</v>
      </c>
      <c r="B48" s="262" t="s">
        <v>186</v>
      </c>
      <c r="C48" s="260">
        <v>9</v>
      </c>
      <c r="D48" s="274">
        <v>91183.36475</v>
      </c>
      <c r="E48" s="274">
        <v>92781.82123805898</v>
      </c>
      <c r="F48" s="274">
        <v>95436.9737260868</v>
      </c>
      <c r="G48" s="274">
        <v>46584.977525956485</v>
      </c>
      <c r="H48" s="274">
        <v>45413.8021161357</v>
      </c>
      <c r="I48" s="274">
        <v>4486.980860000001</v>
      </c>
      <c r="J48" s="274">
        <v>3861.1219469999996</v>
      </c>
      <c r="K48" s="274">
        <v>4163.053382</v>
      </c>
      <c r="L48" s="274">
        <v>3213.2305229999997</v>
      </c>
      <c r="M48" s="274">
        <v>3253.648517</v>
      </c>
      <c r="N48" s="274">
        <v>9919.61325</v>
      </c>
      <c r="O48" s="274">
        <v>10217.95943562</v>
      </c>
      <c r="P48" s="274">
        <v>10217.95943562</v>
      </c>
      <c r="Q48" s="274">
        <v>10217.95943562</v>
      </c>
      <c r="R48" s="305">
        <v>10217.95943562</v>
      </c>
      <c r="S48" s="305"/>
      <c r="T48" s="305"/>
      <c r="U48" s="305"/>
      <c r="V48" s="273"/>
      <c r="W48" s="273"/>
      <c r="X48" s="273"/>
      <c r="Y48" s="273"/>
    </row>
    <row r="49" spans="1:25" ht="12.75">
      <c r="A49" s="304">
        <v>148</v>
      </c>
      <c r="B49" s="262" t="s">
        <v>187</v>
      </c>
      <c r="C49" s="260">
        <v>19</v>
      </c>
      <c r="D49" s="274">
        <v>19853.24732</v>
      </c>
      <c r="E49" s="274">
        <v>21193.4725484075</v>
      </c>
      <c r="F49" s="274">
        <v>21547.467285290357</v>
      </c>
      <c r="G49" s="274">
        <v>10241.987552561986</v>
      </c>
      <c r="H49" s="274">
        <v>9826.629268702312</v>
      </c>
      <c r="I49" s="274">
        <v>2577.9975499999996</v>
      </c>
      <c r="J49" s="274">
        <v>2542.9962689999998</v>
      </c>
      <c r="K49" s="274">
        <v>2755.679922</v>
      </c>
      <c r="L49" s="274">
        <v>2126.9568329999997</v>
      </c>
      <c r="M49" s="274">
        <v>2153.711007</v>
      </c>
      <c r="N49" s="274">
        <v>4245.505139999999</v>
      </c>
      <c r="O49" s="274">
        <v>4372.4534602680005</v>
      </c>
      <c r="P49" s="274">
        <v>4372.4534602680005</v>
      </c>
      <c r="Q49" s="274">
        <v>4372.4534602680005</v>
      </c>
      <c r="R49" s="305">
        <v>4372.4534602680005</v>
      </c>
      <c r="S49" s="305"/>
      <c r="T49" s="305"/>
      <c r="U49" s="305"/>
      <c r="V49" s="273"/>
      <c r="W49" s="273"/>
      <c r="X49" s="273"/>
      <c r="Y49" s="273"/>
    </row>
    <row r="50" spans="1:25" ht="12.75">
      <c r="A50" s="304">
        <v>149</v>
      </c>
      <c r="B50" s="262" t="s">
        <v>188</v>
      </c>
      <c r="C50" s="260">
        <v>1</v>
      </c>
      <c r="D50" s="274">
        <v>21433.02892</v>
      </c>
      <c r="E50" s="274">
        <v>21885.49574914213</v>
      </c>
      <c r="F50" s="274">
        <v>23070.48239151201</v>
      </c>
      <c r="G50" s="274">
        <v>11846.642852226021</v>
      </c>
      <c r="H50" s="274">
        <v>11461.613789878764</v>
      </c>
      <c r="I50" s="274">
        <v>1107.23934</v>
      </c>
      <c r="J50" s="274">
        <v>1114.789974</v>
      </c>
      <c r="K50" s="274">
        <v>1197.96622</v>
      </c>
      <c r="L50" s="274">
        <v>924.6438300000001</v>
      </c>
      <c r="M50" s="274">
        <v>936.27457</v>
      </c>
      <c r="N50" s="274">
        <v>3038.2486400000003</v>
      </c>
      <c r="O50" s="274">
        <v>3023.700019524</v>
      </c>
      <c r="P50" s="274">
        <v>3023.700019524</v>
      </c>
      <c r="Q50" s="274">
        <v>3023.700019524</v>
      </c>
      <c r="R50" s="305">
        <v>3023.700019524</v>
      </c>
      <c r="S50" s="305"/>
      <c r="T50" s="305"/>
      <c r="U50" s="305"/>
      <c r="V50" s="273"/>
      <c r="W50" s="273"/>
      <c r="X50" s="273"/>
      <c r="Y50" s="273"/>
    </row>
    <row r="51" spans="1:25" ht="12.75">
      <c r="A51" s="304">
        <v>151</v>
      </c>
      <c r="B51" s="262" t="s">
        <v>189</v>
      </c>
      <c r="C51" s="260">
        <v>14</v>
      </c>
      <c r="D51" s="274">
        <v>5409.043019999999</v>
      </c>
      <c r="E51" s="274">
        <v>5351.09520978495</v>
      </c>
      <c r="F51" s="274">
        <v>5565.570990586522</v>
      </c>
      <c r="G51" s="274">
        <v>3101.9622447897764</v>
      </c>
      <c r="H51" s="274">
        <v>3052.538241009833</v>
      </c>
      <c r="I51" s="274">
        <v>656.54044</v>
      </c>
      <c r="J51" s="274">
        <v>631.992305</v>
      </c>
      <c r="K51" s="274">
        <v>684.391946</v>
      </c>
      <c r="L51" s="274">
        <v>528.244269</v>
      </c>
      <c r="M51" s="274">
        <v>534.8888509999999</v>
      </c>
      <c r="N51" s="274">
        <v>446.73111</v>
      </c>
      <c r="O51" s="274">
        <v>443.8601339496</v>
      </c>
      <c r="P51" s="274">
        <v>443.8601339496</v>
      </c>
      <c r="Q51" s="274">
        <v>443.8601339496</v>
      </c>
      <c r="R51" s="305">
        <v>443.8601339496</v>
      </c>
      <c r="S51" s="305"/>
      <c r="T51" s="305"/>
      <c r="U51" s="305"/>
      <c r="V51" s="273"/>
      <c r="W51" s="273"/>
      <c r="X51" s="273"/>
      <c r="Y51" s="273"/>
    </row>
    <row r="52" spans="1:25" ht="12.75">
      <c r="A52" s="304">
        <v>152</v>
      </c>
      <c r="B52" s="307" t="s">
        <v>190</v>
      </c>
      <c r="C52" s="260">
        <v>15</v>
      </c>
      <c r="D52" s="274">
        <v>13541.88616</v>
      </c>
      <c r="E52" s="274">
        <v>13876.928948426308</v>
      </c>
      <c r="F52" s="274">
        <v>14329.740824935236</v>
      </c>
      <c r="G52" s="274">
        <v>7748.539140003573</v>
      </c>
      <c r="H52" s="274">
        <v>7602.5540614753445</v>
      </c>
      <c r="I52" s="274">
        <v>636.25184</v>
      </c>
      <c r="J52" s="274">
        <v>583.7255449999999</v>
      </c>
      <c r="K52" s="274">
        <v>631.9445519999999</v>
      </c>
      <c r="L52" s="274">
        <v>487.76302799999996</v>
      </c>
      <c r="M52" s="274">
        <v>493.898412</v>
      </c>
      <c r="N52" s="274">
        <v>885.58245</v>
      </c>
      <c r="O52" s="274">
        <v>883.8440152968</v>
      </c>
      <c r="P52" s="274">
        <v>883.8440152968</v>
      </c>
      <c r="Q52" s="274">
        <v>883.8440152968</v>
      </c>
      <c r="R52" s="305">
        <v>883.8440152968</v>
      </c>
      <c r="S52" s="305"/>
      <c r="T52" s="305"/>
      <c r="U52" s="305"/>
      <c r="V52" s="273"/>
      <c r="W52" s="273"/>
      <c r="X52" s="273"/>
      <c r="Y52" s="273"/>
    </row>
    <row r="53" spans="1:25" ht="12.75">
      <c r="A53" s="304">
        <v>165</v>
      </c>
      <c r="B53" s="262" t="s">
        <v>191</v>
      </c>
      <c r="C53" s="260">
        <v>5</v>
      </c>
      <c r="D53" s="274">
        <v>58494.9634</v>
      </c>
      <c r="E53" s="274">
        <v>59409.39084029544</v>
      </c>
      <c r="F53" s="274">
        <v>61748.59415532344</v>
      </c>
      <c r="G53" s="274">
        <v>32161.296995705274</v>
      </c>
      <c r="H53" s="274">
        <v>31358.741491256118</v>
      </c>
      <c r="I53" s="274">
        <v>2676.1019300000003</v>
      </c>
      <c r="J53" s="274">
        <v>2133.539733</v>
      </c>
      <c r="K53" s="274">
        <v>2307.14335</v>
      </c>
      <c r="L53" s="274">
        <v>1780.7562750000002</v>
      </c>
      <c r="M53" s="274">
        <v>1803.155725</v>
      </c>
      <c r="N53" s="274">
        <v>3636.52337</v>
      </c>
      <c r="O53" s="274">
        <v>3632.633689536001</v>
      </c>
      <c r="P53" s="274">
        <v>3632.633689536001</v>
      </c>
      <c r="Q53" s="274">
        <v>3632.633689536001</v>
      </c>
      <c r="R53" s="305">
        <v>3632.633689536001</v>
      </c>
      <c r="S53" s="305"/>
      <c r="T53" s="305"/>
      <c r="U53" s="305"/>
      <c r="V53" s="273"/>
      <c r="W53" s="273"/>
      <c r="X53" s="273"/>
      <c r="Y53" s="273"/>
    </row>
    <row r="54" spans="1:25" ht="12.75">
      <c r="A54" s="304">
        <v>167</v>
      </c>
      <c r="B54" s="262" t="s">
        <v>192</v>
      </c>
      <c r="C54" s="260">
        <v>12</v>
      </c>
      <c r="D54" s="274">
        <v>220260.92989</v>
      </c>
      <c r="E54" s="274">
        <v>225527.9064126269</v>
      </c>
      <c r="F54" s="274">
        <v>236158.657929142</v>
      </c>
      <c r="G54" s="274">
        <v>122367.64996675836</v>
      </c>
      <c r="H54" s="274">
        <v>119095.67441713379</v>
      </c>
      <c r="I54" s="274">
        <v>21356.18739</v>
      </c>
      <c r="J54" s="274">
        <v>21858.509068</v>
      </c>
      <c r="K54" s="274">
        <v>23702.11692</v>
      </c>
      <c r="L54" s="274">
        <v>18294.35238</v>
      </c>
      <c r="M54" s="274">
        <v>18524.470020000004</v>
      </c>
      <c r="N54" s="274">
        <v>20776.212420000003</v>
      </c>
      <c r="O54" s="274">
        <v>21195.464413715996</v>
      </c>
      <c r="P54" s="274">
        <v>21195.464413715996</v>
      </c>
      <c r="Q54" s="274">
        <v>21195.464413715996</v>
      </c>
      <c r="R54" s="305">
        <v>21195.464413715996</v>
      </c>
      <c r="S54" s="305"/>
      <c r="T54" s="305"/>
      <c r="U54" s="305"/>
      <c r="V54" s="273"/>
      <c r="W54" s="273"/>
      <c r="X54" s="273"/>
      <c r="Y54" s="273"/>
    </row>
    <row r="55" spans="1:25" ht="12.75">
      <c r="A55" s="304">
        <v>169</v>
      </c>
      <c r="B55" s="262" t="s">
        <v>193</v>
      </c>
      <c r="C55" s="260">
        <v>5</v>
      </c>
      <c r="D55" s="274">
        <v>16673.76732</v>
      </c>
      <c r="E55" s="274">
        <v>17333.390377262964</v>
      </c>
      <c r="F55" s="274">
        <v>18275.106335375913</v>
      </c>
      <c r="G55" s="274">
        <v>9599.85155423924</v>
      </c>
      <c r="H55" s="274">
        <v>9387.728219034296</v>
      </c>
      <c r="I55" s="274">
        <v>1079.60055</v>
      </c>
      <c r="J55" s="274">
        <v>1043.179116</v>
      </c>
      <c r="K55" s="274">
        <v>1128.545456</v>
      </c>
      <c r="L55" s="274">
        <v>871.0617839999999</v>
      </c>
      <c r="M55" s="274">
        <v>882.0185359999999</v>
      </c>
      <c r="N55" s="274">
        <v>895.24756</v>
      </c>
      <c r="O55" s="274">
        <v>974.1846598271999</v>
      </c>
      <c r="P55" s="274">
        <v>974.1846598271999</v>
      </c>
      <c r="Q55" s="274">
        <v>974.1846598271999</v>
      </c>
      <c r="R55" s="305">
        <v>974.1846598271999</v>
      </c>
      <c r="S55" s="305"/>
      <c r="T55" s="305"/>
      <c r="U55" s="305"/>
      <c r="V55" s="273"/>
      <c r="W55" s="273"/>
      <c r="X55" s="273"/>
      <c r="Y55" s="273"/>
    </row>
    <row r="56" spans="1:25" ht="12.75">
      <c r="A56" s="304">
        <v>171</v>
      </c>
      <c r="B56" s="262" t="s">
        <v>194</v>
      </c>
      <c r="C56" s="260">
        <v>10</v>
      </c>
      <c r="D56" s="274">
        <v>14749.620050000001</v>
      </c>
      <c r="E56" s="274">
        <v>14369.363372050138</v>
      </c>
      <c r="F56" s="274">
        <v>15090.983547051952</v>
      </c>
      <c r="G56" s="274">
        <v>7741.529710365041</v>
      </c>
      <c r="H56" s="274">
        <v>7587.260668489539</v>
      </c>
      <c r="I56" s="274">
        <v>1488.64748</v>
      </c>
      <c r="J56" s="274">
        <v>1378.3776000000003</v>
      </c>
      <c r="K56" s="274">
        <v>1494.8756679999997</v>
      </c>
      <c r="L56" s="274">
        <v>1153.811802</v>
      </c>
      <c r="M56" s="274">
        <v>1168.3251579999999</v>
      </c>
      <c r="N56" s="274">
        <v>1183.18771</v>
      </c>
      <c r="O56" s="274">
        <v>1185.998436576</v>
      </c>
      <c r="P56" s="274">
        <v>1185.998436576</v>
      </c>
      <c r="Q56" s="274">
        <v>1185.998436576</v>
      </c>
      <c r="R56" s="305">
        <v>1185.998436576</v>
      </c>
      <c r="S56" s="305"/>
      <c r="T56" s="305"/>
      <c r="U56" s="305"/>
      <c r="V56" s="273"/>
      <c r="W56" s="273"/>
      <c r="X56" s="273"/>
      <c r="Y56" s="273"/>
    </row>
    <row r="57" spans="1:25" ht="12.75">
      <c r="A57" s="304">
        <v>172</v>
      </c>
      <c r="B57" s="306" t="s">
        <v>195</v>
      </c>
      <c r="C57" s="260">
        <v>13</v>
      </c>
      <c r="D57" s="274">
        <v>12364.431789999999</v>
      </c>
      <c r="E57" s="274">
        <v>12199.493077064306</v>
      </c>
      <c r="F57" s="274">
        <v>12679.314258683973</v>
      </c>
      <c r="G57" s="274">
        <v>6581.264801406696</v>
      </c>
      <c r="H57" s="274">
        <v>6484.333624609959</v>
      </c>
      <c r="I57" s="274">
        <v>1491.7655</v>
      </c>
      <c r="J57" s="274">
        <v>1518.6717110000002</v>
      </c>
      <c r="K57" s="274">
        <v>1646.6816</v>
      </c>
      <c r="L57" s="274">
        <v>1270.9824</v>
      </c>
      <c r="M57" s="274">
        <v>1286.9696</v>
      </c>
      <c r="N57" s="274">
        <v>1685.8250500000001</v>
      </c>
      <c r="O57" s="274">
        <v>1722.437917392</v>
      </c>
      <c r="P57" s="274">
        <v>1722.437917392</v>
      </c>
      <c r="Q57" s="274">
        <v>1722.437917392</v>
      </c>
      <c r="R57" s="305">
        <v>1722.437917392</v>
      </c>
      <c r="S57" s="305"/>
      <c r="T57" s="305"/>
      <c r="U57" s="305"/>
      <c r="V57" s="273"/>
      <c r="W57" s="273"/>
      <c r="X57" s="273"/>
      <c r="Y57" s="273"/>
    </row>
    <row r="58" spans="1:25" ht="12.75">
      <c r="A58" s="304">
        <v>176</v>
      </c>
      <c r="B58" s="262" t="s">
        <v>197</v>
      </c>
      <c r="C58" s="260">
        <v>12</v>
      </c>
      <c r="D58" s="274">
        <v>11710.34209</v>
      </c>
      <c r="E58" s="274">
        <v>11327.30942142225</v>
      </c>
      <c r="F58" s="274">
        <v>11801.747561511394</v>
      </c>
      <c r="G58" s="274">
        <v>6078.3191034719885</v>
      </c>
      <c r="H58" s="274">
        <v>6000.414060847054</v>
      </c>
      <c r="I58" s="274">
        <v>1860.33384</v>
      </c>
      <c r="J58" s="274">
        <v>1666.3442639999998</v>
      </c>
      <c r="K58" s="274">
        <v>1804.6335419999998</v>
      </c>
      <c r="L58" s="274">
        <v>1392.8967630000002</v>
      </c>
      <c r="M58" s="274">
        <v>1410.417477</v>
      </c>
      <c r="N58" s="274">
        <v>1212.57293</v>
      </c>
      <c r="O58" s="274">
        <v>1195.7923491648</v>
      </c>
      <c r="P58" s="274">
        <v>1195.7923491648</v>
      </c>
      <c r="Q58" s="274">
        <v>1195.7923491648</v>
      </c>
      <c r="R58" s="305">
        <v>1195.7923491648</v>
      </c>
      <c r="S58" s="305"/>
      <c r="T58" s="305"/>
      <c r="U58" s="305"/>
      <c r="V58" s="273"/>
      <c r="W58" s="273"/>
      <c r="X58" s="273"/>
      <c r="Y58" s="273"/>
    </row>
    <row r="59" spans="1:25" ht="12.75">
      <c r="A59" s="304">
        <v>177</v>
      </c>
      <c r="B59" s="262" t="s">
        <v>198</v>
      </c>
      <c r="C59" s="260">
        <v>6</v>
      </c>
      <c r="D59" s="274">
        <v>5707.29773</v>
      </c>
      <c r="E59" s="274">
        <v>5722.195106688084</v>
      </c>
      <c r="F59" s="274">
        <v>5988.136411134145</v>
      </c>
      <c r="G59" s="274">
        <v>3101.720771735392</v>
      </c>
      <c r="H59" s="274">
        <v>3037.739537166267</v>
      </c>
      <c r="I59" s="274">
        <v>923.79166</v>
      </c>
      <c r="J59" s="274">
        <v>1046.2207870000002</v>
      </c>
      <c r="K59" s="274">
        <v>1137.2532820000001</v>
      </c>
      <c r="L59" s="274">
        <v>877.782873</v>
      </c>
      <c r="M59" s="274">
        <v>888.824167</v>
      </c>
      <c r="N59" s="274">
        <v>543.08607</v>
      </c>
      <c r="O59" s="274">
        <v>554.3596347</v>
      </c>
      <c r="P59" s="274">
        <v>554.3596347</v>
      </c>
      <c r="Q59" s="274">
        <v>554.3596347</v>
      </c>
      <c r="R59" s="305">
        <v>554.3596347</v>
      </c>
      <c r="S59" s="305"/>
      <c r="T59" s="305"/>
      <c r="U59" s="305"/>
      <c r="V59" s="273"/>
      <c r="W59" s="273"/>
      <c r="X59" s="273"/>
      <c r="Y59" s="273"/>
    </row>
    <row r="60" spans="1:25" ht="12.75">
      <c r="A60" s="304">
        <v>178</v>
      </c>
      <c r="B60" s="262" t="s">
        <v>199</v>
      </c>
      <c r="C60" s="260">
        <v>10</v>
      </c>
      <c r="D60" s="274">
        <v>15240.84483</v>
      </c>
      <c r="E60" s="274">
        <v>16257.412126633526</v>
      </c>
      <c r="F60" s="274">
        <v>16835.841755095604</v>
      </c>
      <c r="G60" s="274">
        <v>8809.711405410908</v>
      </c>
      <c r="H60" s="274">
        <v>8627.985695191048</v>
      </c>
      <c r="I60" s="274">
        <v>2547.9166</v>
      </c>
      <c r="J60" s="274">
        <v>2460.5536789999996</v>
      </c>
      <c r="K60" s="274">
        <v>2666.2992000000004</v>
      </c>
      <c r="L60" s="274">
        <v>2057.9688000000006</v>
      </c>
      <c r="M60" s="274">
        <v>2083.8552</v>
      </c>
      <c r="N60" s="274">
        <v>1505.4918</v>
      </c>
      <c r="O60" s="274">
        <v>1498.1562210432</v>
      </c>
      <c r="P60" s="274">
        <v>1498.1562210432</v>
      </c>
      <c r="Q60" s="274">
        <v>1498.1562210432</v>
      </c>
      <c r="R60" s="305">
        <v>1498.1562210432</v>
      </c>
      <c r="S60" s="305"/>
      <c r="T60" s="305"/>
      <c r="U60" s="305"/>
      <c r="V60" s="273"/>
      <c r="W60" s="273"/>
      <c r="X60" s="273"/>
      <c r="Y60" s="273"/>
    </row>
    <row r="61" spans="1:25" ht="12.75">
      <c r="A61" s="304">
        <v>179</v>
      </c>
      <c r="B61" s="262" t="s">
        <v>200</v>
      </c>
      <c r="C61" s="260">
        <v>13</v>
      </c>
      <c r="D61" s="274">
        <v>440245.93358</v>
      </c>
      <c r="E61" s="274">
        <v>450971.193301102</v>
      </c>
      <c r="F61" s="274">
        <v>471447.4516477688</v>
      </c>
      <c r="G61" s="274">
        <v>236976.74859883133</v>
      </c>
      <c r="H61" s="274">
        <v>229165.72659634106</v>
      </c>
      <c r="I61" s="274">
        <v>27050.78657</v>
      </c>
      <c r="J61" s="274">
        <v>26705.568805000003</v>
      </c>
      <c r="K61" s="274">
        <v>28946.934188</v>
      </c>
      <c r="L61" s="274">
        <v>22342.536582</v>
      </c>
      <c r="M61" s="274">
        <v>22623.574778000002</v>
      </c>
      <c r="N61" s="274">
        <v>47096.04047</v>
      </c>
      <c r="O61" s="274">
        <v>50763.780010752</v>
      </c>
      <c r="P61" s="274">
        <v>50763.780010752</v>
      </c>
      <c r="Q61" s="274">
        <v>50763.780010752</v>
      </c>
      <c r="R61" s="305">
        <v>50763.780010752</v>
      </c>
      <c r="S61" s="305"/>
      <c r="T61" s="305"/>
      <c r="U61" s="305"/>
      <c r="V61" s="273"/>
      <c r="W61" s="273"/>
      <c r="X61" s="273"/>
      <c r="Y61" s="273"/>
    </row>
    <row r="62" spans="1:25" ht="12.75">
      <c r="A62" s="304">
        <v>181</v>
      </c>
      <c r="B62" s="262" t="s">
        <v>201</v>
      </c>
      <c r="C62" s="260">
        <v>4</v>
      </c>
      <c r="D62" s="274">
        <v>5007.58739</v>
      </c>
      <c r="E62" s="274">
        <v>5184.342145797171</v>
      </c>
      <c r="F62" s="274">
        <v>5301.229500623931</v>
      </c>
      <c r="G62" s="274">
        <v>3032.361181345948</v>
      </c>
      <c r="H62" s="274">
        <v>2991.7664043069335</v>
      </c>
      <c r="I62" s="274">
        <v>305.03583000000003</v>
      </c>
      <c r="J62" s="274">
        <v>279.610259</v>
      </c>
      <c r="K62" s="274">
        <v>302.43787</v>
      </c>
      <c r="L62" s="274">
        <v>233.435055</v>
      </c>
      <c r="M62" s="274">
        <v>236.37134500000002</v>
      </c>
      <c r="N62" s="274">
        <v>391.62865999999997</v>
      </c>
      <c r="O62" s="274">
        <v>403.2323542536</v>
      </c>
      <c r="P62" s="274">
        <v>403.2323542536</v>
      </c>
      <c r="Q62" s="274">
        <v>403.2323542536</v>
      </c>
      <c r="R62" s="305">
        <v>403.2323542536</v>
      </c>
      <c r="S62" s="305"/>
      <c r="T62" s="305"/>
      <c r="U62" s="305"/>
      <c r="V62" s="273"/>
      <c r="W62" s="273"/>
      <c r="X62" s="273"/>
      <c r="Y62" s="273"/>
    </row>
    <row r="63" spans="1:25" ht="12.75">
      <c r="A63" s="304">
        <v>182</v>
      </c>
      <c r="B63" s="262" t="s">
        <v>128</v>
      </c>
      <c r="C63" s="260">
        <v>13</v>
      </c>
      <c r="D63" s="274">
        <v>69883.60851</v>
      </c>
      <c r="E63" s="274">
        <v>71075.94795801566</v>
      </c>
      <c r="F63" s="274">
        <v>73156.82707383367</v>
      </c>
      <c r="G63" s="274">
        <v>37414.35764051307</v>
      </c>
      <c r="H63" s="274">
        <v>36790.146573799095</v>
      </c>
      <c r="I63" s="274">
        <v>9416.4231</v>
      </c>
      <c r="J63" s="274">
        <v>8304.770907</v>
      </c>
      <c r="K63" s="274">
        <v>9021.462236</v>
      </c>
      <c r="L63" s="274">
        <v>6963.167453999999</v>
      </c>
      <c r="M63" s="274">
        <v>7050.7544659999985</v>
      </c>
      <c r="N63" s="274">
        <v>6106.94491</v>
      </c>
      <c r="O63" s="274">
        <v>6041.304736164</v>
      </c>
      <c r="P63" s="274">
        <v>6041.304736164</v>
      </c>
      <c r="Q63" s="274">
        <v>6041.304736164</v>
      </c>
      <c r="R63" s="305">
        <v>6041.304736164</v>
      </c>
      <c r="S63" s="305"/>
      <c r="T63" s="305"/>
      <c r="U63" s="305"/>
      <c r="V63" s="273"/>
      <c r="W63" s="273"/>
      <c r="X63" s="273"/>
      <c r="Y63" s="273"/>
    </row>
    <row r="64" spans="1:25" ht="12.75">
      <c r="A64" s="304">
        <v>186</v>
      </c>
      <c r="B64" s="262" t="s">
        <v>202</v>
      </c>
      <c r="C64" s="260">
        <v>1</v>
      </c>
      <c r="D64" s="274">
        <v>163674.76236000002</v>
      </c>
      <c r="E64" s="274">
        <v>171442.79556327313</v>
      </c>
      <c r="F64" s="274">
        <v>179298.01974880014</v>
      </c>
      <c r="G64" s="274">
        <v>88382.69192601724</v>
      </c>
      <c r="H64" s="274">
        <v>84567.36611905115</v>
      </c>
      <c r="I64" s="274">
        <v>5315.88723</v>
      </c>
      <c r="J64" s="274">
        <v>5002.512012</v>
      </c>
      <c r="K64" s="274">
        <v>5418.538716</v>
      </c>
      <c r="L64" s="274">
        <v>4182.270174</v>
      </c>
      <c r="M64" s="274">
        <v>4234.877346</v>
      </c>
      <c r="N64" s="274">
        <v>12902.70076</v>
      </c>
      <c r="O64" s="274">
        <v>13628.708030376003</v>
      </c>
      <c r="P64" s="274">
        <v>13628.708030376003</v>
      </c>
      <c r="Q64" s="274">
        <v>13628.708030376003</v>
      </c>
      <c r="R64" s="305">
        <v>13628.708030376003</v>
      </c>
      <c r="S64" s="305"/>
      <c r="T64" s="305"/>
      <c r="U64" s="305"/>
      <c r="V64" s="273"/>
      <c r="W64" s="273"/>
      <c r="X64" s="273"/>
      <c r="Y64" s="273"/>
    </row>
    <row r="65" spans="1:25" ht="12.75">
      <c r="A65" s="304">
        <v>202</v>
      </c>
      <c r="B65" s="262" t="s">
        <v>203</v>
      </c>
      <c r="C65" s="260">
        <v>2</v>
      </c>
      <c r="D65" s="274">
        <v>125221.40986</v>
      </c>
      <c r="E65" s="274">
        <v>129466.14501434876</v>
      </c>
      <c r="F65" s="274">
        <v>135884.5657545127</v>
      </c>
      <c r="G65" s="274">
        <v>66375.74035264683</v>
      </c>
      <c r="H65" s="274">
        <v>63703.30112509285</v>
      </c>
      <c r="I65" s="274">
        <v>4978.94492</v>
      </c>
      <c r="J65" s="274">
        <v>5309.157996</v>
      </c>
      <c r="K65" s="274">
        <v>5743.531732</v>
      </c>
      <c r="L65" s="274">
        <v>4433.114298</v>
      </c>
      <c r="M65" s="274">
        <v>4488.876742</v>
      </c>
      <c r="N65" s="274">
        <v>7061.40792</v>
      </c>
      <c r="O65" s="274">
        <v>7147.977626224798</v>
      </c>
      <c r="P65" s="274">
        <v>7147.977626224798</v>
      </c>
      <c r="Q65" s="274">
        <v>7147.977626224798</v>
      </c>
      <c r="R65" s="305">
        <v>7147.977626224798</v>
      </c>
      <c r="S65" s="305"/>
      <c r="T65" s="305"/>
      <c r="U65" s="305"/>
      <c r="V65" s="273"/>
      <c r="W65" s="273"/>
      <c r="X65" s="273"/>
      <c r="Y65" s="273"/>
    </row>
    <row r="66" spans="1:25" ht="12.75">
      <c r="A66" s="304">
        <v>204</v>
      </c>
      <c r="B66" s="262" t="s">
        <v>204</v>
      </c>
      <c r="C66" s="260">
        <v>11</v>
      </c>
      <c r="D66" s="274">
        <v>6988.15571</v>
      </c>
      <c r="E66" s="274">
        <v>7182.933196813812</v>
      </c>
      <c r="F66" s="274">
        <v>7697.991862561537</v>
      </c>
      <c r="G66" s="274">
        <v>4115.512206990638</v>
      </c>
      <c r="H66" s="274">
        <v>4092.2153987544857</v>
      </c>
      <c r="I66" s="274">
        <v>995.21088</v>
      </c>
      <c r="J66" s="274">
        <v>1098.232449</v>
      </c>
      <c r="K66" s="274">
        <v>1190.976434</v>
      </c>
      <c r="L66" s="274">
        <v>919.248801</v>
      </c>
      <c r="M66" s="274">
        <v>930.811679</v>
      </c>
      <c r="N66" s="274">
        <v>1050.73258</v>
      </c>
      <c r="O66" s="274">
        <v>1114.546427364</v>
      </c>
      <c r="P66" s="274">
        <v>1114.546427364</v>
      </c>
      <c r="Q66" s="274">
        <v>1114.546427364</v>
      </c>
      <c r="R66" s="305">
        <v>1114.546427364</v>
      </c>
      <c r="S66" s="305"/>
      <c r="T66" s="305"/>
      <c r="U66" s="305"/>
      <c r="V66" s="273"/>
      <c r="W66" s="273"/>
      <c r="X66" s="273"/>
      <c r="Y66" s="273"/>
    </row>
    <row r="67" spans="1:25" ht="12.75">
      <c r="A67" s="304">
        <v>205</v>
      </c>
      <c r="B67" s="262" t="s">
        <v>205</v>
      </c>
      <c r="C67" s="260">
        <v>18</v>
      </c>
      <c r="D67" s="274">
        <v>122934.68648</v>
      </c>
      <c r="E67" s="274">
        <v>123572.2134670148</v>
      </c>
      <c r="F67" s="274">
        <v>128556.98372196511</v>
      </c>
      <c r="G67" s="274">
        <v>66929.37760423457</v>
      </c>
      <c r="H67" s="274">
        <v>65544.49195412993</v>
      </c>
      <c r="I67" s="274">
        <v>5736.82959</v>
      </c>
      <c r="J67" s="274">
        <v>5468.763518000001</v>
      </c>
      <c r="K67" s="274">
        <v>5922.103038</v>
      </c>
      <c r="L67" s="274">
        <v>4570.943607</v>
      </c>
      <c r="M67" s="274">
        <v>4628.439753000001</v>
      </c>
      <c r="N67" s="274">
        <v>9986.06342</v>
      </c>
      <c r="O67" s="274">
        <v>10250.999586396003</v>
      </c>
      <c r="P67" s="274">
        <v>10250.999586396003</v>
      </c>
      <c r="Q67" s="274">
        <v>10250.999586396003</v>
      </c>
      <c r="R67" s="305">
        <v>10250.999586396003</v>
      </c>
      <c r="S67" s="305"/>
      <c r="T67" s="305"/>
      <c r="U67" s="305"/>
      <c r="V67" s="273"/>
      <c r="W67" s="273"/>
      <c r="X67" s="273"/>
      <c r="Y67" s="273"/>
    </row>
    <row r="68" spans="1:25" ht="12.75">
      <c r="A68" s="304">
        <v>208</v>
      </c>
      <c r="B68" s="262" t="s">
        <v>206</v>
      </c>
      <c r="C68" s="260">
        <v>17</v>
      </c>
      <c r="D68" s="274">
        <v>32482.03547</v>
      </c>
      <c r="E68" s="274">
        <v>33069.563815277135</v>
      </c>
      <c r="F68" s="274">
        <v>34715.750976343355</v>
      </c>
      <c r="G68" s="274">
        <v>17463.305872945784</v>
      </c>
      <c r="H68" s="274">
        <v>16997.194792375216</v>
      </c>
      <c r="I68" s="274">
        <v>2716.32384</v>
      </c>
      <c r="J68" s="274">
        <v>2120.84101</v>
      </c>
      <c r="K68" s="274">
        <v>2294.447364</v>
      </c>
      <c r="L68" s="274">
        <v>1770.9569460000002</v>
      </c>
      <c r="M68" s="274">
        <v>1793.233134</v>
      </c>
      <c r="N68" s="274">
        <v>3556.97815</v>
      </c>
      <c r="O68" s="274">
        <v>5107.65729684</v>
      </c>
      <c r="P68" s="274">
        <v>5107.65729684</v>
      </c>
      <c r="Q68" s="274">
        <v>5107.65729684</v>
      </c>
      <c r="R68" s="305">
        <v>5107.65729684</v>
      </c>
      <c r="S68" s="305"/>
      <c r="T68" s="305"/>
      <c r="U68" s="305"/>
      <c r="V68" s="273"/>
      <c r="W68" s="273"/>
      <c r="X68" s="273"/>
      <c r="Y68" s="273"/>
    </row>
    <row r="69" spans="1:25" ht="12.75">
      <c r="A69" s="304">
        <v>211</v>
      </c>
      <c r="B69" s="262" t="s">
        <v>207</v>
      </c>
      <c r="C69" s="260">
        <v>6</v>
      </c>
      <c r="D69" s="274">
        <v>117565.95447</v>
      </c>
      <c r="E69" s="274">
        <v>117723.29881520927</v>
      </c>
      <c r="F69" s="274">
        <v>123831.52657052698</v>
      </c>
      <c r="G69" s="274">
        <v>64633.487742096106</v>
      </c>
      <c r="H69" s="274">
        <v>62900.68914564401</v>
      </c>
      <c r="I69" s="274">
        <v>4094.7275499999996</v>
      </c>
      <c r="J69" s="274">
        <v>4081.997271</v>
      </c>
      <c r="K69" s="274">
        <v>4419.712284</v>
      </c>
      <c r="L69" s="274">
        <v>3411.331326</v>
      </c>
      <c r="M69" s="274">
        <v>3454.241154</v>
      </c>
      <c r="N69" s="274">
        <v>7080.43142</v>
      </c>
      <c r="O69" s="274">
        <v>7068.4611333288</v>
      </c>
      <c r="P69" s="274">
        <v>7068.4611333288</v>
      </c>
      <c r="Q69" s="274">
        <v>7068.4611333288</v>
      </c>
      <c r="R69" s="305">
        <v>7068.4611333288</v>
      </c>
      <c r="S69" s="305"/>
      <c r="T69" s="305"/>
      <c r="U69" s="305"/>
      <c r="V69" s="273"/>
      <c r="W69" s="273"/>
      <c r="X69" s="273"/>
      <c r="Y69" s="273"/>
    </row>
    <row r="70" spans="1:25" ht="12.75">
      <c r="A70" s="304">
        <v>213</v>
      </c>
      <c r="B70" s="262" t="s">
        <v>208</v>
      </c>
      <c r="C70" s="260">
        <v>10</v>
      </c>
      <c r="D70" s="274">
        <v>14030.00599</v>
      </c>
      <c r="E70" s="274">
        <v>14011.021378824358</v>
      </c>
      <c r="F70" s="274">
        <v>14496.7489104908</v>
      </c>
      <c r="G70" s="274">
        <v>7566.356277603482</v>
      </c>
      <c r="H70" s="274">
        <v>7423.058781183271</v>
      </c>
      <c r="I70" s="274">
        <v>2828.2270099999996</v>
      </c>
      <c r="J70" s="274">
        <v>2620.7375359999996</v>
      </c>
      <c r="K70" s="274">
        <v>2841.29208</v>
      </c>
      <c r="L70" s="274">
        <v>2193.03612</v>
      </c>
      <c r="M70" s="274">
        <v>2220.62148</v>
      </c>
      <c r="N70" s="274">
        <v>1826.3335</v>
      </c>
      <c r="O70" s="274">
        <v>1854.0519965640003</v>
      </c>
      <c r="P70" s="274">
        <v>1854.0519965640003</v>
      </c>
      <c r="Q70" s="274">
        <v>1854.0519965640003</v>
      </c>
      <c r="R70" s="305">
        <v>1854.0519965640003</v>
      </c>
      <c r="S70" s="305"/>
      <c r="T70" s="305"/>
      <c r="U70" s="305"/>
      <c r="V70" s="273"/>
      <c r="W70" s="273"/>
      <c r="X70" s="273"/>
      <c r="Y70" s="273"/>
    </row>
    <row r="71" spans="1:25" ht="12.75">
      <c r="A71" s="304">
        <v>214</v>
      </c>
      <c r="B71" s="262" t="s">
        <v>209</v>
      </c>
      <c r="C71" s="260">
        <v>4</v>
      </c>
      <c r="D71" s="274">
        <v>34114.65268</v>
      </c>
      <c r="E71" s="274">
        <v>35393.051435302965</v>
      </c>
      <c r="F71" s="274">
        <v>36274.40448881642</v>
      </c>
      <c r="G71" s="274">
        <v>19461.4934781313</v>
      </c>
      <c r="H71" s="274">
        <v>19179.637895731474</v>
      </c>
      <c r="I71" s="274">
        <v>2752.29963</v>
      </c>
      <c r="J71" s="274">
        <v>2613.6785409999998</v>
      </c>
      <c r="K71" s="274">
        <v>2830.320314</v>
      </c>
      <c r="L71" s="274">
        <v>2184.567621</v>
      </c>
      <c r="M71" s="274">
        <v>2212.046459</v>
      </c>
      <c r="N71" s="274">
        <v>3001.15811</v>
      </c>
      <c r="O71" s="274">
        <v>3460.893742008</v>
      </c>
      <c r="P71" s="274">
        <v>3460.893742008</v>
      </c>
      <c r="Q71" s="274">
        <v>3460.893742008</v>
      </c>
      <c r="R71" s="308">
        <v>3460.893742008</v>
      </c>
      <c r="S71" s="305"/>
      <c r="T71" s="305"/>
      <c r="U71" s="305"/>
      <c r="V71" s="273"/>
      <c r="W71" s="273"/>
      <c r="X71" s="273"/>
      <c r="Y71" s="273"/>
    </row>
    <row r="72" spans="1:25" ht="12.75">
      <c r="A72" s="304">
        <v>216</v>
      </c>
      <c r="B72" s="262" t="s">
        <v>210</v>
      </c>
      <c r="C72" s="260">
        <v>13</v>
      </c>
      <c r="D72" s="274">
        <v>3215.83966</v>
      </c>
      <c r="E72" s="274">
        <v>3250.8388662940188</v>
      </c>
      <c r="F72" s="274">
        <v>3334.5440215924145</v>
      </c>
      <c r="G72" s="274">
        <v>1779.9140943259167</v>
      </c>
      <c r="H72" s="274">
        <v>1755.7038372732482</v>
      </c>
      <c r="I72" s="274">
        <v>570.26115</v>
      </c>
      <c r="J72" s="274">
        <v>594.4646589999999</v>
      </c>
      <c r="K72" s="274">
        <v>644.153966</v>
      </c>
      <c r="L72" s="274">
        <v>497.186799</v>
      </c>
      <c r="M72" s="274">
        <v>503.44072099999994</v>
      </c>
      <c r="N72" s="274">
        <v>443.11426</v>
      </c>
      <c r="O72" s="274">
        <v>443.00989704</v>
      </c>
      <c r="P72" s="274">
        <v>443.00989704</v>
      </c>
      <c r="Q72" s="274">
        <v>443.00989704</v>
      </c>
      <c r="R72" s="305">
        <v>443.00989704</v>
      </c>
      <c r="S72" s="305"/>
      <c r="T72" s="305"/>
      <c r="U72" s="305"/>
      <c r="V72" s="273"/>
      <c r="W72" s="273"/>
      <c r="X72" s="273"/>
      <c r="Y72" s="273"/>
    </row>
    <row r="73" spans="1:25" ht="12.75">
      <c r="A73" s="304">
        <v>217</v>
      </c>
      <c r="B73" s="262" t="s">
        <v>211</v>
      </c>
      <c r="C73" s="260">
        <v>16</v>
      </c>
      <c r="D73" s="274">
        <v>15137.42655</v>
      </c>
      <c r="E73" s="274">
        <v>15992.865958309207</v>
      </c>
      <c r="F73" s="274">
        <v>16852.819478107776</v>
      </c>
      <c r="G73" s="274">
        <v>9044.945357660095</v>
      </c>
      <c r="H73" s="274">
        <v>8896.436227527536</v>
      </c>
      <c r="I73" s="274">
        <v>1209.61175</v>
      </c>
      <c r="J73" s="274">
        <v>972.401275</v>
      </c>
      <c r="K73" s="274">
        <v>1051.245192</v>
      </c>
      <c r="L73" s="274">
        <v>811.3979879999999</v>
      </c>
      <c r="M73" s="274">
        <v>821.6042520000001</v>
      </c>
      <c r="N73" s="274">
        <v>1276.08423</v>
      </c>
      <c r="O73" s="274">
        <v>1265.8570018199998</v>
      </c>
      <c r="P73" s="274">
        <v>1265.8570018199998</v>
      </c>
      <c r="Q73" s="274">
        <v>1265.8570018199998</v>
      </c>
      <c r="R73" s="305">
        <v>1265.8570018199998</v>
      </c>
      <c r="S73" s="305"/>
      <c r="T73" s="305"/>
      <c r="U73" s="305"/>
      <c r="V73" s="273"/>
      <c r="W73" s="273"/>
      <c r="X73" s="273"/>
      <c r="Y73" s="273"/>
    </row>
    <row r="74" spans="1:25" ht="12.75">
      <c r="A74" s="304">
        <v>218</v>
      </c>
      <c r="B74" s="262" t="s">
        <v>212</v>
      </c>
      <c r="C74" s="260">
        <v>14</v>
      </c>
      <c r="D74" s="274">
        <v>3706.7920299999996</v>
      </c>
      <c r="E74" s="274">
        <v>3656.2980367337523</v>
      </c>
      <c r="F74" s="274">
        <v>3824.7045291788386</v>
      </c>
      <c r="G74" s="274">
        <v>2147.2214447785686</v>
      </c>
      <c r="H74" s="274">
        <v>2109.256676601598</v>
      </c>
      <c r="I74" s="274">
        <v>308.42906</v>
      </c>
      <c r="J74" s="274">
        <v>281.590661</v>
      </c>
      <c r="K74" s="274">
        <v>304.433804</v>
      </c>
      <c r="L74" s="274">
        <v>234.975606</v>
      </c>
      <c r="M74" s="274">
        <v>237.931274</v>
      </c>
      <c r="N74" s="274">
        <v>227.15729000000002</v>
      </c>
      <c r="O74" s="274">
        <v>252.7253079</v>
      </c>
      <c r="P74" s="274">
        <v>252.7253079</v>
      </c>
      <c r="Q74" s="274">
        <v>252.7253079</v>
      </c>
      <c r="R74" s="305">
        <v>252.7253079</v>
      </c>
      <c r="S74" s="305"/>
      <c r="T74" s="305"/>
      <c r="U74" s="305"/>
      <c r="V74" s="273"/>
      <c r="W74" s="273"/>
      <c r="X74" s="273"/>
      <c r="Y74" s="273"/>
    </row>
    <row r="75" spans="1:25" ht="12.75">
      <c r="A75" s="304">
        <v>224</v>
      </c>
      <c r="B75" s="262" t="s">
        <v>213</v>
      </c>
      <c r="C75" s="260">
        <v>1</v>
      </c>
      <c r="D75" s="274">
        <v>27957.939039999997</v>
      </c>
      <c r="E75" s="274">
        <v>28186.912810350743</v>
      </c>
      <c r="F75" s="274">
        <v>29433.326092207124</v>
      </c>
      <c r="G75" s="274">
        <v>15285.727014500088</v>
      </c>
      <c r="H75" s="274">
        <v>14903.41425672598</v>
      </c>
      <c r="I75" s="274">
        <v>1346.58595</v>
      </c>
      <c r="J75" s="274">
        <v>1256.653301</v>
      </c>
      <c r="K75" s="274">
        <v>1357.8996759999998</v>
      </c>
      <c r="L75" s="274">
        <v>1048.087614</v>
      </c>
      <c r="M75" s="274">
        <v>1061.271106</v>
      </c>
      <c r="N75" s="274">
        <v>2251.47204</v>
      </c>
      <c r="O75" s="274">
        <v>2224.936269972</v>
      </c>
      <c r="P75" s="274">
        <v>2224.936269972</v>
      </c>
      <c r="Q75" s="274">
        <v>2224.936269972</v>
      </c>
      <c r="R75" s="305">
        <v>2224.936269972</v>
      </c>
      <c r="S75" s="305"/>
      <c r="T75" s="305"/>
      <c r="U75" s="305"/>
      <c r="V75" s="273"/>
      <c r="W75" s="273"/>
      <c r="X75" s="273"/>
      <c r="Y75" s="273"/>
    </row>
    <row r="76" spans="1:25" ht="12.75">
      <c r="A76" s="304">
        <v>226</v>
      </c>
      <c r="B76" s="262" t="s">
        <v>214</v>
      </c>
      <c r="C76" s="260">
        <v>13</v>
      </c>
      <c r="D76" s="274">
        <v>9803.42636</v>
      </c>
      <c r="E76" s="274">
        <v>10156.292323064232</v>
      </c>
      <c r="F76" s="274">
        <v>10690.06309884626</v>
      </c>
      <c r="G76" s="274">
        <v>5630.254135199912</v>
      </c>
      <c r="H76" s="274">
        <v>5541.797714780899</v>
      </c>
      <c r="I76" s="274">
        <v>1364.96047</v>
      </c>
      <c r="J76" s="274">
        <v>1346.0118430000002</v>
      </c>
      <c r="K76" s="274">
        <v>1458.22559</v>
      </c>
      <c r="L76" s="274">
        <v>1125.523635</v>
      </c>
      <c r="M76" s="274">
        <v>1139.6811650000002</v>
      </c>
      <c r="N76" s="274">
        <v>961.83352</v>
      </c>
      <c r="O76" s="274">
        <v>1089.0956936328</v>
      </c>
      <c r="P76" s="274">
        <v>1089.0956936328</v>
      </c>
      <c r="Q76" s="274">
        <v>1089.0956936328</v>
      </c>
      <c r="R76" s="305">
        <v>1089.0956936328</v>
      </c>
      <c r="S76" s="305"/>
      <c r="T76" s="305"/>
      <c r="U76" s="305"/>
      <c r="V76" s="273"/>
      <c r="W76" s="273"/>
      <c r="X76" s="273"/>
      <c r="Y76" s="273"/>
    </row>
    <row r="77" spans="1:25" ht="12.75">
      <c r="A77" s="304">
        <v>230</v>
      </c>
      <c r="B77" s="262" t="s">
        <v>215</v>
      </c>
      <c r="C77" s="260">
        <v>4</v>
      </c>
      <c r="D77" s="274">
        <v>5487.205730000001</v>
      </c>
      <c r="E77" s="274">
        <v>5534.71994789317</v>
      </c>
      <c r="F77" s="274">
        <v>5831.686033301381</v>
      </c>
      <c r="G77" s="274">
        <v>3044.8695249205616</v>
      </c>
      <c r="H77" s="274">
        <v>2977.6739458537604</v>
      </c>
      <c r="I77" s="274">
        <v>703.55147</v>
      </c>
      <c r="J77" s="274">
        <v>620.7058710000001</v>
      </c>
      <c r="K77" s="274">
        <v>672.1246460000002</v>
      </c>
      <c r="L77" s="274">
        <v>518.7758190000001</v>
      </c>
      <c r="M77" s="274">
        <v>525.3013010000001</v>
      </c>
      <c r="N77" s="274">
        <v>536.0577900000001</v>
      </c>
      <c r="O77" s="274">
        <v>690.0780675144001</v>
      </c>
      <c r="P77" s="274">
        <v>690.0780675144001</v>
      </c>
      <c r="Q77" s="274">
        <v>690.0780675144001</v>
      </c>
      <c r="R77" s="305">
        <v>690.0780675144001</v>
      </c>
      <c r="S77" s="305"/>
      <c r="T77" s="305"/>
      <c r="U77" s="305"/>
      <c r="V77" s="273"/>
      <c r="W77" s="273"/>
      <c r="X77" s="273"/>
      <c r="Y77" s="273"/>
    </row>
    <row r="78" spans="1:25" ht="12.75">
      <c r="A78" s="304">
        <v>231</v>
      </c>
      <c r="B78" s="262" t="s">
        <v>216</v>
      </c>
      <c r="C78" s="260">
        <v>15</v>
      </c>
      <c r="D78" s="274">
        <v>4837.248280000001</v>
      </c>
      <c r="E78" s="274">
        <v>5013.285538354442</v>
      </c>
      <c r="F78" s="274">
        <v>5084.619770246303</v>
      </c>
      <c r="G78" s="274">
        <v>2795.9556992251105</v>
      </c>
      <c r="H78" s="274">
        <v>2742.995118126659</v>
      </c>
      <c r="I78" s="274">
        <v>1204.75914</v>
      </c>
      <c r="J78" s="274">
        <v>1083.1325299999999</v>
      </c>
      <c r="K78" s="274">
        <v>1176.551284</v>
      </c>
      <c r="L78" s="274">
        <v>908.114826</v>
      </c>
      <c r="M78" s="274">
        <v>919.537654</v>
      </c>
      <c r="N78" s="274">
        <v>595.95262</v>
      </c>
      <c r="O78" s="274">
        <v>602.7929309279999</v>
      </c>
      <c r="P78" s="274">
        <v>602.7929309279999</v>
      </c>
      <c r="Q78" s="274">
        <v>602.7929309279999</v>
      </c>
      <c r="R78" s="305">
        <v>602.7929309279999</v>
      </c>
      <c r="S78" s="305"/>
      <c r="T78" s="305"/>
      <c r="U78" s="305"/>
      <c r="V78" s="273"/>
      <c r="W78" s="273"/>
      <c r="X78" s="273"/>
      <c r="Y78" s="273"/>
    </row>
    <row r="79" spans="1:25" ht="12.75">
      <c r="A79" s="304">
        <v>232</v>
      </c>
      <c r="B79" s="262" t="s">
        <v>217</v>
      </c>
      <c r="C79" s="260">
        <v>14</v>
      </c>
      <c r="D79" s="274">
        <v>38423.13594</v>
      </c>
      <c r="E79" s="274">
        <v>38534.52218706616</v>
      </c>
      <c r="F79" s="274">
        <v>40211.88454715349</v>
      </c>
      <c r="G79" s="274">
        <v>22341.240764347258</v>
      </c>
      <c r="H79" s="274">
        <v>22039.254500815903</v>
      </c>
      <c r="I79" s="274">
        <v>4023.24863</v>
      </c>
      <c r="J79" s="274">
        <v>3978.179132</v>
      </c>
      <c r="K79" s="274">
        <v>4307.744898</v>
      </c>
      <c r="L79" s="274">
        <v>3324.9098969999995</v>
      </c>
      <c r="M79" s="274">
        <v>3366.732663</v>
      </c>
      <c r="N79" s="274">
        <v>3421.0198100000002</v>
      </c>
      <c r="O79" s="274">
        <v>3496.5962852496004</v>
      </c>
      <c r="P79" s="274">
        <v>3496.5962852496004</v>
      </c>
      <c r="Q79" s="274">
        <v>3496.5962852496004</v>
      </c>
      <c r="R79" s="305">
        <v>3496.5962852496004</v>
      </c>
      <c r="S79" s="305"/>
      <c r="T79" s="305"/>
      <c r="U79" s="305"/>
      <c r="V79" s="273"/>
      <c r="W79" s="273"/>
      <c r="X79" s="273"/>
      <c r="Y79" s="273"/>
    </row>
    <row r="80" spans="1:25" ht="12.75">
      <c r="A80" s="304">
        <v>233</v>
      </c>
      <c r="B80" s="262" t="s">
        <v>218</v>
      </c>
      <c r="C80" s="260">
        <v>14</v>
      </c>
      <c r="D80" s="274">
        <v>47134.39449</v>
      </c>
      <c r="E80" s="274">
        <v>47085.132153375875</v>
      </c>
      <c r="F80" s="274">
        <v>49414.956815587975</v>
      </c>
      <c r="G80" s="274">
        <v>26964.749965057814</v>
      </c>
      <c r="H80" s="274">
        <v>26469.08257753684</v>
      </c>
      <c r="I80" s="274">
        <v>3913.01272</v>
      </c>
      <c r="J80" s="274">
        <v>3364.445861</v>
      </c>
      <c r="K80" s="274">
        <v>3643.8229659999997</v>
      </c>
      <c r="L80" s="274">
        <v>2812.4652989999995</v>
      </c>
      <c r="M80" s="274">
        <v>2847.8422210000003</v>
      </c>
      <c r="N80" s="274">
        <v>4063.94926</v>
      </c>
      <c r="O80" s="274">
        <v>4079.344508484001</v>
      </c>
      <c r="P80" s="274">
        <v>4079.344508484001</v>
      </c>
      <c r="Q80" s="274">
        <v>4079.344508484001</v>
      </c>
      <c r="R80" s="305">
        <v>4079.344508484001</v>
      </c>
      <c r="S80" s="305"/>
      <c r="T80" s="305"/>
      <c r="U80" s="305"/>
      <c r="V80" s="273"/>
      <c r="W80" s="273"/>
      <c r="X80" s="273"/>
      <c r="Y80" s="273"/>
    </row>
    <row r="81" spans="1:25" ht="12.75">
      <c r="A81" s="304">
        <v>235</v>
      </c>
      <c r="B81" s="262" t="s">
        <v>219</v>
      </c>
      <c r="C81" s="260">
        <v>1</v>
      </c>
      <c r="D81" s="274">
        <v>62527.91307</v>
      </c>
      <c r="E81" s="274">
        <v>65870.54318186814</v>
      </c>
      <c r="F81" s="274">
        <v>67864.25062401827</v>
      </c>
      <c r="G81" s="274">
        <v>26417.84441200624</v>
      </c>
      <c r="H81" s="274">
        <v>24278.073042194734</v>
      </c>
      <c r="I81" s="274">
        <v>2080.62907</v>
      </c>
      <c r="J81" s="274">
        <v>1900.5765049999998</v>
      </c>
      <c r="K81" s="274">
        <v>2063.029436</v>
      </c>
      <c r="L81" s="274">
        <v>1592.3382539999998</v>
      </c>
      <c r="M81" s="274">
        <v>1612.3676659999999</v>
      </c>
      <c r="N81" s="274">
        <v>4659.31223</v>
      </c>
      <c r="O81" s="274">
        <v>4783.025766705601</v>
      </c>
      <c r="P81" s="274">
        <v>4783.025766705601</v>
      </c>
      <c r="Q81" s="274">
        <v>4783.025766705601</v>
      </c>
      <c r="R81" s="305">
        <v>4783.025766705601</v>
      </c>
      <c r="S81" s="305"/>
      <c r="T81" s="305"/>
      <c r="U81" s="305"/>
      <c r="V81" s="273"/>
      <c r="W81" s="273"/>
      <c r="X81" s="273"/>
      <c r="Y81" s="273"/>
    </row>
    <row r="82" spans="1:25" ht="12.75">
      <c r="A82" s="304">
        <v>236</v>
      </c>
      <c r="B82" s="262" t="s">
        <v>220</v>
      </c>
      <c r="C82" s="260">
        <v>16</v>
      </c>
      <c r="D82" s="274">
        <v>11738.22034</v>
      </c>
      <c r="E82" s="274">
        <v>12422.863794559093</v>
      </c>
      <c r="F82" s="274">
        <v>12852.908149883026</v>
      </c>
      <c r="G82" s="274">
        <v>7011.413453152782</v>
      </c>
      <c r="H82" s="274">
        <v>6911.750357530278</v>
      </c>
      <c r="I82" s="274">
        <v>1456.7468000000001</v>
      </c>
      <c r="J82" s="274">
        <v>1001.3152829999999</v>
      </c>
      <c r="K82" s="274">
        <v>1086.911826</v>
      </c>
      <c r="L82" s="274">
        <v>838.9270889999999</v>
      </c>
      <c r="M82" s="274">
        <v>849.4796309999998</v>
      </c>
      <c r="N82" s="274">
        <v>893.5574499999999</v>
      </c>
      <c r="O82" s="274">
        <v>937.4100608856002</v>
      </c>
      <c r="P82" s="274">
        <v>937.4100608856002</v>
      </c>
      <c r="Q82" s="274">
        <v>937.4100608856002</v>
      </c>
      <c r="R82" s="305">
        <v>937.4100608856002</v>
      </c>
      <c r="S82" s="305"/>
      <c r="T82" s="305"/>
      <c r="U82" s="305"/>
      <c r="V82" s="273"/>
      <c r="W82" s="273"/>
      <c r="X82" s="273"/>
      <c r="Y82" s="273"/>
    </row>
    <row r="83" spans="1:25" ht="12.75">
      <c r="A83" s="304">
        <v>239</v>
      </c>
      <c r="B83" s="262" t="s">
        <v>221</v>
      </c>
      <c r="C83" s="260">
        <v>11</v>
      </c>
      <c r="D83" s="274">
        <v>5995.02405</v>
      </c>
      <c r="E83" s="274">
        <v>5928.3826646927355</v>
      </c>
      <c r="F83" s="274">
        <v>6109.609603506516</v>
      </c>
      <c r="G83" s="274">
        <v>3139.0698689419964</v>
      </c>
      <c r="H83" s="274">
        <v>3077.292630124598</v>
      </c>
      <c r="I83" s="274">
        <v>758.7316999999999</v>
      </c>
      <c r="J83" s="274">
        <v>634.651239</v>
      </c>
      <c r="K83" s="274">
        <v>686.8880479999999</v>
      </c>
      <c r="L83" s="274">
        <v>530.170872</v>
      </c>
      <c r="M83" s="274">
        <v>536.839688</v>
      </c>
      <c r="N83" s="274">
        <v>561.08577</v>
      </c>
      <c r="O83" s="274">
        <v>538.528813428</v>
      </c>
      <c r="P83" s="274">
        <v>538.528813428</v>
      </c>
      <c r="Q83" s="274">
        <v>538.528813428</v>
      </c>
      <c r="R83" s="305">
        <v>538.528813428</v>
      </c>
      <c r="S83" s="305"/>
      <c r="T83" s="305"/>
      <c r="U83" s="305"/>
      <c r="V83" s="273"/>
      <c r="W83" s="273"/>
      <c r="X83" s="273"/>
      <c r="Y83" s="273"/>
    </row>
    <row r="84" spans="1:25" ht="12.75">
      <c r="A84" s="304">
        <v>240</v>
      </c>
      <c r="B84" s="262" t="s">
        <v>222</v>
      </c>
      <c r="C84" s="260">
        <v>19</v>
      </c>
      <c r="D84" s="274">
        <v>73194.83828</v>
      </c>
      <c r="E84" s="274">
        <v>75053.44114781935</v>
      </c>
      <c r="F84" s="274">
        <v>77903.07666196795</v>
      </c>
      <c r="G84" s="274">
        <v>41346.30068342777</v>
      </c>
      <c r="H84" s="274">
        <v>40802.669665490284</v>
      </c>
      <c r="I84" s="274">
        <v>8112.11672</v>
      </c>
      <c r="J84" s="274">
        <v>7284.902644</v>
      </c>
      <c r="K84" s="274">
        <v>7918.897911999999</v>
      </c>
      <c r="L84" s="274">
        <v>6112.159068</v>
      </c>
      <c r="M84" s="274">
        <v>6189.041571999999</v>
      </c>
      <c r="N84" s="274">
        <v>6624.068719999999</v>
      </c>
      <c r="O84" s="274">
        <v>6656.9472329616</v>
      </c>
      <c r="P84" s="274">
        <v>6656.9472329616</v>
      </c>
      <c r="Q84" s="274">
        <v>6656.9472329616</v>
      </c>
      <c r="R84" s="305">
        <v>6656.9472329616</v>
      </c>
      <c r="S84" s="305"/>
      <c r="T84" s="305"/>
      <c r="U84" s="305"/>
      <c r="V84" s="273"/>
      <c r="W84" s="273"/>
      <c r="X84" s="273"/>
      <c r="Y84" s="273"/>
    </row>
    <row r="85" spans="1:25" ht="12.75">
      <c r="A85" s="304">
        <v>320</v>
      </c>
      <c r="B85" s="262" t="s">
        <v>223</v>
      </c>
      <c r="C85" s="260">
        <v>19</v>
      </c>
      <c r="D85" s="274">
        <v>23513.797420000003</v>
      </c>
      <c r="E85" s="274">
        <v>24603.027010513382</v>
      </c>
      <c r="F85" s="274">
        <v>24921.34411904916</v>
      </c>
      <c r="G85" s="274">
        <v>13213.058277938173</v>
      </c>
      <c r="H85" s="274">
        <v>13055.825709888062</v>
      </c>
      <c r="I85" s="274">
        <v>1292.34902</v>
      </c>
      <c r="J85" s="274">
        <v>1273.7598609999998</v>
      </c>
      <c r="K85" s="274">
        <v>1379.140542</v>
      </c>
      <c r="L85" s="274">
        <v>1064.4822629999999</v>
      </c>
      <c r="M85" s="274">
        <v>1077.8719769999998</v>
      </c>
      <c r="N85" s="274">
        <v>4347.2221500000005</v>
      </c>
      <c r="O85" s="274">
        <v>4429.958684964</v>
      </c>
      <c r="P85" s="274">
        <v>4429.958684964</v>
      </c>
      <c r="Q85" s="274">
        <v>4429.958684964</v>
      </c>
      <c r="R85" s="305">
        <v>4429.958684964</v>
      </c>
      <c r="S85" s="305"/>
      <c r="T85" s="305"/>
      <c r="U85" s="305"/>
      <c r="V85" s="273"/>
      <c r="W85" s="273"/>
      <c r="X85" s="273"/>
      <c r="Y85" s="273"/>
    </row>
    <row r="86" spans="1:25" ht="12.75">
      <c r="A86" s="304">
        <v>241</v>
      </c>
      <c r="B86" s="262" t="s">
        <v>224</v>
      </c>
      <c r="C86" s="260">
        <v>19</v>
      </c>
      <c r="D86" s="274">
        <v>30084.34107</v>
      </c>
      <c r="E86" s="274">
        <v>31158.19788730704</v>
      </c>
      <c r="F86" s="274">
        <v>32333.94728253703</v>
      </c>
      <c r="G86" s="274">
        <v>16953.766152559667</v>
      </c>
      <c r="H86" s="274">
        <v>16578.42431030703</v>
      </c>
      <c r="I86" s="274">
        <v>924.78026</v>
      </c>
      <c r="J86" s="274">
        <v>1090.483279</v>
      </c>
      <c r="K86" s="274">
        <v>1180.7316420000002</v>
      </c>
      <c r="L86" s="274">
        <v>911.3414130000001</v>
      </c>
      <c r="M86" s="274">
        <v>922.8048270000002</v>
      </c>
      <c r="N86" s="274">
        <v>3811.89896</v>
      </c>
      <c r="O86" s="274">
        <v>3740.1933731904</v>
      </c>
      <c r="P86" s="274">
        <v>3740.1933731904</v>
      </c>
      <c r="Q86" s="274">
        <v>3740.1933731904</v>
      </c>
      <c r="R86" s="305">
        <v>3740.1933731904</v>
      </c>
      <c r="S86" s="305"/>
      <c r="T86" s="305"/>
      <c r="U86" s="305"/>
      <c r="V86" s="273"/>
      <c r="W86" s="273"/>
      <c r="X86" s="273"/>
      <c r="Y86" s="273"/>
    </row>
    <row r="87" spans="1:25" ht="12.75">
      <c r="A87" s="304">
        <v>322</v>
      </c>
      <c r="B87" s="309" t="s">
        <v>129</v>
      </c>
      <c r="C87" s="260">
        <v>2</v>
      </c>
      <c r="D87" s="274">
        <v>19154.45945</v>
      </c>
      <c r="E87" s="274">
        <v>18784.685547898607</v>
      </c>
      <c r="F87" s="274">
        <v>19661.144214335076</v>
      </c>
      <c r="G87" s="274">
        <v>9734.726422654801</v>
      </c>
      <c r="H87" s="274">
        <v>9454.49133738178</v>
      </c>
      <c r="I87" s="274">
        <v>1006.4892600000001</v>
      </c>
      <c r="J87" s="274">
        <v>1118.264367</v>
      </c>
      <c r="K87" s="274">
        <v>1211.0276499999998</v>
      </c>
      <c r="L87" s="274">
        <v>934.7252249999999</v>
      </c>
      <c r="M87" s="274">
        <v>946.482775</v>
      </c>
      <c r="N87" s="274">
        <v>3220.87819</v>
      </c>
      <c r="O87" s="274">
        <v>3247.5077660735997</v>
      </c>
      <c r="P87" s="274">
        <v>3247.5077660735997</v>
      </c>
      <c r="Q87" s="274">
        <v>3247.5077660735997</v>
      </c>
      <c r="R87" s="305">
        <v>3247.5077660735997</v>
      </c>
      <c r="S87" s="305"/>
      <c r="T87" s="305"/>
      <c r="U87" s="305"/>
      <c r="V87" s="273"/>
      <c r="W87" s="273"/>
      <c r="X87" s="273"/>
      <c r="Y87" s="273"/>
    </row>
    <row r="88" spans="1:25" ht="12.75">
      <c r="A88" s="304">
        <v>244</v>
      </c>
      <c r="B88" s="262" t="s">
        <v>225</v>
      </c>
      <c r="C88" s="260">
        <v>17</v>
      </c>
      <c r="D88" s="274">
        <v>60191.766189999995</v>
      </c>
      <c r="E88" s="274">
        <v>62284.47402880053</v>
      </c>
      <c r="F88" s="274">
        <v>65211.9656200544</v>
      </c>
      <c r="G88" s="274">
        <v>33737.9815458158</v>
      </c>
      <c r="H88" s="274">
        <v>32491.108898302726</v>
      </c>
      <c r="I88" s="274">
        <v>3445.04824</v>
      </c>
      <c r="J88" s="274">
        <v>3758.7975499999993</v>
      </c>
      <c r="K88" s="274">
        <v>4083.4523039999995</v>
      </c>
      <c r="L88" s="274">
        <v>3151.790856</v>
      </c>
      <c r="M88" s="274">
        <v>3191.4360239999996</v>
      </c>
      <c r="N88" s="274">
        <v>3609.48394</v>
      </c>
      <c r="O88" s="274">
        <v>3617.5869438672003</v>
      </c>
      <c r="P88" s="274">
        <v>3617.5869438672003</v>
      </c>
      <c r="Q88" s="274">
        <v>3617.5869438672003</v>
      </c>
      <c r="R88" s="305">
        <v>3617.5869438672003</v>
      </c>
      <c r="S88" s="305"/>
      <c r="T88" s="305"/>
      <c r="U88" s="305"/>
      <c r="V88" s="273"/>
      <c r="W88" s="273"/>
      <c r="X88" s="273"/>
      <c r="Y88" s="273"/>
    </row>
    <row r="89" spans="1:25" ht="12.75">
      <c r="A89" s="304">
        <v>245</v>
      </c>
      <c r="B89" s="262" t="s">
        <v>226</v>
      </c>
      <c r="C89" s="260">
        <v>1</v>
      </c>
      <c r="D89" s="274">
        <v>135456.88463</v>
      </c>
      <c r="E89" s="274">
        <v>135193.41219891625</v>
      </c>
      <c r="F89" s="274">
        <v>142975.80524508358</v>
      </c>
      <c r="G89" s="274">
        <v>67979.52312843695</v>
      </c>
      <c r="H89" s="274">
        <v>64935.87826064463</v>
      </c>
      <c r="I89" s="274">
        <v>11635.172859999999</v>
      </c>
      <c r="J89" s="274">
        <v>9400.746721</v>
      </c>
      <c r="K89" s="274">
        <v>10176.895842</v>
      </c>
      <c r="L89" s="274">
        <v>7854.982713</v>
      </c>
      <c r="M89" s="274">
        <v>7953.787527</v>
      </c>
      <c r="N89" s="274">
        <v>9733.90024</v>
      </c>
      <c r="O89" s="274">
        <v>10166.689542715196</v>
      </c>
      <c r="P89" s="274">
        <v>10166.689542715196</v>
      </c>
      <c r="Q89" s="274">
        <v>10166.689542715196</v>
      </c>
      <c r="R89" s="305">
        <v>10166.689542715196</v>
      </c>
      <c r="S89" s="305"/>
      <c r="T89" s="305"/>
      <c r="U89" s="305"/>
      <c r="V89" s="273"/>
      <c r="W89" s="273"/>
      <c r="X89" s="273"/>
      <c r="Y89" s="273"/>
    </row>
    <row r="90" spans="1:25" ht="12.75">
      <c r="A90" s="304">
        <v>249</v>
      </c>
      <c r="B90" s="262" t="s">
        <v>227</v>
      </c>
      <c r="C90" s="260">
        <v>13</v>
      </c>
      <c r="D90" s="274">
        <v>28769.70138</v>
      </c>
      <c r="E90" s="274">
        <v>30578.834220350705</v>
      </c>
      <c r="F90" s="274">
        <v>31602.23046086207</v>
      </c>
      <c r="G90" s="274">
        <v>16777.766984896934</v>
      </c>
      <c r="H90" s="274">
        <v>16550.695966151463</v>
      </c>
      <c r="I90" s="274">
        <v>2595.19877</v>
      </c>
      <c r="J90" s="274">
        <v>2521.808665</v>
      </c>
      <c r="K90" s="274">
        <v>2730.3137</v>
      </c>
      <c r="L90" s="274">
        <v>2107.37805</v>
      </c>
      <c r="M90" s="274">
        <v>2133.88595</v>
      </c>
      <c r="N90" s="274">
        <v>2449.2297200000003</v>
      </c>
      <c r="O90" s="274">
        <v>2459.1118476024003</v>
      </c>
      <c r="P90" s="274">
        <v>2459.1118476024003</v>
      </c>
      <c r="Q90" s="274">
        <v>2459.1118476024003</v>
      </c>
      <c r="R90" s="305">
        <v>2459.1118476024003</v>
      </c>
      <c r="S90" s="305"/>
      <c r="T90" s="305"/>
      <c r="U90" s="305"/>
      <c r="V90" s="273"/>
      <c r="W90" s="273"/>
      <c r="X90" s="273"/>
      <c r="Y90" s="273"/>
    </row>
    <row r="91" spans="1:25" ht="12.75">
      <c r="A91" s="304">
        <v>250</v>
      </c>
      <c r="B91" s="262" t="s">
        <v>228</v>
      </c>
      <c r="C91" s="260">
        <v>6</v>
      </c>
      <c r="D91" s="274">
        <v>4684.94175</v>
      </c>
      <c r="E91" s="274">
        <v>4809.819553778963</v>
      </c>
      <c r="F91" s="274">
        <v>4880.582488744608</v>
      </c>
      <c r="G91" s="274">
        <v>2662.214306165931</v>
      </c>
      <c r="H91" s="274">
        <v>2636.7548277201454</v>
      </c>
      <c r="I91" s="274">
        <v>705.93522</v>
      </c>
      <c r="J91" s="274">
        <v>669.609863</v>
      </c>
      <c r="K91" s="274">
        <v>725.55054</v>
      </c>
      <c r="L91" s="274">
        <v>560.01231</v>
      </c>
      <c r="M91" s="274">
        <v>567.05649</v>
      </c>
      <c r="N91" s="274">
        <v>492.25167999999996</v>
      </c>
      <c r="O91" s="274">
        <v>556.0389820392</v>
      </c>
      <c r="P91" s="274">
        <v>556.0389820392</v>
      </c>
      <c r="Q91" s="274">
        <v>556.0389820392</v>
      </c>
      <c r="R91" s="305">
        <v>556.0389820392</v>
      </c>
      <c r="S91" s="305"/>
      <c r="T91" s="305"/>
      <c r="U91" s="305"/>
      <c r="V91" s="273"/>
      <c r="W91" s="273"/>
      <c r="X91" s="273"/>
      <c r="Y91" s="273"/>
    </row>
    <row r="92" spans="1:25" ht="12.75">
      <c r="A92" s="304">
        <v>256</v>
      </c>
      <c r="B92" s="262" t="s">
        <v>229</v>
      </c>
      <c r="C92" s="260">
        <v>13</v>
      </c>
      <c r="D92" s="274">
        <v>3838.3721</v>
      </c>
      <c r="E92" s="274">
        <v>3781.3962595703274</v>
      </c>
      <c r="F92" s="274">
        <v>4034.1551873270223</v>
      </c>
      <c r="G92" s="274">
        <v>2057.217359892637</v>
      </c>
      <c r="H92" s="274">
        <v>2012.5473521436063</v>
      </c>
      <c r="I92" s="274">
        <v>578.4305899999999</v>
      </c>
      <c r="J92" s="274">
        <v>584.690417</v>
      </c>
      <c r="K92" s="274">
        <v>633.9176199999999</v>
      </c>
      <c r="L92" s="274">
        <v>489.28593</v>
      </c>
      <c r="M92" s="274">
        <v>495.44047</v>
      </c>
      <c r="N92" s="274">
        <v>364.85187</v>
      </c>
      <c r="O92" s="274">
        <v>365.32765837200003</v>
      </c>
      <c r="P92" s="274">
        <v>365.32765837200003</v>
      </c>
      <c r="Q92" s="274">
        <v>365.32765837200003</v>
      </c>
      <c r="R92" s="305">
        <v>365.32765837200003</v>
      </c>
      <c r="S92" s="305"/>
      <c r="T92" s="305"/>
      <c r="U92" s="305"/>
      <c r="V92" s="273"/>
      <c r="W92" s="273"/>
      <c r="X92" s="273"/>
      <c r="Y92" s="273"/>
    </row>
    <row r="93" spans="1:25" ht="12.75">
      <c r="A93" s="304">
        <v>257</v>
      </c>
      <c r="B93" s="309" t="s">
        <v>230</v>
      </c>
      <c r="C93" s="260">
        <v>1</v>
      </c>
      <c r="D93" s="274">
        <v>171018.45166999998</v>
      </c>
      <c r="E93" s="274">
        <v>172991.0717794432</v>
      </c>
      <c r="F93" s="274">
        <v>182908.12815760451</v>
      </c>
      <c r="G93" s="274">
        <v>87567.64223487944</v>
      </c>
      <c r="H93" s="274">
        <v>83451.83005874154</v>
      </c>
      <c r="I93" s="274">
        <v>7264.79362</v>
      </c>
      <c r="J93" s="274">
        <v>6743.502077</v>
      </c>
      <c r="K93" s="274">
        <v>7282.277160000001</v>
      </c>
      <c r="L93" s="274">
        <v>5620.78674</v>
      </c>
      <c r="M93" s="274">
        <v>5691.48846</v>
      </c>
      <c r="N93" s="274">
        <v>11436.16956</v>
      </c>
      <c r="O93" s="274">
        <v>11517.719823568797</v>
      </c>
      <c r="P93" s="274">
        <v>11517.719823568797</v>
      </c>
      <c r="Q93" s="274">
        <v>11517.719823568797</v>
      </c>
      <c r="R93" s="305">
        <v>11517.719823568797</v>
      </c>
      <c r="S93" s="305"/>
      <c r="T93" s="305"/>
      <c r="U93" s="305"/>
      <c r="V93" s="273"/>
      <c r="W93" s="273"/>
      <c r="X93" s="273"/>
      <c r="Y93" s="273"/>
    </row>
    <row r="94" spans="1:25" ht="12.75">
      <c r="A94" s="304">
        <v>260</v>
      </c>
      <c r="B94" s="262" t="s">
        <v>231</v>
      </c>
      <c r="C94" s="260">
        <v>12</v>
      </c>
      <c r="D94" s="274">
        <v>28980.18048</v>
      </c>
      <c r="E94" s="274">
        <v>27915.688426256547</v>
      </c>
      <c r="F94" s="274">
        <v>29532.50484753587</v>
      </c>
      <c r="G94" s="274">
        <v>15631.945374157256</v>
      </c>
      <c r="H94" s="274">
        <v>15435.92289077235</v>
      </c>
      <c r="I94" s="274">
        <v>2594.07942</v>
      </c>
      <c r="J94" s="274">
        <v>2173.024292</v>
      </c>
      <c r="K94" s="274">
        <v>2354.799184</v>
      </c>
      <c r="L94" s="274">
        <v>1817.539176</v>
      </c>
      <c r="M94" s="274">
        <v>1840.4013039999998</v>
      </c>
      <c r="N94" s="274">
        <v>2747.5458399999998</v>
      </c>
      <c r="O94" s="274">
        <v>2842.862363712</v>
      </c>
      <c r="P94" s="274">
        <v>2842.862363712</v>
      </c>
      <c r="Q94" s="274">
        <v>2842.862363712</v>
      </c>
      <c r="R94" s="305">
        <v>2842.862363712</v>
      </c>
      <c r="S94" s="305"/>
      <c r="T94" s="305"/>
      <c r="U94" s="305"/>
      <c r="V94" s="273"/>
      <c r="W94" s="273"/>
      <c r="X94" s="273"/>
      <c r="Y94" s="273"/>
    </row>
    <row r="95" spans="1:25" ht="12.75">
      <c r="A95" s="304">
        <v>261</v>
      </c>
      <c r="B95" s="262" t="s">
        <v>232</v>
      </c>
      <c r="C95" s="260">
        <v>19</v>
      </c>
      <c r="D95" s="274">
        <v>19635.54236</v>
      </c>
      <c r="E95" s="274">
        <v>20088.179216637942</v>
      </c>
      <c r="F95" s="274">
        <v>20896.86617633873</v>
      </c>
      <c r="G95" s="274">
        <v>10776.203622835885</v>
      </c>
      <c r="H95" s="274">
        <v>10508.150162167252</v>
      </c>
      <c r="I95" s="274">
        <v>2402.2880800000003</v>
      </c>
      <c r="J95" s="274">
        <v>2182.7990080000004</v>
      </c>
      <c r="K95" s="274">
        <v>2366.070474</v>
      </c>
      <c r="L95" s="274">
        <v>1826.2388610000003</v>
      </c>
      <c r="M95" s="274">
        <v>1849.2104190000002</v>
      </c>
      <c r="N95" s="274">
        <v>7106.046969999999</v>
      </c>
      <c r="O95" s="274">
        <v>6889.067504503199</v>
      </c>
      <c r="P95" s="274">
        <v>6889.067504503199</v>
      </c>
      <c r="Q95" s="274">
        <v>6889.067504503199</v>
      </c>
      <c r="R95" s="305">
        <v>6889.067504503199</v>
      </c>
      <c r="S95" s="305"/>
      <c r="T95" s="305"/>
      <c r="U95" s="305"/>
      <c r="V95" s="273"/>
      <c r="W95" s="273"/>
      <c r="X95" s="273"/>
      <c r="Y95" s="273"/>
    </row>
    <row r="96" spans="1:25" ht="12.75">
      <c r="A96" s="304">
        <v>263</v>
      </c>
      <c r="B96" s="262" t="s">
        <v>233</v>
      </c>
      <c r="C96" s="260">
        <v>11</v>
      </c>
      <c r="D96" s="274">
        <v>20787.471920000004</v>
      </c>
      <c r="E96" s="274">
        <v>20571.527296182485</v>
      </c>
      <c r="F96" s="274">
        <v>21519.622197983645</v>
      </c>
      <c r="G96" s="274">
        <v>11160.127142120291</v>
      </c>
      <c r="H96" s="274">
        <v>10932.136002198176</v>
      </c>
      <c r="I96" s="274">
        <v>1985.72617</v>
      </c>
      <c r="J96" s="274">
        <v>1861.046262</v>
      </c>
      <c r="K96" s="274">
        <v>2013.218842</v>
      </c>
      <c r="L96" s="274">
        <v>1553.8922130000003</v>
      </c>
      <c r="M96" s="274">
        <v>1573.4380270000001</v>
      </c>
      <c r="N96" s="274">
        <v>1717.1331200000002</v>
      </c>
      <c r="O96" s="274">
        <v>1693.3590483312</v>
      </c>
      <c r="P96" s="274">
        <v>1693.3590483312</v>
      </c>
      <c r="Q96" s="274">
        <v>1693.3590483312</v>
      </c>
      <c r="R96" s="305">
        <v>1693.3590483312</v>
      </c>
      <c r="S96" s="305"/>
      <c r="T96" s="305"/>
      <c r="U96" s="305"/>
      <c r="V96" s="273"/>
      <c r="W96" s="273"/>
      <c r="X96" s="273"/>
      <c r="Y96" s="273"/>
    </row>
    <row r="97" spans="1:25" ht="12.75">
      <c r="A97" s="304">
        <v>265</v>
      </c>
      <c r="B97" s="262" t="s">
        <v>234</v>
      </c>
      <c r="C97" s="260">
        <v>13</v>
      </c>
      <c r="D97" s="274">
        <v>2518.06671</v>
      </c>
      <c r="E97" s="274">
        <v>2580.5518748709133</v>
      </c>
      <c r="F97" s="274">
        <v>2663.730536218668</v>
      </c>
      <c r="G97" s="274">
        <v>1475.0360016835295</v>
      </c>
      <c r="H97" s="274">
        <v>1445.7739049384843</v>
      </c>
      <c r="I97" s="274">
        <v>619.32562</v>
      </c>
      <c r="J97" s="274">
        <v>628.412179</v>
      </c>
      <c r="K97" s="274">
        <v>681.2908219999999</v>
      </c>
      <c r="L97" s="274">
        <v>525.850683</v>
      </c>
      <c r="M97" s="274">
        <v>532.465157</v>
      </c>
      <c r="N97" s="274">
        <v>378.79338</v>
      </c>
      <c r="O97" s="274">
        <v>435.402574344</v>
      </c>
      <c r="P97" s="274">
        <v>435.402574344</v>
      </c>
      <c r="Q97" s="274">
        <v>435.402574344</v>
      </c>
      <c r="R97" s="305">
        <v>435.402574344</v>
      </c>
      <c r="S97" s="305"/>
      <c r="T97" s="305"/>
      <c r="U97" s="305"/>
      <c r="V97" s="273"/>
      <c r="W97" s="273"/>
      <c r="X97" s="273"/>
      <c r="Y97" s="273"/>
    </row>
    <row r="98" spans="1:25" ht="12.75">
      <c r="A98" s="304">
        <v>271</v>
      </c>
      <c r="B98" s="262" t="s">
        <v>235</v>
      </c>
      <c r="C98" s="260">
        <v>4</v>
      </c>
      <c r="D98" s="274">
        <v>22875.12394</v>
      </c>
      <c r="E98" s="274">
        <v>22946.297573553573</v>
      </c>
      <c r="F98" s="274">
        <v>23770.382671046285</v>
      </c>
      <c r="G98" s="274">
        <v>12809.958731104687</v>
      </c>
      <c r="H98" s="274">
        <v>12640.231772694251</v>
      </c>
      <c r="I98" s="274">
        <v>1652.73537</v>
      </c>
      <c r="J98" s="274">
        <v>1237.718918</v>
      </c>
      <c r="K98" s="274">
        <v>1333.7268119999999</v>
      </c>
      <c r="L98" s="274">
        <v>1029.4299179999998</v>
      </c>
      <c r="M98" s="274">
        <v>1042.378722</v>
      </c>
      <c r="N98" s="274">
        <v>2300.77966</v>
      </c>
      <c r="O98" s="274">
        <v>2495.1367845696</v>
      </c>
      <c r="P98" s="274">
        <v>2495.1367845696</v>
      </c>
      <c r="Q98" s="274">
        <v>2495.1367845696</v>
      </c>
      <c r="R98" s="305">
        <v>2495.1367845696</v>
      </c>
      <c r="S98" s="305"/>
      <c r="T98" s="305"/>
      <c r="U98" s="305"/>
      <c r="V98" s="273"/>
      <c r="W98" s="273"/>
      <c r="X98" s="273"/>
      <c r="Y98" s="273"/>
    </row>
    <row r="99" spans="1:25" ht="12.75">
      <c r="A99" s="304">
        <v>272</v>
      </c>
      <c r="B99" s="310" t="s">
        <v>236</v>
      </c>
      <c r="C99" s="260">
        <v>16</v>
      </c>
      <c r="D99" s="274">
        <v>159223.45509</v>
      </c>
      <c r="E99" s="274">
        <v>162075.7452848587</v>
      </c>
      <c r="F99" s="274">
        <v>169441.6095218703</v>
      </c>
      <c r="G99" s="274">
        <v>92627.17744017387</v>
      </c>
      <c r="H99" s="274">
        <v>90646.70730719875</v>
      </c>
      <c r="I99" s="274">
        <v>16028.02318</v>
      </c>
      <c r="J99" s="274">
        <v>16027.113091</v>
      </c>
      <c r="K99" s="274">
        <v>17362.45147</v>
      </c>
      <c r="L99" s="274">
        <v>13401.115455000001</v>
      </c>
      <c r="M99" s="274">
        <v>13569.682945</v>
      </c>
      <c r="N99" s="274">
        <v>15457.07964</v>
      </c>
      <c r="O99" s="274">
        <v>15334.851163116002</v>
      </c>
      <c r="P99" s="274">
        <v>15334.851163116002</v>
      </c>
      <c r="Q99" s="274">
        <v>15334.851163116002</v>
      </c>
      <c r="R99" s="305">
        <v>15334.851163116002</v>
      </c>
      <c r="S99" s="305"/>
      <c r="T99" s="305"/>
      <c r="U99" s="305"/>
      <c r="V99" s="273"/>
      <c r="W99" s="273"/>
      <c r="X99" s="273"/>
      <c r="Y99" s="273"/>
    </row>
    <row r="100" spans="1:25" ht="12.75">
      <c r="A100" s="304">
        <v>273</v>
      </c>
      <c r="B100" s="262" t="s">
        <v>237</v>
      </c>
      <c r="C100" s="260">
        <v>19</v>
      </c>
      <c r="D100" s="274">
        <v>9989.80715</v>
      </c>
      <c r="E100" s="274">
        <v>10754.81092790793</v>
      </c>
      <c r="F100" s="274">
        <v>10744.48028031887</v>
      </c>
      <c r="G100" s="274">
        <v>5609.003900359942</v>
      </c>
      <c r="H100" s="274">
        <v>5476.198361276434</v>
      </c>
      <c r="I100" s="274">
        <v>731.94804</v>
      </c>
      <c r="J100" s="274">
        <v>801.300969</v>
      </c>
      <c r="K100" s="274">
        <v>868.2525079999999</v>
      </c>
      <c r="L100" s="274">
        <v>670.156062</v>
      </c>
      <c r="M100" s="274">
        <v>678.5856979999999</v>
      </c>
      <c r="N100" s="274">
        <v>3409.5943500000003</v>
      </c>
      <c r="O100" s="274">
        <v>3695.0538686735995</v>
      </c>
      <c r="P100" s="274">
        <v>3695.0538686735995</v>
      </c>
      <c r="Q100" s="274">
        <v>3695.0538686735995</v>
      </c>
      <c r="R100" s="305">
        <v>3695.0538686735995</v>
      </c>
      <c r="S100" s="305"/>
      <c r="T100" s="305"/>
      <c r="U100" s="305"/>
      <c r="V100" s="273"/>
      <c r="W100" s="273"/>
      <c r="X100" s="273"/>
      <c r="Y100" s="273"/>
    </row>
    <row r="101" spans="1:25" ht="12.75">
      <c r="A101" s="304">
        <v>275</v>
      </c>
      <c r="B101" s="262" t="s">
        <v>238</v>
      </c>
      <c r="C101" s="260">
        <v>13</v>
      </c>
      <c r="D101" s="274">
        <v>7240.68974</v>
      </c>
      <c r="E101" s="274">
        <v>7447.73763123352</v>
      </c>
      <c r="F101" s="274">
        <v>7775.748904806005</v>
      </c>
      <c r="G101" s="274">
        <v>4272.9224379609705</v>
      </c>
      <c r="H101" s="274">
        <v>4221.918373682055</v>
      </c>
      <c r="I101" s="274">
        <v>807.9441800000001</v>
      </c>
      <c r="J101" s="274">
        <v>831.632524</v>
      </c>
      <c r="K101" s="274">
        <v>901.4090319999999</v>
      </c>
      <c r="L101" s="274">
        <v>695.747748</v>
      </c>
      <c r="M101" s="274">
        <v>704.499292</v>
      </c>
      <c r="N101" s="274">
        <v>765.2450799999999</v>
      </c>
      <c r="O101" s="274">
        <v>779.309741388</v>
      </c>
      <c r="P101" s="274">
        <v>779.309741388</v>
      </c>
      <c r="Q101" s="274">
        <v>779.309741388</v>
      </c>
      <c r="R101" s="305">
        <v>779.309741388</v>
      </c>
      <c r="S101" s="305"/>
      <c r="T101" s="305"/>
      <c r="U101" s="305"/>
      <c r="V101" s="273"/>
      <c r="W101" s="273"/>
      <c r="X101" s="273"/>
      <c r="Y101" s="273"/>
    </row>
    <row r="102" spans="1:25" ht="12.75">
      <c r="A102" s="304">
        <v>276</v>
      </c>
      <c r="B102" s="262" t="s">
        <v>239</v>
      </c>
      <c r="C102" s="260">
        <v>12</v>
      </c>
      <c r="D102" s="274">
        <v>46162.35587</v>
      </c>
      <c r="E102" s="274">
        <v>46745.2617502957</v>
      </c>
      <c r="F102" s="274">
        <v>49699.053476888505</v>
      </c>
      <c r="G102" s="274">
        <v>25758.9740694714</v>
      </c>
      <c r="H102" s="274">
        <v>24892.391704746307</v>
      </c>
      <c r="I102" s="274">
        <v>1873.19895</v>
      </c>
      <c r="J102" s="274">
        <v>1449.338667</v>
      </c>
      <c r="K102" s="274">
        <v>1569.301202</v>
      </c>
      <c r="L102" s="274">
        <v>1211.2567530000001</v>
      </c>
      <c r="M102" s="274">
        <v>1226.4926870000002</v>
      </c>
      <c r="N102" s="274">
        <v>2721.19237</v>
      </c>
      <c r="O102" s="274">
        <v>2765.8736956727994</v>
      </c>
      <c r="P102" s="274">
        <v>2765.8736956727994</v>
      </c>
      <c r="Q102" s="274">
        <v>2765.8736956727994</v>
      </c>
      <c r="R102" s="305">
        <v>2765.8736956727994</v>
      </c>
      <c r="S102" s="305"/>
      <c r="T102" s="305"/>
      <c r="U102" s="305"/>
      <c r="V102" s="273"/>
      <c r="W102" s="273"/>
      <c r="X102" s="273"/>
      <c r="Y102" s="273"/>
    </row>
    <row r="103" spans="1:25" ht="12.75">
      <c r="A103" s="304">
        <v>280</v>
      </c>
      <c r="B103" s="262" t="s">
        <v>240</v>
      </c>
      <c r="C103" s="260">
        <v>15</v>
      </c>
      <c r="D103" s="274">
        <v>5403.72713</v>
      </c>
      <c r="E103" s="274">
        <v>5392.609551271669</v>
      </c>
      <c r="F103" s="274">
        <v>5601.967518288406</v>
      </c>
      <c r="G103" s="274">
        <v>3141.8369880907753</v>
      </c>
      <c r="H103" s="274">
        <v>3075.7243282278623</v>
      </c>
      <c r="I103" s="274">
        <v>974.50162</v>
      </c>
      <c r="J103" s="274">
        <v>867.0317249999999</v>
      </c>
      <c r="K103" s="274">
        <v>939.345374</v>
      </c>
      <c r="L103" s="274">
        <v>725.0287109999999</v>
      </c>
      <c r="M103" s="274">
        <v>734.1485689999998</v>
      </c>
      <c r="N103" s="274">
        <v>708.5968</v>
      </c>
      <c r="O103" s="274">
        <v>743.7768452568</v>
      </c>
      <c r="P103" s="274">
        <v>743.7768452568</v>
      </c>
      <c r="Q103" s="274">
        <v>743.7768452568</v>
      </c>
      <c r="R103" s="305">
        <v>743.7768452568</v>
      </c>
      <c r="S103" s="305"/>
      <c r="T103" s="305"/>
      <c r="U103" s="305"/>
      <c r="V103" s="273"/>
      <c r="W103" s="273"/>
      <c r="X103" s="273"/>
      <c r="Y103" s="273"/>
    </row>
    <row r="104" spans="1:25" ht="12.75">
      <c r="A104" s="304">
        <v>284</v>
      </c>
      <c r="B104" s="262" t="s">
        <v>241</v>
      </c>
      <c r="C104" s="260">
        <v>2</v>
      </c>
      <c r="D104" s="274">
        <v>6359.410879999999</v>
      </c>
      <c r="E104" s="274">
        <v>5955.886685020217</v>
      </c>
      <c r="F104" s="274">
        <v>6406.566695343815</v>
      </c>
      <c r="G104" s="274">
        <v>3077.0829398432898</v>
      </c>
      <c r="H104" s="274">
        <v>2979.6640597734627</v>
      </c>
      <c r="I104" s="274">
        <v>543.47845</v>
      </c>
      <c r="J104" s="274">
        <v>619.4791280000001</v>
      </c>
      <c r="K104" s="274">
        <v>672.019998</v>
      </c>
      <c r="L104" s="274">
        <v>518.695047</v>
      </c>
      <c r="M104" s="274">
        <v>525.2195129999999</v>
      </c>
      <c r="N104" s="274">
        <v>536.01036</v>
      </c>
      <c r="O104" s="274">
        <v>522.4489905624</v>
      </c>
      <c r="P104" s="274">
        <v>522.4489905624</v>
      </c>
      <c r="Q104" s="274">
        <v>522.4489905624</v>
      </c>
      <c r="R104" s="305">
        <v>522.4489905624</v>
      </c>
      <c r="S104" s="305"/>
      <c r="T104" s="305"/>
      <c r="U104" s="305"/>
      <c r="V104" s="273"/>
      <c r="W104" s="273"/>
      <c r="X104" s="273"/>
      <c r="Y104" s="273"/>
    </row>
    <row r="105" spans="1:25" ht="12.75">
      <c r="A105" s="304">
        <v>285</v>
      </c>
      <c r="B105" s="262" t="s">
        <v>242</v>
      </c>
      <c r="C105" s="260">
        <v>8</v>
      </c>
      <c r="D105" s="274">
        <v>191006.38755</v>
      </c>
      <c r="E105" s="274">
        <v>193336.6563028465</v>
      </c>
      <c r="F105" s="274">
        <v>201079.10157879654</v>
      </c>
      <c r="G105" s="274">
        <v>105891.24756299963</v>
      </c>
      <c r="H105" s="274">
        <v>104153.27895241586</v>
      </c>
      <c r="I105" s="274">
        <v>10128.32592</v>
      </c>
      <c r="J105" s="274">
        <v>9821.696474</v>
      </c>
      <c r="K105" s="274">
        <v>10627.50704</v>
      </c>
      <c r="L105" s="274">
        <v>8202.78456</v>
      </c>
      <c r="M105" s="274">
        <v>8305.96424</v>
      </c>
      <c r="N105" s="274">
        <v>15045.884800000002</v>
      </c>
      <c r="O105" s="274">
        <v>15072.6014988</v>
      </c>
      <c r="P105" s="274">
        <v>15072.6014988</v>
      </c>
      <c r="Q105" s="274">
        <v>15072.6014988</v>
      </c>
      <c r="R105" s="305">
        <v>15072.6014988</v>
      </c>
      <c r="S105" s="305"/>
      <c r="T105" s="305"/>
      <c r="U105" s="305"/>
      <c r="V105" s="273"/>
      <c r="W105" s="273"/>
      <c r="X105" s="273"/>
      <c r="Y105" s="273"/>
    </row>
    <row r="106" spans="1:25" ht="12.75">
      <c r="A106" s="304">
        <v>286</v>
      </c>
      <c r="B106" s="262" t="s">
        <v>243</v>
      </c>
      <c r="C106" s="260">
        <v>8</v>
      </c>
      <c r="D106" s="274">
        <v>289189.36488</v>
      </c>
      <c r="E106" s="274">
        <v>291520.39804149565</v>
      </c>
      <c r="F106" s="274">
        <v>303297.20139215357</v>
      </c>
      <c r="G106" s="274">
        <v>154154.8361686571</v>
      </c>
      <c r="H106" s="274">
        <v>150877.60704732174</v>
      </c>
      <c r="I106" s="274">
        <v>20631.09481</v>
      </c>
      <c r="J106" s="274">
        <v>20813.471135</v>
      </c>
      <c r="K106" s="274">
        <v>22548.715504</v>
      </c>
      <c r="L106" s="274">
        <v>17404.105656</v>
      </c>
      <c r="M106" s="274">
        <v>17623.025224</v>
      </c>
      <c r="N106" s="274">
        <v>28306.38024</v>
      </c>
      <c r="O106" s="274">
        <v>28022.120864303994</v>
      </c>
      <c r="P106" s="274">
        <v>28022.120864303994</v>
      </c>
      <c r="Q106" s="274">
        <v>28022.120864303994</v>
      </c>
      <c r="R106" s="305">
        <v>28022.120864303994</v>
      </c>
      <c r="S106" s="305"/>
      <c r="T106" s="305"/>
      <c r="U106" s="305"/>
      <c r="V106" s="273"/>
      <c r="W106" s="273"/>
      <c r="X106" s="273"/>
      <c r="Y106" s="273"/>
    </row>
    <row r="107" spans="1:25" ht="12.75">
      <c r="A107" s="304">
        <v>287</v>
      </c>
      <c r="B107" s="310" t="s">
        <v>244</v>
      </c>
      <c r="C107" s="260">
        <v>15</v>
      </c>
      <c r="D107" s="274">
        <v>20405.436329999997</v>
      </c>
      <c r="E107" s="274">
        <v>20258.134117151163</v>
      </c>
      <c r="F107" s="274">
        <v>20940.8435472309</v>
      </c>
      <c r="G107" s="274">
        <v>11295.88774481479</v>
      </c>
      <c r="H107" s="274">
        <v>11160.538707460168</v>
      </c>
      <c r="I107" s="274">
        <v>1573.4136799999999</v>
      </c>
      <c r="J107" s="274">
        <v>1563.832846</v>
      </c>
      <c r="K107" s="274">
        <v>1695.1840940000002</v>
      </c>
      <c r="L107" s="274">
        <v>1308.418791</v>
      </c>
      <c r="M107" s="274">
        <v>1324.876889</v>
      </c>
      <c r="N107" s="274">
        <v>2118.3498799999998</v>
      </c>
      <c r="O107" s="274">
        <v>2718.4738443624005</v>
      </c>
      <c r="P107" s="274">
        <v>2718.4738443624005</v>
      </c>
      <c r="Q107" s="274">
        <v>2718.4738443624005</v>
      </c>
      <c r="R107" s="305">
        <v>2718.4738443624005</v>
      </c>
      <c r="S107" s="305"/>
      <c r="T107" s="305"/>
      <c r="U107" s="305"/>
      <c r="V107" s="273"/>
      <c r="W107" s="273"/>
      <c r="X107" s="273"/>
      <c r="Y107" s="273"/>
    </row>
    <row r="108" spans="1:25" ht="12.75">
      <c r="A108" s="304">
        <v>288</v>
      </c>
      <c r="B108" s="262" t="s">
        <v>245</v>
      </c>
      <c r="C108" s="260">
        <v>15</v>
      </c>
      <c r="D108" s="274">
        <v>18707.031440000002</v>
      </c>
      <c r="E108" s="274">
        <v>20197.253683128958</v>
      </c>
      <c r="F108" s="274">
        <v>20907.550787896904</v>
      </c>
      <c r="G108" s="274">
        <v>11748.221578152741</v>
      </c>
      <c r="H108" s="274">
        <v>11464.58695349848</v>
      </c>
      <c r="I108" s="274">
        <v>2466.58853</v>
      </c>
      <c r="J108" s="274">
        <v>2396.0273490000004</v>
      </c>
      <c r="K108" s="274">
        <v>2600.6968520000005</v>
      </c>
      <c r="L108" s="274">
        <v>2007.333978</v>
      </c>
      <c r="M108" s="274">
        <v>2032.5834620000003</v>
      </c>
      <c r="N108" s="274">
        <v>1584.5253400000001</v>
      </c>
      <c r="O108" s="274">
        <v>1803.9903978000002</v>
      </c>
      <c r="P108" s="274">
        <v>1803.9903978000002</v>
      </c>
      <c r="Q108" s="274">
        <v>1803.9903978000002</v>
      </c>
      <c r="R108" s="305">
        <v>1803.9903978000002</v>
      </c>
      <c r="S108" s="305"/>
      <c r="T108" s="305"/>
      <c r="U108" s="305"/>
      <c r="V108" s="273"/>
      <c r="W108" s="273"/>
      <c r="X108" s="273"/>
      <c r="Y108" s="273"/>
    </row>
    <row r="109" spans="1:25" ht="12.75">
      <c r="A109" s="304">
        <v>290</v>
      </c>
      <c r="B109" s="262" t="s">
        <v>246</v>
      </c>
      <c r="C109" s="260">
        <v>18</v>
      </c>
      <c r="D109" s="274">
        <v>23768.05859</v>
      </c>
      <c r="E109" s="274">
        <v>23679.31764719342</v>
      </c>
      <c r="F109" s="274">
        <v>24345.782667008883</v>
      </c>
      <c r="G109" s="274">
        <v>12923.361871963112</v>
      </c>
      <c r="H109" s="274">
        <v>12779.262520941533</v>
      </c>
      <c r="I109" s="274">
        <v>3190.27755</v>
      </c>
      <c r="J109" s="274">
        <v>2921.689069</v>
      </c>
      <c r="K109" s="274">
        <v>3163.87263</v>
      </c>
      <c r="L109" s="274">
        <v>2442.018195</v>
      </c>
      <c r="M109" s="274">
        <v>2472.735405</v>
      </c>
      <c r="N109" s="274">
        <v>2140.7585</v>
      </c>
      <c r="O109" s="274">
        <v>2115.7563479568003</v>
      </c>
      <c r="P109" s="274">
        <v>2115.7563479568003</v>
      </c>
      <c r="Q109" s="274">
        <v>2115.7563479568003</v>
      </c>
      <c r="R109" s="305">
        <v>2115.7563479568003</v>
      </c>
      <c r="S109" s="305"/>
      <c r="T109" s="305"/>
      <c r="U109" s="305"/>
      <c r="V109" s="273"/>
      <c r="W109" s="273"/>
      <c r="X109" s="273"/>
      <c r="Y109" s="273"/>
    </row>
    <row r="110" spans="1:25" ht="12.75">
      <c r="A110" s="304">
        <v>291</v>
      </c>
      <c r="B110" s="262" t="s">
        <v>247</v>
      </c>
      <c r="C110" s="260">
        <v>13</v>
      </c>
      <c r="D110" s="274">
        <v>5720.395259999999</v>
      </c>
      <c r="E110" s="274">
        <v>5979.86526728883</v>
      </c>
      <c r="F110" s="274">
        <v>5980.307627359386</v>
      </c>
      <c r="G110" s="274">
        <v>3084.652713583453</v>
      </c>
      <c r="H110" s="274">
        <v>3027.8068811489334</v>
      </c>
      <c r="I110" s="274">
        <v>1005.6965</v>
      </c>
      <c r="J110" s="274">
        <v>1029.914958</v>
      </c>
      <c r="K110" s="274">
        <v>1117.142532</v>
      </c>
      <c r="L110" s="274">
        <v>862.2604979999999</v>
      </c>
      <c r="M110" s="274">
        <v>873.106542</v>
      </c>
      <c r="N110" s="274">
        <v>1340.7714799999999</v>
      </c>
      <c r="O110" s="274">
        <v>1335.1669247040002</v>
      </c>
      <c r="P110" s="274">
        <v>1335.1669247040002</v>
      </c>
      <c r="Q110" s="274">
        <v>1335.1669247040002</v>
      </c>
      <c r="R110" s="305">
        <v>1335.1669247040002</v>
      </c>
      <c r="S110" s="305"/>
      <c r="T110" s="305"/>
      <c r="U110" s="305"/>
      <c r="V110" s="273"/>
      <c r="W110" s="273"/>
      <c r="X110" s="273"/>
      <c r="Y110" s="273"/>
    </row>
    <row r="111" spans="1:25" ht="12.75">
      <c r="A111" s="304">
        <v>297</v>
      </c>
      <c r="B111" s="262" t="s">
        <v>248</v>
      </c>
      <c r="C111" s="260">
        <v>11</v>
      </c>
      <c r="D111" s="274">
        <v>388774.47106999997</v>
      </c>
      <c r="E111" s="274">
        <v>389723.12590982777</v>
      </c>
      <c r="F111" s="274">
        <v>412417.65935075</v>
      </c>
      <c r="G111" s="274">
        <v>212652.4103878384</v>
      </c>
      <c r="H111" s="274">
        <v>206216.9585857159</v>
      </c>
      <c r="I111" s="274">
        <v>25536.82243</v>
      </c>
      <c r="J111" s="274">
        <v>24452.113984</v>
      </c>
      <c r="K111" s="274">
        <v>26518.906329999998</v>
      </c>
      <c r="L111" s="274">
        <v>20468.476245</v>
      </c>
      <c r="M111" s="274">
        <v>20725.941355</v>
      </c>
      <c r="N111" s="274">
        <v>38433.51636</v>
      </c>
      <c r="O111" s="274">
        <v>38460.03350829119</v>
      </c>
      <c r="P111" s="274">
        <v>38460.03350829119</v>
      </c>
      <c r="Q111" s="274">
        <v>38460.03350829119</v>
      </c>
      <c r="R111" s="305">
        <v>38460.03350829119</v>
      </c>
      <c r="S111" s="305"/>
      <c r="T111" s="305"/>
      <c r="U111" s="305"/>
      <c r="V111" s="273"/>
      <c r="W111" s="273"/>
      <c r="X111" s="273"/>
      <c r="Y111" s="273"/>
    </row>
    <row r="112" spans="1:25" ht="12.75">
      <c r="A112" s="304">
        <v>300</v>
      </c>
      <c r="B112" s="262" t="s">
        <v>249</v>
      </c>
      <c r="C112" s="260">
        <v>14</v>
      </c>
      <c r="D112" s="274">
        <v>9699.98044</v>
      </c>
      <c r="E112" s="274">
        <v>9545.80969670587</v>
      </c>
      <c r="F112" s="274">
        <v>9882.253399826093</v>
      </c>
      <c r="G112" s="274">
        <v>5216.4475115455925</v>
      </c>
      <c r="H112" s="274">
        <v>5126.183775726116</v>
      </c>
      <c r="I112" s="274">
        <v>755.04972</v>
      </c>
      <c r="J112" s="274">
        <v>719.053709</v>
      </c>
      <c r="K112" s="274">
        <v>779.2226039999999</v>
      </c>
      <c r="L112" s="274">
        <v>601.438806</v>
      </c>
      <c r="M112" s="274">
        <v>609.004074</v>
      </c>
      <c r="N112" s="274">
        <v>848.8908299999999</v>
      </c>
      <c r="O112" s="274">
        <v>839.5068158688001</v>
      </c>
      <c r="P112" s="274">
        <v>839.5068158688001</v>
      </c>
      <c r="Q112" s="274">
        <v>839.5068158688001</v>
      </c>
      <c r="R112" s="305">
        <v>839.5068158688001</v>
      </c>
      <c r="S112" s="305"/>
      <c r="T112" s="305"/>
      <c r="U112" s="305"/>
      <c r="V112" s="273"/>
      <c r="W112" s="273"/>
      <c r="X112" s="273"/>
      <c r="Y112" s="273"/>
    </row>
    <row r="113" spans="1:25" ht="12.75">
      <c r="A113" s="304">
        <v>301</v>
      </c>
      <c r="B113" s="262" t="s">
        <v>250</v>
      </c>
      <c r="C113" s="260">
        <v>14</v>
      </c>
      <c r="D113" s="274">
        <v>57838.90812</v>
      </c>
      <c r="E113" s="274">
        <v>58593.15079807786</v>
      </c>
      <c r="F113" s="274">
        <v>61085.65213644525</v>
      </c>
      <c r="G113" s="274">
        <v>32214.324704448958</v>
      </c>
      <c r="H113" s="274">
        <v>31577.435437378834</v>
      </c>
      <c r="I113" s="274">
        <v>4317.69034</v>
      </c>
      <c r="J113" s="274">
        <v>4116.391237</v>
      </c>
      <c r="K113" s="274">
        <v>4451.538872</v>
      </c>
      <c r="L113" s="274">
        <v>3435.8965080000003</v>
      </c>
      <c r="M113" s="274">
        <v>3479.1153320000003</v>
      </c>
      <c r="N113" s="274">
        <v>4335.68504</v>
      </c>
      <c r="O113" s="274">
        <v>4392.0743362344</v>
      </c>
      <c r="P113" s="274">
        <v>4392.0743362344</v>
      </c>
      <c r="Q113" s="274">
        <v>4392.0743362344</v>
      </c>
      <c r="R113" s="305">
        <v>4392.0743362344</v>
      </c>
      <c r="S113" s="305"/>
      <c r="T113" s="305"/>
      <c r="U113" s="305"/>
      <c r="V113" s="273"/>
      <c r="W113" s="273"/>
      <c r="X113" s="273"/>
      <c r="Y113" s="273"/>
    </row>
    <row r="114" spans="1:25" ht="12.75">
      <c r="A114" s="304">
        <v>304</v>
      </c>
      <c r="B114" s="262" t="s">
        <v>251</v>
      </c>
      <c r="C114" s="260">
        <v>2</v>
      </c>
      <c r="D114" s="274">
        <v>2425.18455</v>
      </c>
      <c r="E114" s="274">
        <v>2860.0694794546016</v>
      </c>
      <c r="F114" s="274">
        <v>2773.6462888812225</v>
      </c>
      <c r="G114" s="274">
        <v>1315.7882878835521</v>
      </c>
      <c r="H114" s="274">
        <v>1263.079383522631</v>
      </c>
      <c r="I114" s="274">
        <v>201.19039999999998</v>
      </c>
      <c r="J114" s="274">
        <v>232.98742399999998</v>
      </c>
      <c r="K114" s="274">
        <v>252.84481199999996</v>
      </c>
      <c r="L114" s="274">
        <v>195.15691799999996</v>
      </c>
      <c r="M114" s="274">
        <v>197.611722</v>
      </c>
      <c r="N114" s="274">
        <v>1402.42194</v>
      </c>
      <c r="O114" s="274">
        <v>1413.2273077824</v>
      </c>
      <c r="P114" s="274">
        <v>1413.2273077824</v>
      </c>
      <c r="Q114" s="274">
        <v>1413.2273077824</v>
      </c>
      <c r="R114" s="305">
        <v>1413.2273077824</v>
      </c>
      <c r="S114" s="305"/>
      <c r="T114" s="305"/>
      <c r="U114" s="305"/>
      <c r="V114" s="273"/>
      <c r="W114" s="273"/>
      <c r="X114" s="273"/>
      <c r="Y114" s="273"/>
    </row>
    <row r="115" spans="1:25" ht="12.75">
      <c r="A115" s="304">
        <v>305</v>
      </c>
      <c r="B115" s="262" t="s">
        <v>252</v>
      </c>
      <c r="C115" s="260">
        <v>17</v>
      </c>
      <c r="D115" s="274">
        <v>41782.8415</v>
      </c>
      <c r="E115" s="274">
        <v>41565.116371390824</v>
      </c>
      <c r="F115" s="274">
        <v>43292.56484216093</v>
      </c>
      <c r="G115" s="274">
        <v>21727.009295904376</v>
      </c>
      <c r="H115" s="274">
        <v>21121.799815339436</v>
      </c>
      <c r="I115" s="274">
        <v>4066.8434300000004</v>
      </c>
      <c r="J115" s="274">
        <v>3949.001214</v>
      </c>
      <c r="K115" s="274">
        <v>4276.802462</v>
      </c>
      <c r="L115" s="274">
        <v>3301.027143</v>
      </c>
      <c r="M115" s="274">
        <v>3342.549497</v>
      </c>
      <c r="N115" s="274">
        <v>6736.5134100000005</v>
      </c>
      <c r="O115" s="274">
        <v>7246.145753808</v>
      </c>
      <c r="P115" s="274">
        <v>7246.145753808</v>
      </c>
      <c r="Q115" s="274">
        <v>7246.145753808</v>
      </c>
      <c r="R115" s="305">
        <v>7246.145753808</v>
      </c>
      <c r="S115" s="305"/>
      <c r="T115" s="305"/>
      <c r="U115" s="305"/>
      <c r="V115" s="273"/>
      <c r="W115" s="273"/>
      <c r="X115" s="273"/>
      <c r="Y115" s="273"/>
    </row>
    <row r="116" spans="1:25" ht="12.75">
      <c r="A116" s="304">
        <v>312</v>
      </c>
      <c r="B116" s="262" t="s">
        <v>253</v>
      </c>
      <c r="C116" s="260">
        <v>13</v>
      </c>
      <c r="D116" s="274">
        <v>3422.66246</v>
      </c>
      <c r="E116" s="274">
        <v>3647.8814973820363</v>
      </c>
      <c r="F116" s="274">
        <v>3688.8460015163037</v>
      </c>
      <c r="G116" s="274">
        <v>1966.8464168118965</v>
      </c>
      <c r="H116" s="274">
        <v>1956.1617129611684</v>
      </c>
      <c r="I116" s="274">
        <v>577.0068</v>
      </c>
      <c r="J116" s="274">
        <v>624.6401619999999</v>
      </c>
      <c r="K116" s="274">
        <v>676.5519979999999</v>
      </c>
      <c r="L116" s="274">
        <v>522.193047</v>
      </c>
      <c r="M116" s="274">
        <v>528.7615129999999</v>
      </c>
      <c r="N116" s="274">
        <v>320.68012</v>
      </c>
      <c r="O116" s="274">
        <v>382.44053619600004</v>
      </c>
      <c r="P116" s="274">
        <v>382.44053619600004</v>
      </c>
      <c r="Q116" s="274">
        <v>382.44053619600004</v>
      </c>
      <c r="R116" s="305">
        <v>382.44053619600004</v>
      </c>
      <c r="S116" s="305"/>
      <c r="T116" s="305"/>
      <c r="U116" s="305"/>
      <c r="V116" s="273"/>
      <c r="W116" s="273"/>
      <c r="X116" s="273"/>
      <c r="Y116" s="273"/>
    </row>
    <row r="117" spans="1:25" ht="12.75">
      <c r="A117" s="304">
        <v>316</v>
      </c>
      <c r="B117" s="262" t="s">
        <v>254</v>
      </c>
      <c r="C117" s="260">
        <v>7</v>
      </c>
      <c r="D117" s="274">
        <v>14789.48171</v>
      </c>
      <c r="E117" s="274">
        <v>14300.761931729425</v>
      </c>
      <c r="F117" s="274">
        <v>14920.221618221734</v>
      </c>
      <c r="G117" s="274">
        <v>8138.276933444727</v>
      </c>
      <c r="H117" s="274">
        <v>7976.841500513456</v>
      </c>
      <c r="I117" s="274">
        <v>735.5159699999999</v>
      </c>
      <c r="J117" s="274">
        <v>611.5053620000001</v>
      </c>
      <c r="K117" s="274">
        <v>662.5841680000001</v>
      </c>
      <c r="L117" s="274">
        <v>511.4120520000001</v>
      </c>
      <c r="M117" s="274">
        <v>517.844908</v>
      </c>
      <c r="N117" s="274">
        <v>1161.30652</v>
      </c>
      <c r="O117" s="274">
        <v>1117.8068734800001</v>
      </c>
      <c r="P117" s="274">
        <v>1117.8068734800001</v>
      </c>
      <c r="Q117" s="274">
        <v>1117.8068734800001</v>
      </c>
      <c r="R117" s="305">
        <v>1117.8068734800001</v>
      </c>
      <c r="S117" s="305"/>
      <c r="T117" s="305"/>
      <c r="U117" s="305"/>
      <c r="V117" s="273"/>
      <c r="W117" s="273"/>
      <c r="X117" s="273"/>
      <c r="Y117" s="273"/>
    </row>
    <row r="118" spans="1:25" ht="12.75">
      <c r="A118" s="304">
        <v>317</v>
      </c>
      <c r="B118" s="262" t="s">
        <v>255</v>
      </c>
      <c r="C118" s="275">
        <v>17</v>
      </c>
      <c r="D118" s="274">
        <v>5780.55617</v>
      </c>
      <c r="E118" s="274">
        <v>5942.0427157064605</v>
      </c>
      <c r="F118" s="274">
        <v>6206.622258299273</v>
      </c>
      <c r="G118" s="274">
        <v>3366.206451103674</v>
      </c>
      <c r="H118" s="274">
        <v>3328.5597461618336</v>
      </c>
      <c r="I118" s="274">
        <v>626.05261</v>
      </c>
      <c r="J118" s="274">
        <v>597.6222189999999</v>
      </c>
      <c r="K118" s="274">
        <v>648.1079299999999</v>
      </c>
      <c r="L118" s="274">
        <v>500.23864499999996</v>
      </c>
      <c r="M118" s="274">
        <v>506.530955</v>
      </c>
      <c r="N118" s="274">
        <v>470.24837</v>
      </c>
      <c r="O118" s="274">
        <v>572.82450786</v>
      </c>
      <c r="P118" s="274">
        <v>572.82450786</v>
      </c>
      <c r="Q118" s="274">
        <v>572.82450786</v>
      </c>
      <c r="R118" s="305">
        <v>572.82450786</v>
      </c>
      <c r="S118" s="305"/>
      <c r="T118" s="305"/>
      <c r="U118" s="305"/>
      <c r="V118" s="273"/>
      <c r="W118" s="273"/>
      <c r="X118" s="273"/>
      <c r="Y118" s="273"/>
    </row>
    <row r="119" spans="1:25" ht="12.75">
      <c r="A119" s="304">
        <v>398</v>
      </c>
      <c r="B119" s="262" t="s">
        <v>256</v>
      </c>
      <c r="C119" s="260">
        <v>7</v>
      </c>
      <c r="D119" s="274">
        <v>390175.45144</v>
      </c>
      <c r="E119" s="274">
        <v>405011.84906529135</v>
      </c>
      <c r="F119" s="274">
        <v>423604.50421980215</v>
      </c>
      <c r="G119" s="274">
        <v>217923.60254800977</v>
      </c>
      <c r="H119" s="274">
        <v>213012.12159997673</v>
      </c>
      <c r="I119" s="274">
        <v>26717.54085</v>
      </c>
      <c r="J119" s="274">
        <v>27932.905597</v>
      </c>
      <c r="K119" s="274">
        <v>30266.3234</v>
      </c>
      <c r="L119" s="274">
        <v>23360.9001</v>
      </c>
      <c r="M119" s="274">
        <v>23654.747900000002</v>
      </c>
      <c r="N119" s="274">
        <v>35897.40503</v>
      </c>
      <c r="O119" s="274">
        <v>40745.474527404</v>
      </c>
      <c r="P119" s="274">
        <v>40745.474527404</v>
      </c>
      <c r="Q119" s="274">
        <v>40745.474527404</v>
      </c>
      <c r="R119" s="305">
        <v>40745.474527404</v>
      </c>
      <c r="S119" s="305"/>
      <c r="T119" s="305"/>
      <c r="U119" s="305"/>
      <c r="V119" s="273"/>
      <c r="W119" s="273"/>
      <c r="X119" s="273"/>
      <c r="Y119" s="273"/>
    </row>
    <row r="120" spans="1:25" ht="12.75">
      <c r="A120" s="304">
        <v>399</v>
      </c>
      <c r="B120" s="310" t="s">
        <v>257</v>
      </c>
      <c r="C120" s="260">
        <v>15</v>
      </c>
      <c r="D120" s="274">
        <v>27661.25691</v>
      </c>
      <c r="E120" s="274">
        <v>27746.218165969593</v>
      </c>
      <c r="F120" s="274">
        <v>29323.548054872666</v>
      </c>
      <c r="G120" s="274">
        <v>15782.798285987617</v>
      </c>
      <c r="H120" s="274">
        <v>15512.333647809015</v>
      </c>
      <c r="I120" s="274">
        <v>1132.7511000000002</v>
      </c>
      <c r="J120" s="274">
        <v>1013.692176</v>
      </c>
      <c r="K120" s="274">
        <v>1096.095924</v>
      </c>
      <c r="L120" s="274">
        <v>846.015786</v>
      </c>
      <c r="M120" s="274">
        <v>856.6574939999999</v>
      </c>
      <c r="N120" s="274">
        <v>1217.8584799999999</v>
      </c>
      <c r="O120" s="274">
        <v>1219.7477482800002</v>
      </c>
      <c r="P120" s="274">
        <v>1219.7477482800002</v>
      </c>
      <c r="Q120" s="274">
        <v>1219.7477482800002</v>
      </c>
      <c r="R120" s="305">
        <v>1219.7477482800002</v>
      </c>
      <c r="S120" s="305"/>
      <c r="T120" s="305"/>
      <c r="U120" s="305"/>
      <c r="V120" s="273"/>
      <c r="W120" s="273"/>
      <c r="X120" s="273"/>
      <c r="Y120" s="273"/>
    </row>
    <row r="121" spans="1:25" ht="12.75">
      <c r="A121" s="304">
        <v>400</v>
      </c>
      <c r="B121" s="262" t="s">
        <v>258</v>
      </c>
      <c r="C121" s="260">
        <v>2</v>
      </c>
      <c r="D121" s="274">
        <v>25111.72874</v>
      </c>
      <c r="E121" s="274">
        <v>25899.679882079763</v>
      </c>
      <c r="F121" s="274">
        <v>26460.741422852687</v>
      </c>
      <c r="G121" s="274">
        <v>13735.901716349228</v>
      </c>
      <c r="H121" s="274">
        <v>13391.479398674284</v>
      </c>
      <c r="I121" s="274">
        <v>2074.18797</v>
      </c>
      <c r="J121" s="274">
        <v>2028.9713700000002</v>
      </c>
      <c r="K121" s="274">
        <v>2194.175834</v>
      </c>
      <c r="L121" s="274">
        <v>1693.562901</v>
      </c>
      <c r="M121" s="274">
        <v>1714.865579</v>
      </c>
      <c r="N121" s="274">
        <v>2045.91826</v>
      </c>
      <c r="O121" s="274">
        <v>2041.0851275424</v>
      </c>
      <c r="P121" s="274">
        <v>2041.0851275424</v>
      </c>
      <c r="Q121" s="274">
        <v>2041.0851275424</v>
      </c>
      <c r="R121" s="305">
        <v>2041.0851275424</v>
      </c>
      <c r="S121" s="305"/>
      <c r="T121" s="305"/>
      <c r="U121" s="305"/>
      <c r="V121" s="273"/>
      <c r="W121" s="273"/>
      <c r="X121" s="273"/>
      <c r="Y121" s="273"/>
    </row>
    <row r="122" spans="1:25" ht="12.75">
      <c r="A122" s="304">
        <v>407</v>
      </c>
      <c r="B122" s="262" t="s">
        <v>259</v>
      </c>
      <c r="C122" s="260">
        <v>1</v>
      </c>
      <c r="D122" s="274">
        <v>7595.03934</v>
      </c>
      <c r="E122" s="274">
        <v>7673.648733699367</v>
      </c>
      <c r="F122" s="274">
        <v>7859.837174976592</v>
      </c>
      <c r="G122" s="274">
        <v>4129.338182112624</v>
      </c>
      <c r="H122" s="274">
        <v>4006.581421311012</v>
      </c>
      <c r="I122" s="274">
        <v>508.06006</v>
      </c>
      <c r="J122" s="274">
        <v>563.6946379999999</v>
      </c>
      <c r="K122" s="274">
        <v>611.167598</v>
      </c>
      <c r="L122" s="274">
        <v>471.726447</v>
      </c>
      <c r="M122" s="274">
        <v>477.66011299999997</v>
      </c>
      <c r="N122" s="274">
        <v>547.44998</v>
      </c>
      <c r="O122" s="274">
        <v>536.2959408</v>
      </c>
      <c r="P122" s="274">
        <v>536.2959408</v>
      </c>
      <c r="Q122" s="274">
        <v>536.2959408</v>
      </c>
      <c r="R122" s="305">
        <v>536.2959408</v>
      </c>
      <c r="S122" s="305"/>
      <c r="T122" s="305"/>
      <c r="U122" s="305"/>
      <c r="V122" s="273"/>
      <c r="W122" s="273"/>
      <c r="X122" s="273"/>
      <c r="Y122" s="273"/>
    </row>
    <row r="123" spans="1:25" ht="12.75">
      <c r="A123" s="304">
        <v>402</v>
      </c>
      <c r="B123" s="262" t="s">
        <v>260</v>
      </c>
      <c r="C123" s="260">
        <v>11</v>
      </c>
      <c r="D123" s="274">
        <v>25412.969719999997</v>
      </c>
      <c r="E123" s="274">
        <v>25977.152082291752</v>
      </c>
      <c r="F123" s="274">
        <v>27837.77164941329</v>
      </c>
      <c r="G123" s="274">
        <v>14679.466646782756</v>
      </c>
      <c r="H123" s="274">
        <v>14421.625380770956</v>
      </c>
      <c r="I123" s="274">
        <v>1766.69769</v>
      </c>
      <c r="J123" s="274">
        <v>1596.297154</v>
      </c>
      <c r="K123" s="274">
        <v>1728.438468</v>
      </c>
      <c r="L123" s="274">
        <v>1334.0860020000002</v>
      </c>
      <c r="M123" s="274">
        <v>1350.866958</v>
      </c>
      <c r="N123" s="274">
        <v>2218.98599</v>
      </c>
      <c r="O123" s="274">
        <v>2210.3751061631997</v>
      </c>
      <c r="P123" s="274">
        <v>2210.3751061631997</v>
      </c>
      <c r="Q123" s="274">
        <v>2210.3751061631997</v>
      </c>
      <c r="R123" s="305">
        <v>2210.3751061631997</v>
      </c>
      <c r="S123" s="305"/>
      <c r="T123" s="305"/>
      <c r="U123" s="305"/>
      <c r="V123" s="273"/>
      <c r="W123" s="273"/>
      <c r="X123" s="273"/>
      <c r="Y123" s="273"/>
    </row>
    <row r="124" spans="1:25" ht="12.75">
      <c r="A124" s="304">
        <v>403</v>
      </c>
      <c r="B124" s="262" t="s">
        <v>261</v>
      </c>
      <c r="C124" s="260">
        <v>14</v>
      </c>
      <c r="D124" s="274">
        <v>8037.08397</v>
      </c>
      <c r="E124" s="274">
        <v>7976.3725903426675</v>
      </c>
      <c r="F124" s="274">
        <v>8325.492819721687</v>
      </c>
      <c r="G124" s="274">
        <v>4365.991185608995</v>
      </c>
      <c r="H124" s="274">
        <v>4299.872004145609</v>
      </c>
      <c r="I124" s="274">
        <v>982.2171500000001</v>
      </c>
      <c r="J124" s="274">
        <v>752.4053950000001</v>
      </c>
      <c r="K124" s="274">
        <v>816.2459540000001</v>
      </c>
      <c r="L124" s="274">
        <v>630.015081</v>
      </c>
      <c r="M124" s="274">
        <v>637.9397990000001</v>
      </c>
      <c r="N124" s="274">
        <v>886.44161</v>
      </c>
      <c r="O124" s="274">
        <v>909.5797493760001</v>
      </c>
      <c r="P124" s="274">
        <v>909.5797493760001</v>
      </c>
      <c r="Q124" s="274">
        <v>909.5797493760001</v>
      </c>
      <c r="R124" s="305">
        <v>909.5797493760001</v>
      </c>
      <c r="S124" s="305"/>
      <c r="T124" s="305"/>
      <c r="U124" s="305"/>
      <c r="V124" s="273"/>
      <c r="W124" s="273"/>
      <c r="X124" s="273"/>
      <c r="Y124" s="273"/>
    </row>
    <row r="125" spans="1:25" ht="12.75">
      <c r="A125" s="304">
        <v>405</v>
      </c>
      <c r="B125" s="262" t="s">
        <v>262</v>
      </c>
      <c r="C125" s="260">
        <v>9</v>
      </c>
      <c r="D125" s="274">
        <v>244562.14805000002</v>
      </c>
      <c r="E125" s="274">
        <v>250178.8368866483</v>
      </c>
      <c r="F125" s="274">
        <v>259403.05867450064</v>
      </c>
      <c r="G125" s="274">
        <v>135640.38327354565</v>
      </c>
      <c r="H125" s="274">
        <v>132747.6967058535</v>
      </c>
      <c r="I125" s="274">
        <v>24744.67466</v>
      </c>
      <c r="J125" s="274">
        <v>22355.392385</v>
      </c>
      <c r="K125" s="274">
        <v>24260.613408</v>
      </c>
      <c r="L125" s="274">
        <v>18725.424912</v>
      </c>
      <c r="M125" s="274">
        <v>18960.964848</v>
      </c>
      <c r="N125" s="274">
        <v>24626.3357</v>
      </c>
      <c r="O125" s="274">
        <v>25710.271690776008</v>
      </c>
      <c r="P125" s="274">
        <v>25710.271690776008</v>
      </c>
      <c r="Q125" s="274">
        <v>25710.271690776008</v>
      </c>
      <c r="R125" s="305">
        <v>25710.271690776008</v>
      </c>
      <c r="S125" s="305"/>
      <c r="T125" s="305"/>
      <c r="U125" s="305"/>
      <c r="V125" s="273"/>
      <c r="W125" s="273"/>
      <c r="X125" s="273"/>
      <c r="Y125" s="273"/>
    </row>
    <row r="126" spans="1:25" ht="12.75">
      <c r="A126" s="304">
        <v>408</v>
      </c>
      <c r="B126" s="262" t="s">
        <v>263</v>
      </c>
      <c r="C126" s="275">
        <v>14</v>
      </c>
      <c r="D126" s="274">
        <v>43334.7648</v>
      </c>
      <c r="E126" s="274">
        <v>44368.14793858242</v>
      </c>
      <c r="F126" s="274">
        <v>46815.40711635669</v>
      </c>
      <c r="G126" s="274">
        <v>25344.699846068244</v>
      </c>
      <c r="H126" s="274">
        <v>24821.936758628315</v>
      </c>
      <c r="I126" s="274">
        <v>2467.9442799999997</v>
      </c>
      <c r="J126" s="274">
        <v>2481.1599109999997</v>
      </c>
      <c r="K126" s="274">
        <v>2684.561306</v>
      </c>
      <c r="L126" s="274">
        <v>2072.064309</v>
      </c>
      <c r="M126" s="274">
        <v>2098.128011</v>
      </c>
      <c r="N126" s="274">
        <v>2884.59292</v>
      </c>
      <c r="O126" s="274">
        <v>3001.958889336</v>
      </c>
      <c r="P126" s="274">
        <v>3001.958889336</v>
      </c>
      <c r="Q126" s="274">
        <v>3001.958889336</v>
      </c>
      <c r="R126" s="305">
        <v>3001.958889336</v>
      </c>
      <c r="S126" s="305"/>
      <c r="T126" s="305"/>
      <c r="U126" s="305"/>
      <c r="V126" s="273"/>
      <c r="W126" s="273"/>
      <c r="X126" s="273"/>
      <c r="Y126" s="273"/>
    </row>
    <row r="127" spans="1:25" ht="12.75">
      <c r="A127" s="304">
        <v>410</v>
      </c>
      <c r="B127" s="262" t="s">
        <v>264</v>
      </c>
      <c r="C127" s="260">
        <v>13</v>
      </c>
      <c r="D127" s="274">
        <v>60611.823950000005</v>
      </c>
      <c r="E127" s="274">
        <v>61209.25496130475</v>
      </c>
      <c r="F127" s="274">
        <v>63843.74699048395</v>
      </c>
      <c r="G127" s="274">
        <v>34329.447777021895</v>
      </c>
      <c r="H127" s="274">
        <v>33654.20648413871</v>
      </c>
      <c r="I127" s="274">
        <v>2605.83889</v>
      </c>
      <c r="J127" s="274">
        <v>2617.176833</v>
      </c>
      <c r="K127" s="274">
        <v>2837.6998519999997</v>
      </c>
      <c r="L127" s="274">
        <v>2190.2634780000003</v>
      </c>
      <c r="M127" s="274">
        <v>2217.813962</v>
      </c>
      <c r="N127" s="274">
        <v>4713.23866</v>
      </c>
      <c r="O127" s="274">
        <v>4701.652828512</v>
      </c>
      <c r="P127" s="274">
        <v>4701.652828512</v>
      </c>
      <c r="Q127" s="274">
        <v>4701.652828512</v>
      </c>
      <c r="R127" s="305">
        <v>4701.652828512</v>
      </c>
      <c r="S127" s="305"/>
      <c r="T127" s="305"/>
      <c r="U127" s="305"/>
      <c r="V127" s="273"/>
      <c r="W127" s="273"/>
      <c r="X127" s="273"/>
      <c r="Y127" s="273"/>
    </row>
    <row r="128" spans="1:25" ht="12.75">
      <c r="A128" s="304">
        <v>416</v>
      </c>
      <c r="B128" s="262" t="s">
        <v>265</v>
      </c>
      <c r="C128" s="260">
        <v>9</v>
      </c>
      <c r="D128" s="274">
        <v>9242.79458</v>
      </c>
      <c r="E128" s="274">
        <v>9370.747616797906</v>
      </c>
      <c r="F128" s="274">
        <v>9708.456844779854</v>
      </c>
      <c r="G128" s="274">
        <v>5055.105046413294</v>
      </c>
      <c r="H128" s="274">
        <v>4966.493234807549</v>
      </c>
      <c r="I128" s="274">
        <v>519.83399</v>
      </c>
      <c r="J128" s="274">
        <v>421.070582</v>
      </c>
      <c r="K128" s="274">
        <v>456.426784</v>
      </c>
      <c r="L128" s="274">
        <v>352.29057600000004</v>
      </c>
      <c r="M128" s="274">
        <v>356.72190399999994</v>
      </c>
      <c r="N128" s="274">
        <v>814.70733</v>
      </c>
      <c r="O128" s="274">
        <v>820.4737159680001</v>
      </c>
      <c r="P128" s="274">
        <v>820.4737159680001</v>
      </c>
      <c r="Q128" s="274">
        <v>820.4737159680001</v>
      </c>
      <c r="R128" s="305">
        <v>820.4737159680001</v>
      </c>
      <c r="S128" s="305"/>
      <c r="T128" s="305"/>
      <c r="U128" s="305"/>
      <c r="V128" s="273"/>
      <c r="W128" s="273"/>
      <c r="X128" s="273"/>
      <c r="Y128" s="273"/>
    </row>
    <row r="129" spans="1:25" ht="12.75">
      <c r="A129" s="304">
        <v>418</v>
      </c>
      <c r="B129" s="262" t="s">
        <v>266</v>
      </c>
      <c r="C129" s="260">
        <v>6</v>
      </c>
      <c r="D129" s="274">
        <v>83967.95195</v>
      </c>
      <c r="E129" s="274">
        <v>84504.4079945535</v>
      </c>
      <c r="F129" s="274">
        <v>89372.69449245252</v>
      </c>
      <c r="G129" s="274">
        <v>45718.45963429938</v>
      </c>
      <c r="H129" s="274">
        <v>44182.51448019225</v>
      </c>
      <c r="I129" s="274">
        <v>4684.04767</v>
      </c>
      <c r="J129" s="274">
        <v>4233.695984999999</v>
      </c>
      <c r="K129" s="274">
        <v>4593.012256</v>
      </c>
      <c r="L129" s="274">
        <v>3545.0919840000006</v>
      </c>
      <c r="M129" s="274">
        <v>3589.6843360000007</v>
      </c>
      <c r="N129" s="274">
        <v>5313.7477</v>
      </c>
      <c r="O129" s="274">
        <v>5406.128161548001</v>
      </c>
      <c r="P129" s="274">
        <v>5406.128161548001</v>
      </c>
      <c r="Q129" s="274">
        <v>5406.128161548001</v>
      </c>
      <c r="R129" s="305">
        <v>5406.128161548001</v>
      </c>
      <c r="S129" s="305"/>
      <c r="T129" s="305"/>
      <c r="U129" s="305"/>
      <c r="V129" s="273"/>
      <c r="W129" s="273"/>
      <c r="X129" s="273"/>
      <c r="Y129" s="273"/>
    </row>
    <row r="130" spans="1:25" ht="12.75">
      <c r="A130" s="304">
        <v>420</v>
      </c>
      <c r="B130" s="262" t="s">
        <v>267</v>
      </c>
      <c r="C130" s="260">
        <v>11</v>
      </c>
      <c r="D130" s="274">
        <v>27957.1685</v>
      </c>
      <c r="E130" s="274">
        <v>30267.95911006784</v>
      </c>
      <c r="F130" s="274">
        <v>30944.200845065465</v>
      </c>
      <c r="G130" s="274">
        <v>15970.78320970985</v>
      </c>
      <c r="H130" s="274">
        <v>15722.506345375696</v>
      </c>
      <c r="I130" s="274">
        <v>2820.93862</v>
      </c>
      <c r="J130" s="274">
        <v>2629.9517950000004</v>
      </c>
      <c r="K130" s="274">
        <v>2851.7556440000003</v>
      </c>
      <c r="L130" s="274">
        <v>2201.1123660000003</v>
      </c>
      <c r="M130" s="274">
        <v>2228.7993140000003</v>
      </c>
      <c r="N130" s="274">
        <v>2419.77511</v>
      </c>
      <c r="O130" s="274">
        <v>2422.55707308</v>
      </c>
      <c r="P130" s="274">
        <v>2422.55707308</v>
      </c>
      <c r="Q130" s="274">
        <v>2422.55707308</v>
      </c>
      <c r="R130" s="305">
        <v>2422.55707308</v>
      </c>
      <c r="S130" s="305"/>
      <c r="T130" s="305"/>
      <c r="U130" s="305"/>
      <c r="V130" s="273"/>
      <c r="W130" s="273"/>
      <c r="X130" s="273"/>
      <c r="Y130" s="273"/>
    </row>
    <row r="131" spans="1:25" ht="12.75">
      <c r="A131" s="304">
        <v>421</v>
      </c>
      <c r="B131" s="262" t="s">
        <v>268</v>
      </c>
      <c r="C131" s="260">
        <v>16</v>
      </c>
      <c r="D131" s="274">
        <v>1885.7200500000001</v>
      </c>
      <c r="E131" s="274">
        <v>1902.4871789179178</v>
      </c>
      <c r="F131" s="274">
        <v>1996.9185960725856</v>
      </c>
      <c r="G131" s="274">
        <v>1074.418584543601</v>
      </c>
      <c r="H131" s="274">
        <v>1042.8670458408985</v>
      </c>
      <c r="I131" s="274">
        <v>404.89283</v>
      </c>
      <c r="J131" s="274">
        <v>387.78402900000003</v>
      </c>
      <c r="K131" s="274">
        <v>420.150184</v>
      </c>
      <c r="L131" s="274">
        <v>324.290676</v>
      </c>
      <c r="M131" s="274">
        <v>328.36980400000004</v>
      </c>
      <c r="N131" s="274">
        <v>278.47229999999996</v>
      </c>
      <c r="O131" s="274">
        <v>273.1608245759999</v>
      </c>
      <c r="P131" s="274">
        <v>273.1608245759999</v>
      </c>
      <c r="Q131" s="274">
        <v>273.1608245759999</v>
      </c>
      <c r="R131" s="305">
        <v>273.1608245759999</v>
      </c>
      <c r="S131" s="305"/>
      <c r="T131" s="305"/>
      <c r="U131" s="305"/>
      <c r="V131" s="273"/>
      <c r="W131" s="273"/>
      <c r="X131" s="273"/>
      <c r="Y131" s="273"/>
    </row>
    <row r="132" spans="1:25" ht="12.75">
      <c r="A132" s="304">
        <v>422</v>
      </c>
      <c r="B132" s="262" t="s">
        <v>269</v>
      </c>
      <c r="C132" s="260">
        <v>12</v>
      </c>
      <c r="D132" s="274">
        <v>32294.47521</v>
      </c>
      <c r="E132" s="274">
        <v>31939.514349958088</v>
      </c>
      <c r="F132" s="274">
        <v>33115.188738533354</v>
      </c>
      <c r="G132" s="274">
        <v>16932.682806130517</v>
      </c>
      <c r="H132" s="274">
        <v>16758.05675414342</v>
      </c>
      <c r="I132" s="274">
        <v>5053.80455</v>
      </c>
      <c r="J132" s="274">
        <v>4528.0794319999995</v>
      </c>
      <c r="K132" s="274">
        <v>4908.12201</v>
      </c>
      <c r="L132" s="274">
        <v>3788.3077649999996</v>
      </c>
      <c r="M132" s="274">
        <v>3835.9594349999998</v>
      </c>
      <c r="N132" s="274">
        <v>3282.34641</v>
      </c>
      <c r="O132" s="274">
        <v>3271.7382949343996</v>
      </c>
      <c r="P132" s="274">
        <v>3271.7382949343996</v>
      </c>
      <c r="Q132" s="274">
        <v>3271.7382949343996</v>
      </c>
      <c r="R132" s="305">
        <v>3271.7382949343996</v>
      </c>
      <c r="S132" s="305"/>
      <c r="T132" s="305"/>
      <c r="U132" s="305"/>
      <c r="V132" s="273"/>
      <c r="W132" s="273"/>
      <c r="X132" s="273"/>
      <c r="Y132" s="273"/>
    </row>
    <row r="133" spans="1:25" ht="12.75">
      <c r="A133" s="304">
        <v>423</v>
      </c>
      <c r="B133" s="262" t="s">
        <v>270</v>
      </c>
      <c r="C133" s="260">
        <v>2</v>
      </c>
      <c r="D133" s="274">
        <v>68995.61834999999</v>
      </c>
      <c r="E133" s="274">
        <v>70175.18681302856</v>
      </c>
      <c r="F133" s="274">
        <v>74386.02844810566</v>
      </c>
      <c r="G133" s="274">
        <v>36035.611426062176</v>
      </c>
      <c r="H133" s="274">
        <v>34431.61437614753</v>
      </c>
      <c r="I133" s="274">
        <v>3393.2646600000003</v>
      </c>
      <c r="J133" s="274">
        <v>3683.1076429999994</v>
      </c>
      <c r="K133" s="274">
        <v>3991.2382580000003</v>
      </c>
      <c r="L133" s="274">
        <v>3080.615937</v>
      </c>
      <c r="M133" s="274">
        <v>3119.3658229999996</v>
      </c>
      <c r="N133" s="274">
        <v>3566.5523</v>
      </c>
      <c r="O133" s="274">
        <v>3527.7897189456</v>
      </c>
      <c r="P133" s="274">
        <v>3527.7897189456</v>
      </c>
      <c r="Q133" s="274">
        <v>3527.7897189456</v>
      </c>
      <c r="R133" s="305">
        <v>3527.7897189456</v>
      </c>
      <c r="S133" s="305"/>
      <c r="T133" s="305"/>
      <c r="U133" s="305"/>
      <c r="V133" s="273"/>
      <c r="W133" s="273"/>
      <c r="X133" s="273"/>
      <c r="Y133" s="273"/>
    </row>
    <row r="134" spans="1:25" ht="12.75">
      <c r="A134" s="304">
        <v>425</v>
      </c>
      <c r="B134" s="262" t="s">
        <v>271</v>
      </c>
      <c r="C134" s="260">
        <v>17</v>
      </c>
      <c r="D134" s="274">
        <v>29444.623010000003</v>
      </c>
      <c r="E134" s="274">
        <v>30847.739536862784</v>
      </c>
      <c r="F134" s="274">
        <v>32440.153412121326</v>
      </c>
      <c r="G134" s="274">
        <v>17837.959976902283</v>
      </c>
      <c r="H134" s="274">
        <v>17275.95268027178</v>
      </c>
      <c r="I134" s="274">
        <v>752.48911</v>
      </c>
      <c r="J134" s="274">
        <v>707.2941889999998</v>
      </c>
      <c r="K134" s="274">
        <v>767.3269279999998</v>
      </c>
      <c r="L134" s="274">
        <v>592.257192</v>
      </c>
      <c r="M134" s="274">
        <v>599.706968</v>
      </c>
      <c r="N134" s="274">
        <v>1187.06001</v>
      </c>
      <c r="O134" s="274">
        <v>1245.3857466575998</v>
      </c>
      <c r="P134" s="274">
        <v>1245.3857466575998</v>
      </c>
      <c r="Q134" s="274">
        <v>1245.3857466575998</v>
      </c>
      <c r="R134" s="305">
        <v>1245.3857466575998</v>
      </c>
      <c r="S134" s="305"/>
      <c r="T134" s="305"/>
      <c r="U134" s="305"/>
      <c r="V134" s="273"/>
      <c r="W134" s="273"/>
      <c r="X134" s="273"/>
      <c r="Y134" s="273"/>
    </row>
    <row r="135" spans="1:25" ht="12.75">
      <c r="A135" s="304">
        <v>426</v>
      </c>
      <c r="B135" s="262" t="s">
        <v>272</v>
      </c>
      <c r="C135" s="260">
        <v>12</v>
      </c>
      <c r="D135" s="274">
        <v>36071.22955</v>
      </c>
      <c r="E135" s="274">
        <v>36638.513608034315</v>
      </c>
      <c r="F135" s="274">
        <v>38502.76970184155</v>
      </c>
      <c r="G135" s="274">
        <v>20743.07363814006</v>
      </c>
      <c r="H135" s="274">
        <v>20359.30623879413</v>
      </c>
      <c r="I135" s="274">
        <v>1532.9718500000001</v>
      </c>
      <c r="J135" s="274">
        <v>1335.4797110000002</v>
      </c>
      <c r="K135" s="274">
        <v>1447.3792780000003</v>
      </c>
      <c r="L135" s="274">
        <v>1117.151967</v>
      </c>
      <c r="M135" s="274">
        <v>1131.204193</v>
      </c>
      <c r="N135" s="274">
        <v>2419.39</v>
      </c>
      <c r="O135" s="274">
        <v>2376.1885331784006</v>
      </c>
      <c r="P135" s="274">
        <v>2376.1885331784006</v>
      </c>
      <c r="Q135" s="274">
        <v>2376.1885331784006</v>
      </c>
      <c r="R135" s="305">
        <v>2376.1885331784006</v>
      </c>
      <c r="S135" s="305"/>
      <c r="T135" s="305"/>
      <c r="U135" s="305"/>
      <c r="V135" s="273"/>
      <c r="W135" s="273"/>
      <c r="X135" s="273"/>
      <c r="Y135" s="273"/>
    </row>
    <row r="136" spans="1:25" ht="12.75">
      <c r="A136" s="304">
        <v>444</v>
      </c>
      <c r="B136" s="262" t="s">
        <v>273</v>
      </c>
      <c r="C136" s="260">
        <v>1</v>
      </c>
      <c r="D136" s="274">
        <v>170621.23627000002</v>
      </c>
      <c r="E136" s="274">
        <v>171790.8709879284</v>
      </c>
      <c r="F136" s="274">
        <v>180350.9889574984</v>
      </c>
      <c r="G136" s="274">
        <v>91590.68222688993</v>
      </c>
      <c r="H136" s="274">
        <v>88857.42713956835</v>
      </c>
      <c r="I136" s="274">
        <v>6612.99112</v>
      </c>
      <c r="J136" s="274">
        <v>7004.538543000001</v>
      </c>
      <c r="K136" s="274">
        <v>7592.634905999999</v>
      </c>
      <c r="L136" s="274">
        <v>5860.334709</v>
      </c>
      <c r="M136" s="274">
        <v>5934.0496109999995</v>
      </c>
      <c r="N136" s="274">
        <v>12615.87308</v>
      </c>
      <c r="O136" s="274">
        <v>13409.451680968801</v>
      </c>
      <c r="P136" s="274">
        <v>13409.451680968801</v>
      </c>
      <c r="Q136" s="274">
        <v>13409.451680968801</v>
      </c>
      <c r="R136" s="305">
        <v>13409.451680968801</v>
      </c>
      <c r="S136" s="305"/>
      <c r="T136" s="305"/>
      <c r="U136" s="305"/>
      <c r="V136" s="273"/>
      <c r="W136" s="273"/>
      <c r="X136" s="273"/>
      <c r="Y136" s="273"/>
    </row>
    <row r="137" spans="1:25" ht="12.75">
      <c r="A137" s="304">
        <v>430</v>
      </c>
      <c r="B137" s="262" t="s">
        <v>274</v>
      </c>
      <c r="C137" s="260">
        <v>2</v>
      </c>
      <c r="D137" s="274">
        <v>45769.43767</v>
      </c>
      <c r="E137" s="274">
        <v>46870.520260087374</v>
      </c>
      <c r="F137" s="274">
        <v>48245.17836692472</v>
      </c>
      <c r="G137" s="274">
        <v>24816.34978939418</v>
      </c>
      <c r="H137" s="274">
        <v>24198.754868556018</v>
      </c>
      <c r="I137" s="274">
        <v>3594.8457599999997</v>
      </c>
      <c r="J137" s="274">
        <v>3333.31195</v>
      </c>
      <c r="K137" s="274">
        <v>3609.953476</v>
      </c>
      <c r="L137" s="274">
        <v>2786.323314</v>
      </c>
      <c r="M137" s="274">
        <v>2821.3714059999998</v>
      </c>
      <c r="N137" s="274">
        <v>4149.35948</v>
      </c>
      <c r="O137" s="274">
        <v>4118.255331671999</v>
      </c>
      <c r="P137" s="274">
        <v>4118.255331671999</v>
      </c>
      <c r="Q137" s="274">
        <v>4118.255331671999</v>
      </c>
      <c r="R137" s="305">
        <v>4118.255331671999</v>
      </c>
      <c r="S137" s="305"/>
      <c r="T137" s="305"/>
      <c r="U137" s="305"/>
      <c r="V137" s="273"/>
      <c r="W137" s="273"/>
      <c r="X137" s="273"/>
      <c r="Y137" s="273"/>
    </row>
    <row r="138" spans="1:25" ht="12.75">
      <c r="A138" s="304">
        <v>433</v>
      </c>
      <c r="B138" s="262" t="s">
        <v>275</v>
      </c>
      <c r="C138" s="275">
        <v>5</v>
      </c>
      <c r="D138" s="274">
        <v>25504.035969999997</v>
      </c>
      <c r="E138" s="274">
        <v>25552.073816795633</v>
      </c>
      <c r="F138" s="274">
        <v>26765.177766997676</v>
      </c>
      <c r="G138" s="274">
        <v>14443.319233015858</v>
      </c>
      <c r="H138" s="274">
        <v>14128.241835505252</v>
      </c>
      <c r="I138" s="274">
        <v>1684.53513</v>
      </c>
      <c r="J138" s="274">
        <v>1478.8500649999999</v>
      </c>
      <c r="K138" s="274">
        <v>1602.95192</v>
      </c>
      <c r="L138" s="274">
        <v>1237.2298799999999</v>
      </c>
      <c r="M138" s="274">
        <v>1252.7925199999997</v>
      </c>
      <c r="N138" s="274">
        <v>2028.63338</v>
      </c>
      <c r="O138" s="274">
        <v>2029.1482891752</v>
      </c>
      <c r="P138" s="274">
        <v>2029.1482891752</v>
      </c>
      <c r="Q138" s="274">
        <v>2029.1482891752</v>
      </c>
      <c r="R138" s="305">
        <v>2029.1482891752</v>
      </c>
      <c r="S138" s="305"/>
      <c r="T138" s="305"/>
      <c r="U138" s="305"/>
      <c r="V138" s="273"/>
      <c r="W138" s="273"/>
      <c r="X138" s="273"/>
      <c r="Y138" s="273"/>
    </row>
    <row r="139" spans="1:25" ht="12.75">
      <c r="A139" s="304">
        <v>434</v>
      </c>
      <c r="B139" s="262" t="s">
        <v>276</v>
      </c>
      <c r="C139" s="260">
        <v>1</v>
      </c>
      <c r="D139" s="274">
        <v>47748.57614</v>
      </c>
      <c r="E139" s="274">
        <v>48042.652252716885</v>
      </c>
      <c r="F139" s="274">
        <v>50403.536238153436</v>
      </c>
      <c r="G139" s="274">
        <v>24630.790635611273</v>
      </c>
      <c r="H139" s="274">
        <v>23849.13811620241</v>
      </c>
      <c r="I139" s="274">
        <v>9950.11062</v>
      </c>
      <c r="J139" s="274">
        <v>6404.599003</v>
      </c>
      <c r="K139" s="274">
        <v>6918.134050000001</v>
      </c>
      <c r="L139" s="274">
        <v>5339.724825</v>
      </c>
      <c r="M139" s="274">
        <v>5406.891175</v>
      </c>
      <c r="N139" s="274">
        <v>8252.5865</v>
      </c>
      <c r="O139" s="274">
        <v>7908.616817592001</v>
      </c>
      <c r="P139" s="274">
        <v>7908.616817592001</v>
      </c>
      <c r="Q139" s="274">
        <v>7908.616817592001</v>
      </c>
      <c r="R139" s="305">
        <v>7908.616817592001</v>
      </c>
      <c r="S139" s="305"/>
      <c r="T139" s="305"/>
      <c r="U139" s="305"/>
      <c r="V139" s="273"/>
      <c r="W139" s="273"/>
      <c r="X139" s="273"/>
      <c r="Y139" s="273"/>
    </row>
    <row r="140" spans="1:25" ht="12.75">
      <c r="A140" s="304">
        <v>435</v>
      </c>
      <c r="B140" s="262" t="s">
        <v>277</v>
      </c>
      <c r="C140" s="260">
        <v>13</v>
      </c>
      <c r="D140" s="274">
        <v>1655.46325</v>
      </c>
      <c r="E140" s="274">
        <v>1654.9486945800911</v>
      </c>
      <c r="F140" s="274">
        <v>1737.5238912925129</v>
      </c>
      <c r="G140" s="274">
        <v>765.3767196535237</v>
      </c>
      <c r="H140" s="274">
        <v>742.2392569142735</v>
      </c>
      <c r="I140" s="274">
        <v>286.41287</v>
      </c>
      <c r="J140" s="274">
        <v>292.513729</v>
      </c>
      <c r="K140" s="274">
        <v>317.087354</v>
      </c>
      <c r="L140" s="274">
        <v>244.74218100000002</v>
      </c>
      <c r="M140" s="274">
        <v>247.820699</v>
      </c>
      <c r="N140" s="274">
        <v>494.48649</v>
      </c>
      <c r="O140" s="274">
        <v>580.343104752</v>
      </c>
      <c r="P140" s="274">
        <v>580.343104752</v>
      </c>
      <c r="Q140" s="274">
        <v>580.343104752</v>
      </c>
      <c r="R140" s="305">
        <v>580.343104752</v>
      </c>
      <c r="S140" s="305"/>
      <c r="T140" s="305"/>
      <c r="U140" s="305"/>
      <c r="V140" s="273"/>
      <c r="W140" s="273"/>
      <c r="X140" s="273"/>
      <c r="Y140" s="273"/>
    </row>
    <row r="141" spans="1:25" ht="12.75">
      <c r="A141" s="304">
        <v>436</v>
      </c>
      <c r="B141" s="262" t="s">
        <v>278</v>
      </c>
      <c r="C141" s="260">
        <v>17</v>
      </c>
      <c r="D141" s="274">
        <v>5348.969700000001</v>
      </c>
      <c r="E141" s="274">
        <v>5427.623448990699</v>
      </c>
      <c r="F141" s="274">
        <v>5781.72546589904</v>
      </c>
      <c r="G141" s="274">
        <v>3028.818590602399</v>
      </c>
      <c r="H141" s="274">
        <v>2962.5538196946513</v>
      </c>
      <c r="I141" s="274">
        <v>164.39531</v>
      </c>
      <c r="J141" s="274">
        <v>161.639343</v>
      </c>
      <c r="K141" s="274">
        <v>175.36100200000004</v>
      </c>
      <c r="L141" s="274">
        <v>135.35145300000002</v>
      </c>
      <c r="M141" s="274">
        <v>137.053987</v>
      </c>
      <c r="N141" s="274">
        <v>287.6802</v>
      </c>
      <c r="O141" s="274">
        <v>292.537644828</v>
      </c>
      <c r="P141" s="274">
        <v>292.537644828</v>
      </c>
      <c r="Q141" s="274">
        <v>292.537644828</v>
      </c>
      <c r="R141" s="305">
        <v>292.537644828</v>
      </c>
      <c r="S141" s="305"/>
      <c r="T141" s="305"/>
      <c r="U141" s="305"/>
      <c r="V141" s="273"/>
      <c r="W141" s="273"/>
      <c r="X141" s="273"/>
      <c r="Y141" s="273"/>
    </row>
    <row r="142" spans="1:25" ht="12.75">
      <c r="A142" s="304">
        <v>440</v>
      </c>
      <c r="B142" s="262" t="s">
        <v>279</v>
      </c>
      <c r="C142" s="260">
        <v>15</v>
      </c>
      <c r="D142" s="274">
        <v>13596.19823</v>
      </c>
      <c r="E142" s="274">
        <v>14263.533957587963</v>
      </c>
      <c r="F142" s="274">
        <v>15207.571630192475</v>
      </c>
      <c r="G142" s="274">
        <v>7684.237564187397</v>
      </c>
      <c r="H142" s="274">
        <v>7300.414844752029</v>
      </c>
      <c r="I142" s="274">
        <v>362.07903000000005</v>
      </c>
      <c r="J142" s="274">
        <v>365.2909</v>
      </c>
      <c r="K142" s="274">
        <v>395.370444</v>
      </c>
      <c r="L142" s="274">
        <v>305.164566</v>
      </c>
      <c r="M142" s="274">
        <v>309.003114</v>
      </c>
      <c r="N142" s="274">
        <v>1026.35139</v>
      </c>
      <c r="O142" s="274">
        <v>1048.9477538616002</v>
      </c>
      <c r="P142" s="274">
        <v>1048.9477538616002</v>
      </c>
      <c r="Q142" s="274">
        <v>1048.9477538616002</v>
      </c>
      <c r="R142" s="305">
        <v>1048.9477538616002</v>
      </c>
      <c r="S142" s="305"/>
      <c r="T142" s="305"/>
      <c r="U142" s="305"/>
      <c r="V142" s="273"/>
      <c r="W142" s="273"/>
      <c r="X142" s="273"/>
      <c r="Y142" s="273"/>
    </row>
    <row r="143" spans="1:25" ht="12.75">
      <c r="A143" s="304">
        <v>441</v>
      </c>
      <c r="B143" s="262" t="s">
        <v>280</v>
      </c>
      <c r="C143" s="260">
        <v>9</v>
      </c>
      <c r="D143" s="274">
        <v>13559.21626</v>
      </c>
      <c r="E143" s="274">
        <v>13826.417504563144</v>
      </c>
      <c r="F143" s="274">
        <v>14493.826562636299</v>
      </c>
      <c r="G143" s="274">
        <v>7329.562886613831</v>
      </c>
      <c r="H143" s="274">
        <v>7165.6223867124945</v>
      </c>
      <c r="I143" s="274">
        <v>2201.55856</v>
      </c>
      <c r="J143" s="274">
        <v>1992.1138379999998</v>
      </c>
      <c r="K143" s="274">
        <v>2160.335596</v>
      </c>
      <c r="L143" s="274">
        <v>1667.4434939999999</v>
      </c>
      <c r="M143" s="274">
        <v>1688.4176260000002</v>
      </c>
      <c r="N143" s="274">
        <v>1503.1321599999999</v>
      </c>
      <c r="O143" s="274">
        <v>1495.7157713520003</v>
      </c>
      <c r="P143" s="274">
        <v>1495.7157713520003</v>
      </c>
      <c r="Q143" s="274">
        <v>1495.7157713520003</v>
      </c>
      <c r="R143" s="305">
        <v>1495.7157713520003</v>
      </c>
      <c r="S143" s="305"/>
      <c r="T143" s="305"/>
      <c r="U143" s="305"/>
      <c r="V143" s="273"/>
      <c r="W143" s="273"/>
      <c r="X143" s="273"/>
      <c r="Y143" s="273"/>
    </row>
    <row r="144" spans="1:25" ht="12.75">
      <c r="A144" s="304">
        <v>475</v>
      </c>
      <c r="B144" s="262" t="s">
        <v>282</v>
      </c>
      <c r="C144" s="260">
        <v>15</v>
      </c>
      <c r="D144" s="274">
        <v>17026.97775</v>
      </c>
      <c r="E144" s="274">
        <v>17323.02102609057</v>
      </c>
      <c r="F144" s="274">
        <v>18202.298935322033</v>
      </c>
      <c r="G144" s="274">
        <v>10032.328551866942</v>
      </c>
      <c r="H144" s="274">
        <v>9805.125542052398</v>
      </c>
      <c r="I144" s="274">
        <v>1075.21354</v>
      </c>
      <c r="J144" s="274">
        <v>1120.050158</v>
      </c>
      <c r="K144" s="274">
        <v>1214.4179980000001</v>
      </c>
      <c r="L144" s="274">
        <v>937.3420469999999</v>
      </c>
      <c r="M144" s="274">
        <v>949.1325129999999</v>
      </c>
      <c r="N144" s="274">
        <v>1387.2890300000001</v>
      </c>
      <c r="O144" s="274">
        <v>1398.7054914768</v>
      </c>
      <c r="P144" s="274">
        <v>1398.7054914768</v>
      </c>
      <c r="Q144" s="274">
        <v>1398.7054914768</v>
      </c>
      <c r="R144" s="305">
        <v>1398.7054914768</v>
      </c>
      <c r="S144" s="305"/>
      <c r="T144" s="305"/>
      <c r="U144" s="305"/>
      <c r="V144" s="273"/>
      <c r="W144" s="273"/>
      <c r="X144" s="273"/>
      <c r="Y144" s="273"/>
    </row>
    <row r="145" spans="1:25" ht="12.75">
      <c r="A145" s="304">
        <v>480</v>
      </c>
      <c r="B145" s="262" t="s">
        <v>283</v>
      </c>
      <c r="C145" s="260">
        <v>2</v>
      </c>
      <c r="D145" s="274">
        <v>5950.95631</v>
      </c>
      <c r="E145" s="274">
        <v>5744.929949558096</v>
      </c>
      <c r="F145" s="274">
        <v>6146.056527478781</v>
      </c>
      <c r="G145" s="274">
        <v>3212.8229310933702</v>
      </c>
      <c r="H145" s="274">
        <v>3132.5661052784267</v>
      </c>
      <c r="I145" s="274">
        <v>330.49745</v>
      </c>
      <c r="J145" s="274">
        <v>313.719895</v>
      </c>
      <c r="K145" s="274">
        <v>339.29538999999994</v>
      </c>
      <c r="L145" s="274">
        <v>261.88333500000005</v>
      </c>
      <c r="M145" s="274">
        <v>265.177465</v>
      </c>
      <c r="N145" s="274">
        <v>349.61786</v>
      </c>
      <c r="O145" s="274">
        <v>355.706628384</v>
      </c>
      <c r="P145" s="274">
        <v>355.706628384</v>
      </c>
      <c r="Q145" s="274">
        <v>355.706628384</v>
      </c>
      <c r="R145" s="305">
        <v>355.706628384</v>
      </c>
      <c r="S145" s="305"/>
      <c r="T145" s="305"/>
      <c r="U145" s="305"/>
      <c r="V145" s="273"/>
      <c r="W145" s="273"/>
      <c r="X145" s="273"/>
      <c r="Y145" s="273"/>
    </row>
    <row r="146" spans="1:25" ht="12.75">
      <c r="A146" s="304">
        <v>481</v>
      </c>
      <c r="B146" s="262" t="s">
        <v>284</v>
      </c>
      <c r="C146" s="260">
        <v>2</v>
      </c>
      <c r="D146" s="274">
        <v>36933.10388</v>
      </c>
      <c r="E146" s="274">
        <v>37342.017922060484</v>
      </c>
      <c r="F146" s="274">
        <v>39226.486006054096</v>
      </c>
      <c r="G146" s="274">
        <v>20326.72369024829</v>
      </c>
      <c r="H146" s="274">
        <v>19645.584553746525</v>
      </c>
      <c r="I146" s="274">
        <v>1646.92334</v>
      </c>
      <c r="J146" s="274">
        <v>2404.2416639999997</v>
      </c>
      <c r="K146" s="274">
        <v>2609.1482079999996</v>
      </c>
      <c r="L146" s="274">
        <v>2013.857112</v>
      </c>
      <c r="M146" s="274">
        <v>2039.1886480000003</v>
      </c>
      <c r="N146" s="274">
        <v>1863.83199</v>
      </c>
      <c r="O146" s="274">
        <v>1892.2028149536</v>
      </c>
      <c r="P146" s="274">
        <v>1892.2028149536</v>
      </c>
      <c r="Q146" s="274">
        <v>1892.2028149536</v>
      </c>
      <c r="R146" s="305">
        <v>1892.2028149536</v>
      </c>
      <c r="S146" s="305"/>
      <c r="T146" s="305"/>
      <c r="U146" s="305"/>
      <c r="V146" s="273"/>
      <c r="W146" s="273"/>
      <c r="X146" s="273"/>
      <c r="Y146" s="273"/>
    </row>
    <row r="147" spans="1:25" ht="12.75">
      <c r="A147" s="304">
        <v>483</v>
      </c>
      <c r="B147" s="262" t="s">
        <v>285</v>
      </c>
      <c r="C147" s="260">
        <v>17</v>
      </c>
      <c r="D147" s="274">
        <v>2267.62275</v>
      </c>
      <c r="E147" s="274">
        <v>2227.163452895635</v>
      </c>
      <c r="F147" s="274">
        <v>2422.3638097082658</v>
      </c>
      <c r="G147" s="274">
        <v>1315.9718852574888</v>
      </c>
      <c r="H147" s="274">
        <v>1300.564453688661</v>
      </c>
      <c r="I147" s="274">
        <v>136.155</v>
      </c>
      <c r="J147" s="274">
        <v>121.732216</v>
      </c>
      <c r="K147" s="274">
        <v>131.933524</v>
      </c>
      <c r="L147" s="274">
        <v>101.83218600000001</v>
      </c>
      <c r="M147" s="274">
        <v>103.113094</v>
      </c>
      <c r="N147" s="274">
        <v>202.45713</v>
      </c>
      <c r="O147" s="274">
        <v>329.5824790992</v>
      </c>
      <c r="P147" s="274">
        <v>329.5824790992</v>
      </c>
      <c r="Q147" s="274">
        <v>329.5824790992</v>
      </c>
      <c r="R147" s="305">
        <v>329.5824790992</v>
      </c>
      <c r="S147" s="305"/>
      <c r="T147" s="305"/>
      <c r="U147" s="305"/>
      <c r="V147" s="273"/>
      <c r="W147" s="273"/>
      <c r="X147" s="273"/>
      <c r="Y147" s="273"/>
    </row>
    <row r="148" spans="1:25" ht="12.75">
      <c r="A148" s="304">
        <v>484</v>
      </c>
      <c r="B148" s="262" t="s">
        <v>286</v>
      </c>
      <c r="C148" s="260">
        <v>4</v>
      </c>
      <c r="D148" s="274">
        <v>7977.1304900000005</v>
      </c>
      <c r="E148" s="274">
        <v>7951.596100924241</v>
      </c>
      <c r="F148" s="274">
        <v>8128.681201701496</v>
      </c>
      <c r="G148" s="274">
        <v>3931.5878971585375</v>
      </c>
      <c r="H148" s="274">
        <v>3831.267755890377</v>
      </c>
      <c r="I148" s="274">
        <v>788.76071</v>
      </c>
      <c r="J148" s="274">
        <v>845.196437</v>
      </c>
      <c r="K148" s="274">
        <v>916.8032059999999</v>
      </c>
      <c r="L148" s="274">
        <v>707.629659</v>
      </c>
      <c r="M148" s="274">
        <v>716.530661</v>
      </c>
      <c r="N148" s="274">
        <v>991.85788</v>
      </c>
      <c r="O148" s="274">
        <v>991.8623034671998</v>
      </c>
      <c r="P148" s="274">
        <v>991.8623034671998</v>
      </c>
      <c r="Q148" s="274">
        <v>991.8623034671998</v>
      </c>
      <c r="R148" s="305">
        <v>991.8623034671998</v>
      </c>
      <c r="S148" s="305"/>
      <c r="T148" s="305"/>
      <c r="U148" s="305"/>
      <c r="V148" s="273"/>
      <c r="W148" s="273"/>
      <c r="X148" s="273"/>
      <c r="Y148" s="273"/>
    </row>
    <row r="149" spans="1:25" ht="12.75">
      <c r="A149" s="304">
        <v>489</v>
      </c>
      <c r="B149" s="262" t="s">
        <v>287</v>
      </c>
      <c r="C149" s="275">
        <v>8</v>
      </c>
      <c r="D149" s="274">
        <v>4667.14058</v>
      </c>
      <c r="E149" s="274">
        <v>4528.901599239965</v>
      </c>
      <c r="F149" s="274">
        <v>4733.941509404138</v>
      </c>
      <c r="G149" s="274">
        <v>2365.9841445745637</v>
      </c>
      <c r="H149" s="274">
        <v>2310.260964368366</v>
      </c>
      <c r="I149" s="274">
        <v>834.12248</v>
      </c>
      <c r="J149" s="274">
        <v>791.594892</v>
      </c>
      <c r="K149" s="274">
        <v>858.4351660000001</v>
      </c>
      <c r="L149" s="274">
        <v>662.5785989999999</v>
      </c>
      <c r="M149" s="274">
        <v>670.9129210000001</v>
      </c>
      <c r="N149" s="274">
        <v>495.04477</v>
      </c>
      <c r="O149" s="274">
        <v>504.93137376000004</v>
      </c>
      <c r="P149" s="274">
        <v>504.93137376000004</v>
      </c>
      <c r="Q149" s="274">
        <v>504.93137376000004</v>
      </c>
      <c r="R149" s="305">
        <v>504.93137376000004</v>
      </c>
      <c r="S149" s="305"/>
      <c r="T149" s="305"/>
      <c r="U149" s="305"/>
      <c r="V149" s="273"/>
      <c r="W149" s="273"/>
      <c r="X149" s="273"/>
      <c r="Y149" s="273"/>
    </row>
    <row r="150" spans="1:25" ht="12.75">
      <c r="A150" s="304">
        <v>491</v>
      </c>
      <c r="B150" s="262" t="s">
        <v>288</v>
      </c>
      <c r="C150" s="260">
        <v>10</v>
      </c>
      <c r="D150" s="274">
        <v>169358.3808</v>
      </c>
      <c r="E150" s="274">
        <v>173366.63007964846</v>
      </c>
      <c r="F150" s="274">
        <v>180334.56383139815</v>
      </c>
      <c r="G150" s="274">
        <v>92115.59428736621</v>
      </c>
      <c r="H150" s="274">
        <v>89787.76974345432</v>
      </c>
      <c r="I150" s="274">
        <v>13293.10576</v>
      </c>
      <c r="J150" s="274">
        <v>13610.844017000001</v>
      </c>
      <c r="K150" s="274">
        <v>14771.047278</v>
      </c>
      <c r="L150" s="274">
        <v>11400.953967</v>
      </c>
      <c r="M150" s="274">
        <v>11544.362193</v>
      </c>
      <c r="N150" s="274">
        <v>18947.3332</v>
      </c>
      <c r="O150" s="274">
        <v>19188.927898519196</v>
      </c>
      <c r="P150" s="274">
        <v>19188.927898519196</v>
      </c>
      <c r="Q150" s="274">
        <v>19188.927898519196</v>
      </c>
      <c r="R150" s="305">
        <v>19188.927898519196</v>
      </c>
      <c r="S150" s="305"/>
      <c r="T150" s="305"/>
      <c r="U150" s="305"/>
      <c r="V150" s="273"/>
      <c r="W150" s="273"/>
      <c r="X150" s="273"/>
      <c r="Y150" s="273"/>
    </row>
    <row r="151" spans="1:25" ht="12.75">
      <c r="A151" s="304">
        <v>494</v>
      </c>
      <c r="B151" s="262" t="s">
        <v>289</v>
      </c>
      <c r="C151" s="260">
        <v>17</v>
      </c>
      <c r="D151" s="274">
        <v>24970.072600000003</v>
      </c>
      <c r="E151" s="274">
        <v>26090.59264830734</v>
      </c>
      <c r="F151" s="274">
        <v>27305.47328996011</v>
      </c>
      <c r="G151" s="274">
        <v>14329.766470814862</v>
      </c>
      <c r="H151" s="274">
        <v>13993.06642883908</v>
      </c>
      <c r="I151" s="274">
        <v>1204.75899</v>
      </c>
      <c r="J151" s="274">
        <v>760.7060809999999</v>
      </c>
      <c r="K151" s="274">
        <v>818.40813</v>
      </c>
      <c r="L151" s="274">
        <v>631.683945</v>
      </c>
      <c r="M151" s="274">
        <v>639.629655</v>
      </c>
      <c r="N151" s="274">
        <v>3661.90971</v>
      </c>
      <c r="O151" s="274">
        <v>3636.4712360064</v>
      </c>
      <c r="P151" s="274">
        <v>3636.4712360064</v>
      </c>
      <c r="Q151" s="274">
        <v>3636.4712360064</v>
      </c>
      <c r="R151" s="305">
        <v>3636.4712360064</v>
      </c>
      <c r="S151" s="305"/>
      <c r="T151" s="305"/>
      <c r="U151" s="305"/>
      <c r="V151" s="273"/>
      <c r="W151" s="273"/>
      <c r="X151" s="273"/>
      <c r="Y151" s="273"/>
    </row>
    <row r="152" spans="1:25" ht="12.75">
      <c r="A152" s="304">
        <v>495</v>
      </c>
      <c r="B152" s="262" t="s">
        <v>290</v>
      </c>
      <c r="C152" s="260">
        <v>13</v>
      </c>
      <c r="D152" s="274">
        <v>3973.2375</v>
      </c>
      <c r="E152" s="274">
        <v>4044.418850798439</v>
      </c>
      <c r="F152" s="274">
        <v>4176.396057036675</v>
      </c>
      <c r="G152" s="274">
        <v>2305.23334685018</v>
      </c>
      <c r="H152" s="274">
        <v>2280.5969913783115</v>
      </c>
      <c r="I152" s="274">
        <v>1080.65754</v>
      </c>
      <c r="J152" s="274">
        <v>1108.390412</v>
      </c>
      <c r="K152" s="274">
        <v>1201.618394</v>
      </c>
      <c r="L152" s="274">
        <v>927.462741</v>
      </c>
      <c r="M152" s="274">
        <v>939.1289390000002</v>
      </c>
      <c r="N152" s="274">
        <v>403.81428000000005</v>
      </c>
      <c r="O152" s="274">
        <v>398.78419366800006</v>
      </c>
      <c r="P152" s="274">
        <v>398.78419366800006</v>
      </c>
      <c r="Q152" s="274">
        <v>398.78419366800006</v>
      </c>
      <c r="R152" s="305">
        <v>398.78419366800006</v>
      </c>
      <c r="S152" s="305"/>
      <c r="T152" s="305"/>
      <c r="U152" s="305"/>
      <c r="V152" s="273"/>
      <c r="W152" s="273"/>
      <c r="X152" s="273"/>
      <c r="Y152" s="273"/>
    </row>
    <row r="153" spans="1:25" ht="12.75">
      <c r="A153" s="304">
        <v>498</v>
      </c>
      <c r="B153" s="262" t="s">
        <v>291</v>
      </c>
      <c r="C153" s="260">
        <v>19</v>
      </c>
      <c r="D153" s="274">
        <v>7044.08808</v>
      </c>
      <c r="E153" s="274">
        <v>7422.500285458292</v>
      </c>
      <c r="F153" s="274">
        <v>7507.401007833406</v>
      </c>
      <c r="G153" s="274">
        <v>4183.560052695863</v>
      </c>
      <c r="H153" s="274">
        <v>4095.973845943384</v>
      </c>
      <c r="I153" s="274">
        <v>728.14525</v>
      </c>
      <c r="J153" s="274">
        <v>721.72262</v>
      </c>
      <c r="K153" s="274">
        <v>782.391708</v>
      </c>
      <c r="L153" s="274">
        <v>603.884862</v>
      </c>
      <c r="M153" s="274">
        <v>611.4808979999999</v>
      </c>
      <c r="N153" s="274">
        <v>965.8595600000001</v>
      </c>
      <c r="O153" s="274">
        <v>941.5437839760001</v>
      </c>
      <c r="P153" s="274">
        <v>941.5437839760001</v>
      </c>
      <c r="Q153" s="274">
        <v>941.5437839760001</v>
      </c>
      <c r="R153" s="305">
        <v>941.5437839760001</v>
      </c>
      <c r="S153" s="305"/>
      <c r="T153" s="305"/>
      <c r="U153" s="305"/>
      <c r="V153" s="273"/>
      <c r="W153" s="273"/>
      <c r="X153" s="273"/>
      <c r="Y153" s="273"/>
    </row>
    <row r="154" spans="1:25" ht="12.75">
      <c r="A154" s="304">
        <v>499</v>
      </c>
      <c r="B154" s="262" t="s">
        <v>292</v>
      </c>
      <c r="C154" s="260">
        <v>15</v>
      </c>
      <c r="D154" s="274">
        <v>69596.1353</v>
      </c>
      <c r="E154" s="274">
        <v>69947.12500761004</v>
      </c>
      <c r="F154" s="274">
        <v>73772.15637815885</v>
      </c>
      <c r="G154" s="274">
        <v>38392.65335269755</v>
      </c>
      <c r="H154" s="274">
        <v>37268.12496014056</v>
      </c>
      <c r="I154" s="274">
        <v>2650.0315</v>
      </c>
      <c r="J154" s="274">
        <v>2429.4754040000003</v>
      </c>
      <c r="K154" s="274">
        <v>2629.3304400000006</v>
      </c>
      <c r="L154" s="274">
        <v>2029.4346600000001</v>
      </c>
      <c r="M154" s="274">
        <v>2054.96214</v>
      </c>
      <c r="N154" s="274">
        <v>4578.7266500000005</v>
      </c>
      <c r="O154" s="274">
        <v>4552.9041108480005</v>
      </c>
      <c r="P154" s="274">
        <v>4552.9041108480005</v>
      </c>
      <c r="Q154" s="274">
        <v>4552.9041108480005</v>
      </c>
      <c r="R154" s="305">
        <v>4552.9041108480005</v>
      </c>
      <c r="S154" s="305"/>
      <c r="T154" s="305"/>
      <c r="U154" s="305"/>
      <c r="V154" s="273"/>
      <c r="W154" s="273"/>
      <c r="X154" s="273"/>
      <c r="Y154" s="273"/>
    </row>
    <row r="155" spans="1:25" ht="12.75">
      <c r="A155" s="304">
        <v>500</v>
      </c>
      <c r="B155" s="262" t="s">
        <v>293</v>
      </c>
      <c r="C155" s="275">
        <v>13</v>
      </c>
      <c r="D155" s="274">
        <v>34204.22168</v>
      </c>
      <c r="E155" s="274">
        <v>35942.34106142786</v>
      </c>
      <c r="F155" s="274">
        <v>36989.489304260336</v>
      </c>
      <c r="G155" s="274">
        <v>17961.56715471618</v>
      </c>
      <c r="H155" s="274">
        <v>17220.798883696447</v>
      </c>
      <c r="I155" s="274">
        <v>2316.3331200000002</v>
      </c>
      <c r="J155" s="274">
        <v>2174.881221</v>
      </c>
      <c r="K155" s="274">
        <v>2358.781988</v>
      </c>
      <c r="L155" s="274">
        <v>1820.6132820000003</v>
      </c>
      <c r="M155" s="274">
        <v>1843.5140780000002</v>
      </c>
      <c r="N155" s="274">
        <v>2133.90664</v>
      </c>
      <c r="O155" s="274">
        <v>2216.042131608</v>
      </c>
      <c r="P155" s="274">
        <v>2216.042131608</v>
      </c>
      <c r="Q155" s="274">
        <v>2216.042131608</v>
      </c>
      <c r="R155" s="305">
        <v>2216.042131608</v>
      </c>
      <c r="S155" s="305"/>
      <c r="T155" s="305"/>
      <c r="U155" s="305"/>
      <c r="V155" s="273"/>
      <c r="W155" s="273"/>
      <c r="X155" s="273"/>
      <c r="Y155" s="273"/>
    </row>
    <row r="156" spans="1:25" ht="12.75">
      <c r="A156" s="304">
        <v>503</v>
      </c>
      <c r="B156" s="262" t="s">
        <v>294</v>
      </c>
      <c r="C156" s="260">
        <v>2</v>
      </c>
      <c r="D156" s="274">
        <v>25159.87345</v>
      </c>
      <c r="E156" s="274">
        <v>25514.333257570685</v>
      </c>
      <c r="F156" s="274">
        <v>26379.342278131353</v>
      </c>
      <c r="G156" s="274">
        <v>13919.23502310068</v>
      </c>
      <c r="H156" s="274">
        <v>13574.165256099917</v>
      </c>
      <c r="I156" s="274">
        <v>1113.38083</v>
      </c>
      <c r="J156" s="274">
        <v>1004.687963</v>
      </c>
      <c r="K156" s="274">
        <v>1088.3736020000001</v>
      </c>
      <c r="L156" s="274">
        <v>840.0553530000002</v>
      </c>
      <c r="M156" s="274">
        <v>850.6220870000002</v>
      </c>
      <c r="N156" s="274">
        <v>1586.66058</v>
      </c>
      <c r="O156" s="274">
        <v>1584.9068469599997</v>
      </c>
      <c r="P156" s="274">
        <v>1584.9068469599997</v>
      </c>
      <c r="Q156" s="274">
        <v>1584.9068469599997</v>
      </c>
      <c r="R156" s="305">
        <v>1584.9068469599997</v>
      </c>
      <c r="S156" s="305"/>
      <c r="T156" s="305"/>
      <c r="U156" s="305"/>
      <c r="V156" s="273"/>
      <c r="W156" s="273"/>
      <c r="X156" s="273"/>
      <c r="Y156" s="273"/>
    </row>
    <row r="157" spans="1:25" ht="12.75">
      <c r="A157" s="304">
        <v>504</v>
      </c>
      <c r="B157" s="262" t="s">
        <v>295</v>
      </c>
      <c r="C157" s="260">
        <v>1</v>
      </c>
      <c r="D157" s="274">
        <v>5514.83207</v>
      </c>
      <c r="E157" s="274">
        <v>5743.741473042954</v>
      </c>
      <c r="F157" s="274">
        <v>5977.838651993814</v>
      </c>
      <c r="G157" s="274">
        <v>3279.640212839149</v>
      </c>
      <c r="H157" s="274">
        <v>3221.412341922382</v>
      </c>
      <c r="I157" s="274">
        <v>463.33703</v>
      </c>
      <c r="J157" s="274">
        <v>445.59004300000004</v>
      </c>
      <c r="K157" s="274">
        <v>482.946812</v>
      </c>
      <c r="L157" s="274">
        <v>372.759918</v>
      </c>
      <c r="M157" s="274">
        <v>377.448722</v>
      </c>
      <c r="N157" s="274">
        <v>399.92536</v>
      </c>
      <c r="O157" s="274">
        <v>394.568696832</v>
      </c>
      <c r="P157" s="274">
        <v>394.568696832</v>
      </c>
      <c r="Q157" s="274">
        <v>394.568696832</v>
      </c>
      <c r="R157" s="305">
        <v>394.568696832</v>
      </c>
      <c r="S157" s="305"/>
      <c r="T157" s="305"/>
      <c r="U157" s="305"/>
      <c r="V157" s="273"/>
      <c r="W157" s="273"/>
      <c r="X157" s="273"/>
      <c r="Y157" s="273"/>
    </row>
    <row r="158" spans="1:25" ht="12.75">
      <c r="A158" s="304">
        <v>505</v>
      </c>
      <c r="B158" s="262" t="s">
        <v>296</v>
      </c>
      <c r="C158" s="260">
        <v>1</v>
      </c>
      <c r="D158" s="274">
        <v>71548.65866</v>
      </c>
      <c r="E158" s="274">
        <v>71825.51297957831</v>
      </c>
      <c r="F158" s="274">
        <v>76510.82597956437</v>
      </c>
      <c r="G158" s="274">
        <v>39256.45430981201</v>
      </c>
      <c r="H158" s="274">
        <v>37918.50253146353</v>
      </c>
      <c r="I158" s="274">
        <v>2876.55252</v>
      </c>
      <c r="J158" s="274">
        <v>2861.468654999999</v>
      </c>
      <c r="K158" s="274">
        <v>3101.7337599999996</v>
      </c>
      <c r="L158" s="274">
        <v>2394.05664</v>
      </c>
      <c r="M158" s="274">
        <v>2424.17056</v>
      </c>
      <c r="N158" s="274">
        <v>6885.17036</v>
      </c>
      <c r="O158" s="274">
        <v>6779.412080232</v>
      </c>
      <c r="P158" s="274">
        <v>6779.412080232</v>
      </c>
      <c r="Q158" s="274">
        <v>6779.412080232</v>
      </c>
      <c r="R158" s="305">
        <v>6779.412080232</v>
      </c>
      <c r="S158" s="305"/>
      <c r="T158" s="305"/>
      <c r="U158" s="305"/>
      <c r="V158" s="273"/>
      <c r="W158" s="273"/>
      <c r="X158" s="273"/>
      <c r="Y158" s="273"/>
    </row>
    <row r="159" spans="1:25" ht="12.75">
      <c r="A159" s="304">
        <v>508</v>
      </c>
      <c r="B159" s="262" t="s">
        <v>297</v>
      </c>
      <c r="C159" s="260">
        <v>6</v>
      </c>
      <c r="D159" s="274">
        <v>35687.24553</v>
      </c>
      <c r="E159" s="274">
        <v>35301.99760001992</v>
      </c>
      <c r="F159" s="274">
        <v>36447.110565618044</v>
      </c>
      <c r="G159" s="274">
        <v>19524.787847782725</v>
      </c>
      <c r="H159" s="274">
        <v>19291.09532217202</v>
      </c>
      <c r="I159" s="274">
        <v>1771.51496</v>
      </c>
      <c r="J159" s="274">
        <v>2156.9007930000002</v>
      </c>
      <c r="K159" s="274">
        <v>2334.4472080000005</v>
      </c>
      <c r="L159" s="274">
        <v>1801.8306120000002</v>
      </c>
      <c r="M159" s="274">
        <v>1824.495148</v>
      </c>
      <c r="N159" s="274">
        <v>3181.6765699999996</v>
      </c>
      <c r="O159" s="274">
        <v>3147.9769597679997</v>
      </c>
      <c r="P159" s="274">
        <v>3147.9769597679997</v>
      </c>
      <c r="Q159" s="274">
        <v>3147.9769597679997</v>
      </c>
      <c r="R159" s="305">
        <v>3147.9769597679997</v>
      </c>
      <c r="S159" s="305"/>
      <c r="T159" s="305"/>
      <c r="U159" s="305"/>
      <c r="V159" s="273"/>
      <c r="W159" s="273"/>
      <c r="X159" s="273"/>
      <c r="Y159" s="273"/>
    </row>
    <row r="160" spans="1:25" ht="12.75">
      <c r="A160" s="304">
        <v>507</v>
      </c>
      <c r="B160" s="262" t="s">
        <v>298</v>
      </c>
      <c r="C160" s="260">
        <v>10</v>
      </c>
      <c r="D160" s="274">
        <v>16105.32085</v>
      </c>
      <c r="E160" s="274">
        <v>16269.11113093734</v>
      </c>
      <c r="F160" s="274">
        <v>16662.30141271331</v>
      </c>
      <c r="G160" s="274">
        <v>8138.987274542612</v>
      </c>
      <c r="H160" s="274">
        <v>7927.056583827798</v>
      </c>
      <c r="I160" s="274">
        <v>2345.95218</v>
      </c>
      <c r="J160" s="274">
        <v>2287.217722</v>
      </c>
      <c r="K160" s="274">
        <v>2479.3356599999997</v>
      </c>
      <c r="L160" s="274">
        <v>1913.6619899999998</v>
      </c>
      <c r="M160" s="274">
        <v>1937.7332099999996</v>
      </c>
      <c r="N160" s="274">
        <v>2567.5928900000004</v>
      </c>
      <c r="O160" s="274">
        <v>2806.318233708</v>
      </c>
      <c r="P160" s="274">
        <v>2806.318233708</v>
      </c>
      <c r="Q160" s="274">
        <v>2806.318233708</v>
      </c>
      <c r="R160" s="305">
        <v>2806.318233708</v>
      </c>
      <c r="S160" s="305"/>
      <c r="T160" s="305"/>
      <c r="U160" s="305"/>
      <c r="V160" s="273"/>
      <c r="W160" s="273"/>
      <c r="X160" s="273"/>
      <c r="Y160" s="273"/>
    </row>
    <row r="161" spans="1:25" ht="12.75">
      <c r="A161" s="304">
        <v>529</v>
      </c>
      <c r="B161" s="262" t="s">
        <v>299</v>
      </c>
      <c r="C161" s="260">
        <v>2</v>
      </c>
      <c r="D161" s="274">
        <v>71893.90068</v>
      </c>
      <c r="E161" s="274">
        <v>75676.71494658127</v>
      </c>
      <c r="F161" s="274">
        <v>77605.54187272266</v>
      </c>
      <c r="G161" s="274">
        <v>36246.88336327887</v>
      </c>
      <c r="H161" s="274">
        <v>34500.51776408494</v>
      </c>
      <c r="I161" s="274">
        <v>7868.23139</v>
      </c>
      <c r="J161" s="274">
        <v>10079.557018</v>
      </c>
      <c r="K161" s="274">
        <v>10942.171628</v>
      </c>
      <c r="L161" s="274">
        <v>8445.656742000001</v>
      </c>
      <c r="M161" s="274">
        <v>8551.891418</v>
      </c>
      <c r="N161" s="274">
        <v>6545.56179</v>
      </c>
      <c r="O161" s="274">
        <v>6603.633168912001</v>
      </c>
      <c r="P161" s="274">
        <v>6603.633168912001</v>
      </c>
      <c r="Q161" s="274">
        <v>6603.633168912001</v>
      </c>
      <c r="R161" s="305">
        <v>6603.633168912001</v>
      </c>
      <c r="S161" s="305"/>
      <c r="T161" s="305"/>
      <c r="U161" s="305"/>
      <c r="V161" s="273"/>
      <c r="W161" s="273"/>
      <c r="X161" s="273"/>
      <c r="Y161" s="273"/>
    </row>
    <row r="162" spans="1:25" ht="12.75">
      <c r="A162" s="304">
        <v>531</v>
      </c>
      <c r="B162" s="262" t="s">
        <v>300</v>
      </c>
      <c r="C162" s="260">
        <v>4</v>
      </c>
      <c r="D162" s="274">
        <v>16885.4575</v>
      </c>
      <c r="E162" s="274">
        <v>17793.282321967956</v>
      </c>
      <c r="F162" s="274">
        <v>18445.6674252048</v>
      </c>
      <c r="G162" s="274">
        <v>9629.818836264927</v>
      </c>
      <c r="H162" s="274">
        <v>9467.620686526509</v>
      </c>
      <c r="I162" s="274">
        <v>693.74287</v>
      </c>
      <c r="J162" s="274">
        <v>575.661515</v>
      </c>
      <c r="K162" s="274">
        <v>621.299296</v>
      </c>
      <c r="L162" s="274">
        <v>479.54654400000004</v>
      </c>
      <c r="M162" s="274">
        <v>485.57857600000006</v>
      </c>
      <c r="N162" s="274">
        <v>1340.02977</v>
      </c>
      <c r="O162" s="274">
        <v>1313.150300592</v>
      </c>
      <c r="P162" s="274">
        <v>1313.150300592</v>
      </c>
      <c r="Q162" s="274">
        <v>1313.150300592</v>
      </c>
      <c r="R162" s="305">
        <v>1313.150300592</v>
      </c>
      <c r="S162" s="305"/>
      <c r="T162" s="305"/>
      <c r="U162" s="305"/>
      <c r="V162" s="273"/>
      <c r="W162" s="273"/>
      <c r="X162" s="273"/>
      <c r="Y162" s="273"/>
    </row>
    <row r="163" spans="1:25" ht="12.75">
      <c r="A163" s="304">
        <v>535</v>
      </c>
      <c r="B163" s="262" t="s">
        <v>301</v>
      </c>
      <c r="C163" s="260">
        <v>17</v>
      </c>
      <c r="D163" s="274">
        <v>27412.30508</v>
      </c>
      <c r="E163" s="274">
        <v>28177.208763237497</v>
      </c>
      <c r="F163" s="274">
        <v>29263.59393892693</v>
      </c>
      <c r="G163" s="274">
        <v>15863.36088707504</v>
      </c>
      <c r="H163" s="274">
        <v>15612.605033384183</v>
      </c>
      <c r="I163" s="274">
        <v>1231.7588600000001</v>
      </c>
      <c r="J163" s="274">
        <v>1157.413923</v>
      </c>
      <c r="K163" s="274">
        <v>1253.488576</v>
      </c>
      <c r="L163" s="274">
        <v>967.498464</v>
      </c>
      <c r="M163" s="274">
        <v>979.668256</v>
      </c>
      <c r="N163" s="274">
        <v>2334.22308</v>
      </c>
      <c r="O163" s="274">
        <v>2446.881579156</v>
      </c>
      <c r="P163" s="274">
        <v>2446.881579156</v>
      </c>
      <c r="Q163" s="274">
        <v>2446.881579156</v>
      </c>
      <c r="R163" s="305">
        <v>2446.881579156</v>
      </c>
      <c r="S163" s="305"/>
      <c r="T163" s="305"/>
      <c r="U163" s="305"/>
      <c r="V163" s="273"/>
      <c r="W163" s="273"/>
      <c r="X163" s="273"/>
      <c r="Y163" s="273"/>
    </row>
    <row r="164" spans="1:25" ht="12.75">
      <c r="A164" s="304">
        <v>536</v>
      </c>
      <c r="B164" s="262" t="s">
        <v>302</v>
      </c>
      <c r="C164" s="260">
        <v>6</v>
      </c>
      <c r="D164" s="274">
        <v>114222.08299</v>
      </c>
      <c r="E164" s="274">
        <v>120770.85474266743</v>
      </c>
      <c r="F164" s="274">
        <v>126379.33418283054</v>
      </c>
      <c r="G164" s="274">
        <v>63998.86137208904</v>
      </c>
      <c r="H164" s="274">
        <v>62198.9094575509</v>
      </c>
      <c r="I164" s="274">
        <v>7239.76991</v>
      </c>
      <c r="J164" s="274">
        <v>9263.471346000002</v>
      </c>
      <c r="K164" s="274">
        <v>10058.501874000001</v>
      </c>
      <c r="L164" s="274">
        <v>7763.600961</v>
      </c>
      <c r="M164" s="274">
        <v>7861.256319</v>
      </c>
      <c r="N164" s="274">
        <v>8614.280480000001</v>
      </c>
      <c r="O164" s="274">
        <v>8841.591810012</v>
      </c>
      <c r="P164" s="274">
        <v>8841.591810012</v>
      </c>
      <c r="Q164" s="274">
        <v>8841.591810012</v>
      </c>
      <c r="R164" s="305">
        <v>8841.591810012</v>
      </c>
      <c r="S164" s="305"/>
      <c r="T164" s="305"/>
      <c r="U164" s="305"/>
      <c r="V164" s="273"/>
      <c r="W164" s="273"/>
      <c r="X164" s="273"/>
      <c r="Y164" s="273"/>
    </row>
    <row r="165" spans="1:25" ht="12.75">
      <c r="A165" s="304">
        <v>538</v>
      </c>
      <c r="B165" s="262" t="s">
        <v>303</v>
      </c>
      <c r="C165" s="260">
        <v>2</v>
      </c>
      <c r="D165" s="274">
        <v>16097.8206</v>
      </c>
      <c r="E165" s="274">
        <v>17028.685149419947</v>
      </c>
      <c r="F165" s="274">
        <v>17781.49929454113</v>
      </c>
      <c r="G165" s="274">
        <v>9592.272750337916</v>
      </c>
      <c r="H165" s="274">
        <v>9348.877127895132</v>
      </c>
      <c r="I165" s="274">
        <v>462.21416</v>
      </c>
      <c r="J165" s="274">
        <v>458.93018900000004</v>
      </c>
      <c r="K165" s="274">
        <v>497.059254</v>
      </c>
      <c r="L165" s="274">
        <v>383.65253099999995</v>
      </c>
      <c r="M165" s="274">
        <v>388.478349</v>
      </c>
      <c r="N165" s="274">
        <v>852.56157</v>
      </c>
      <c r="O165" s="274">
        <v>851.2478279040001</v>
      </c>
      <c r="P165" s="274">
        <v>851.2478279040001</v>
      </c>
      <c r="Q165" s="274">
        <v>851.2478279040001</v>
      </c>
      <c r="R165" s="305">
        <v>851.2478279040001</v>
      </c>
      <c r="S165" s="305"/>
      <c r="T165" s="305"/>
      <c r="U165" s="305"/>
      <c r="V165" s="273"/>
      <c r="W165" s="273"/>
      <c r="X165" s="273"/>
      <c r="Y165" s="273"/>
    </row>
    <row r="166" spans="1:25" ht="12.75">
      <c r="A166" s="304">
        <v>541</v>
      </c>
      <c r="B166" s="262" t="s">
        <v>304</v>
      </c>
      <c r="C166" s="260">
        <v>12</v>
      </c>
      <c r="D166" s="274">
        <v>19706.26224</v>
      </c>
      <c r="E166" s="274">
        <v>19875.53405368859</v>
      </c>
      <c r="F166" s="274">
        <v>20689.423275281344</v>
      </c>
      <c r="G166" s="274">
        <v>10510.22326914436</v>
      </c>
      <c r="H166" s="274">
        <v>10347.841451333832</v>
      </c>
      <c r="I166" s="274">
        <v>2881.04495</v>
      </c>
      <c r="J166" s="274">
        <v>2607.9726379999997</v>
      </c>
      <c r="K166" s="274">
        <v>2827.158214</v>
      </c>
      <c r="L166" s="274">
        <v>2182.1269709999997</v>
      </c>
      <c r="M166" s="274">
        <v>2209.5751089999994</v>
      </c>
      <c r="N166" s="274">
        <v>1652.36874</v>
      </c>
      <c r="O166" s="274">
        <v>1660.7561965032</v>
      </c>
      <c r="P166" s="274">
        <v>1660.7561965032</v>
      </c>
      <c r="Q166" s="274">
        <v>1660.7561965032</v>
      </c>
      <c r="R166" s="305">
        <v>1660.7561965032</v>
      </c>
      <c r="S166" s="305"/>
      <c r="T166" s="305"/>
      <c r="U166" s="305"/>
      <c r="V166" s="273"/>
      <c r="W166" s="273"/>
      <c r="X166" s="273"/>
      <c r="Y166" s="273"/>
    </row>
    <row r="167" spans="1:25" ht="12.75">
      <c r="A167" s="304">
        <v>543</v>
      </c>
      <c r="B167" s="262" t="s">
        <v>305</v>
      </c>
      <c r="C167" s="260">
        <v>1</v>
      </c>
      <c r="D167" s="274">
        <v>165825.21944</v>
      </c>
      <c r="E167" s="274">
        <v>168835.48778141674</v>
      </c>
      <c r="F167" s="274">
        <v>178706.13536300504</v>
      </c>
      <c r="G167" s="274">
        <v>86311.90872342713</v>
      </c>
      <c r="H167" s="274">
        <v>82184.72269405876</v>
      </c>
      <c r="I167" s="274">
        <v>7810.30671</v>
      </c>
      <c r="J167" s="274">
        <v>7737.963161000001</v>
      </c>
      <c r="K167" s="274">
        <v>8391.179898000002</v>
      </c>
      <c r="L167" s="274">
        <v>6476.6873970000015</v>
      </c>
      <c r="M167" s="274">
        <v>6558.155163</v>
      </c>
      <c r="N167" s="274">
        <v>8972.20283</v>
      </c>
      <c r="O167" s="274">
        <v>9370.9856228352</v>
      </c>
      <c r="P167" s="274">
        <v>9370.9856228352</v>
      </c>
      <c r="Q167" s="274">
        <v>9370.9856228352</v>
      </c>
      <c r="R167" s="305">
        <v>9370.9856228352</v>
      </c>
      <c r="S167" s="305"/>
      <c r="T167" s="305"/>
      <c r="U167" s="305"/>
      <c r="V167" s="273"/>
      <c r="W167" s="273"/>
      <c r="X167" s="273"/>
      <c r="Y167" s="273"/>
    </row>
    <row r="168" spans="1:25" ht="12.75">
      <c r="A168" s="304">
        <v>545</v>
      </c>
      <c r="B168" s="262" t="s">
        <v>306</v>
      </c>
      <c r="C168" s="260">
        <v>15</v>
      </c>
      <c r="D168" s="274">
        <v>26287.72295</v>
      </c>
      <c r="E168" s="274">
        <v>26787.4057495176</v>
      </c>
      <c r="F168" s="274">
        <v>27851.09811390769</v>
      </c>
      <c r="G168" s="274">
        <v>15389.866297176133</v>
      </c>
      <c r="H168" s="274">
        <v>15020.267521536474</v>
      </c>
      <c r="I168" s="274">
        <v>2618.978</v>
      </c>
      <c r="J168" s="274">
        <v>2558.114618</v>
      </c>
      <c r="K168" s="274">
        <v>2773.1680860000006</v>
      </c>
      <c r="L168" s="274">
        <v>2140.454979</v>
      </c>
      <c r="M168" s="274">
        <v>2167.378941</v>
      </c>
      <c r="N168" s="274">
        <v>2909.82163</v>
      </c>
      <c r="O168" s="274">
        <v>2975.5729992</v>
      </c>
      <c r="P168" s="274">
        <v>2975.5729992</v>
      </c>
      <c r="Q168" s="274">
        <v>2975.5729992</v>
      </c>
      <c r="R168" s="305">
        <v>2975.5729992</v>
      </c>
      <c r="S168" s="305"/>
      <c r="T168" s="305"/>
      <c r="U168" s="305"/>
      <c r="V168" s="273"/>
      <c r="W168" s="273"/>
      <c r="X168" s="273"/>
      <c r="Y168" s="273"/>
    </row>
    <row r="169" spans="1:25" ht="12.75">
      <c r="A169" s="304">
        <v>560</v>
      </c>
      <c r="B169" s="262" t="s">
        <v>307</v>
      </c>
      <c r="C169" s="260">
        <v>7</v>
      </c>
      <c r="D169" s="274">
        <v>48767.958</v>
      </c>
      <c r="E169" s="274">
        <v>49456.4990545275</v>
      </c>
      <c r="F169" s="274">
        <v>51420.88062785284</v>
      </c>
      <c r="G169" s="274">
        <v>26737.750467668033</v>
      </c>
      <c r="H169" s="274">
        <v>26103.86499575333</v>
      </c>
      <c r="I169" s="274">
        <v>2691.32123</v>
      </c>
      <c r="J169" s="274">
        <v>2407.074792</v>
      </c>
      <c r="K169" s="274">
        <v>2604.6751240000003</v>
      </c>
      <c r="L169" s="274">
        <v>2010.404586</v>
      </c>
      <c r="M169" s="274">
        <v>2035.692694</v>
      </c>
      <c r="N169" s="274">
        <v>4380.449549999999</v>
      </c>
      <c r="O169" s="274">
        <v>4305.385274376</v>
      </c>
      <c r="P169" s="274">
        <v>4305.385274376</v>
      </c>
      <c r="Q169" s="274">
        <v>4305.385274376</v>
      </c>
      <c r="R169" s="305">
        <v>4305.385274376</v>
      </c>
      <c r="S169" s="305"/>
      <c r="T169" s="305"/>
      <c r="U169" s="305"/>
      <c r="V169" s="273"/>
      <c r="W169" s="273"/>
      <c r="X169" s="273"/>
      <c r="Y169" s="273"/>
    </row>
    <row r="170" spans="1:25" ht="12.75">
      <c r="A170" s="304">
        <v>561</v>
      </c>
      <c r="B170" s="262" t="s">
        <v>308</v>
      </c>
      <c r="C170" s="260">
        <v>2</v>
      </c>
      <c r="D170" s="274">
        <v>3458.23634</v>
      </c>
      <c r="E170" s="274">
        <v>3454.2097259034886</v>
      </c>
      <c r="F170" s="274">
        <v>3600.2853367171015</v>
      </c>
      <c r="G170" s="274">
        <v>1803.706746193418</v>
      </c>
      <c r="H170" s="274">
        <v>1740.1467803006856</v>
      </c>
      <c r="I170" s="274">
        <v>387.94514000000004</v>
      </c>
      <c r="J170" s="274">
        <v>362.92500699999994</v>
      </c>
      <c r="K170" s="274">
        <v>393.275836</v>
      </c>
      <c r="L170" s="274">
        <v>303.547854</v>
      </c>
      <c r="M170" s="274">
        <v>307.366066</v>
      </c>
      <c r="N170" s="274">
        <v>327.06822999999997</v>
      </c>
      <c r="O170" s="274">
        <v>318.149799036</v>
      </c>
      <c r="P170" s="274">
        <v>318.149799036</v>
      </c>
      <c r="Q170" s="274">
        <v>318.149799036</v>
      </c>
      <c r="R170" s="305">
        <v>318.149799036</v>
      </c>
      <c r="S170" s="305"/>
      <c r="T170" s="305"/>
      <c r="U170" s="305"/>
      <c r="V170" s="273"/>
      <c r="W170" s="273"/>
      <c r="X170" s="273"/>
      <c r="Y170" s="273"/>
    </row>
    <row r="171" spans="1:25" ht="12.75">
      <c r="A171" s="304">
        <v>562</v>
      </c>
      <c r="B171" s="310" t="s">
        <v>309</v>
      </c>
      <c r="C171" s="260">
        <v>6</v>
      </c>
      <c r="D171" s="274">
        <v>28773.740329999997</v>
      </c>
      <c r="E171" s="274">
        <v>28877.33784562815</v>
      </c>
      <c r="F171" s="274">
        <v>30010.96087739281</v>
      </c>
      <c r="G171" s="274">
        <v>16636.827095321452</v>
      </c>
      <c r="H171" s="274">
        <v>16357.655258163708</v>
      </c>
      <c r="I171" s="274">
        <v>1971.6158400000002</v>
      </c>
      <c r="J171" s="274">
        <v>1933.3091939999997</v>
      </c>
      <c r="K171" s="274">
        <v>2095.96451</v>
      </c>
      <c r="L171" s="274">
        <v>1617.7590149999999</v>
      </c>
      <c r="M171" s="274">
        <v>1638.108185</v>
      </c>
      <c r="N171" s="274">
        <v>3022.21868</v>
      </c>
      <c r="O171" s="274">
        <v>2977.240722252</v>
      </c>
      <c r="P171" s="274">
        <v>2977.240722252</v>
      </c>
      <c r="Q171" s="274">
        <v>2977.240722252</v>
      </c>
      <c r="R171" s="305">
        <v>2977.240722252</v>
      </c>
      <c r="S171" s="305"/>
      <c r="T171" s="305"/>
      <c r="U171" s="305"/>
      <c r="V171" s="273"/>
      <c r="W171" s="273"/>
      <c r="X171" s="273"/>
      <c r="Y171" s="273"/>
    </row>
    <row r="172" spans="1:25" ht="12.75">
      <c r="A172" s="304">
        <v>563</v>
      </c>
      <c r="B172" s="262" t="s">
        <v>310</v>
      </c>
      <c r="C172" s="260">
        <v>17</v>
      </c>
      <c r="D172" s="274">
        <v>21435.77922</v>
      </c>
      <c r="E172" s="274">
        <v>21754.68666456912</v>
      </c>
      <c r="F172" s="274">
        <v>22477.345959979575</v>
      </c>
      <c r="G172" s="274">
        <v>12098.00583827983</v>
      </c>
      <c r="H172" s="274">
        <v>11890.480652142856</v>
      </c>
      <c r="I172" s="274">
        <v>1278.53695</v>
      </c>
      <c r="J172" s="274">
        <v>1147.889329</v>
      </c>
      <c r="K172" s="274">
        <v>1241.67324</v>
      </c>
      <c r="L172" s="274">
        <v>958.3788600000001</v>
      </c>
      <c r="M172" s="274">
        <v>970.43394</v>
      </c>
      <c r="N172" s="274">
        <v>1901.73713</v>
      </c>
      <c r="O172" s="274">
        <v>2022.2148890879998</v>
      </c>
      <c r="P172" s="274">
        <v>2022.2148890879998</v>
      </c>
      <c r="Q172" s="274">
        <v>2022.2148890879998</v>
      </c>
      <c r="R172" s="305">
        <v>2022.2148890879998</v>
      </c>
      <c r="S172" s="305"/>
      <c r="T172" s="305"/>
      <c r="U172" s="305"/>
      <c r="V172" s="273"/>
      <c r="W172" s="273"/>
      <c r="X172" s="273"/>
      <c r="Y172" s="273"/>
    </row>
    <row r="173" spans="1:25" ht="12.75">
      <c r="A173" s="304">
        <v>564</v>
      </c>
      <c r="B173" s="262" t="s">
        <v>311</v>
      </c>
      <c r="C173" s="260">
        <v>17</v>
      </c>
      <c r="D173" s="274">
        <v>665846.24416</v>
      </c>
      <c r="E173" s="274">
        <v>677908.6261596072</v>
      </c>
      <c r="F173" s="274">
        <v>715764.2830030351</v>
      </c>
      <c r="G173" s="274">
        <v>359938.70320594247</v>
      </c>
      <c r="H173" s="274">
        <v>346817.59325276833</v>
      </c>
      <c r="I173" s="274">
        <v>42612.01964</v>
      </c>
      <c r="J173" s="274">
        <v>45800.972078000006</v>
      </c>
      <c r="K173" s="274">
        <v>49636.46426000001</v>
      </c>
      <c r="L173" s="274">
        <v>38311.63988999999</v>
      </c>
      <c r="M173" s="274">
        <v>38793.54731</v>
      </c>
      <c r="N173" s="274">
        <v>56087.361619999996</v>
      </c>
      <c r="O173" s="274">
        <v>57023.261212411184</v>
      </c>
      <c r="P173" s="274">
        <v>57023.261212411184</v>
      </c>
      <c r="Q173" s="274">
        <v>57023.261212411184</v>
      </c>
      <c r="R173" s="305">
        <v>57023.261212411184</v>
      </c>
      <c r="S173" s="305"/>
      <c r="T173" s="305"/>
      <c r="U173" s="305"/>
      <c r="V173" s="273"/>
      <c r="W173" s="273"/>
      <c r="X173" s="273"/>
      <c r="Y173" s="273"/>
    </row>
    <row r="174" spans="1:25" ht="12.75">
      <c r="A174" s="304">
        <v>309</v>
      </c>
      <c r="B174" s="309" t="s">
        <v>312</v>
      </c>
      <c r="C174" s="260">
        <v>12</v>
      </c>
      <c r="D174" s="274">
        <v>19165.56128</v>
      </c>
      <c r="E174" s="274">
        <v>18879.055522049828</v>
      </c>
      <c r="F174" s="274">
        <v>19624.631157188396</v>
      </c>
      <c r="G174" s="274">
        <v>10555.863484150525</v>
      </c>
      <c r="H174" s="274">
        <v>10465.478184532532</v>
      </c>
      <c r="I174" s="274">
        <v>1435.6551000000002</v>
      </c>
      <c r="J174" s="274">
        <v>1269.557746</v>
      </c>
      <c r="K174" s="274">
        <v>1372.583974</v>
      </c>
      <c r="L174" s="274">
        <v>1059.421611</v>
      </c>
      <c r="M174" s="274">
        <v>1072.7476689999999</v>
      </c>
      <c r="N174" s="274">
        <v>1763.5146100000002</v>
      </c>
      <c r="O174" s="274">
        <v>1742.498699316</v>
      </c>
      <c r="P174" s="274">
        <v>1742.498699316</v>
      </c>
      <c r="Q174" s="274">
        <v>1742.498699316</v>
      </c>
      <c r="R174" s="305">
        <v>1742.498699316</v>
      </c>
      <c r="S174" s="305"/>
      <c r="T174" s="305"/>
      <c r="U174" s="305"/>
      <c r="V174" s="273"/>
      <c r="W174" s="273"/>
      <c r="X174" s="273"/>
      <c r="Y174" s="273"/>
    </row>
    <row r="175" spans="1:25" ht="12.75">
      <c r="A175" s="304">
        <v>576</v>
      </c>
      <c r="B175" s="262" t="s">
        <v>313</v>
      </c>
      <c r="C175" s="260">
        <v>7</v>
      </c>
      <c r="D175" s="274">
        <v>7978.5055999999995</v>
      </c>
      <c r="E175" s="274">
        <v>8239.256749143131</v>
      </c>
      <c r="F175" s="274">
        <v>8384.895859520133</v>
      </c>
      <c r="G175" s="274">
        <v>4421.122839112395</v>
      </c>
      <c r="H175" s="274">
        <v>4342.491507035963</v>
      </c>
      <c r="I175" s="274">
        <v>1271.46296</v>
      </c>
      <c r="J175" s="274">
        <v>1193.765409</v>
      </c>
      <c r="K175" s="274">
        <v>1293.8604559999999</v>
      </c>
      <c r="L175" s="274">
        <v>998.6592840000001</v>
      </c>
      <c r="M175" s="274">
        <v>1011.2210360000001</v>
      </c>
      <c r="N175" s="274">
        <v>1464.82079</v>
      </c>
      <c r="O175" s="274">
        <v>1463.9436712656</v>
      </c>
      <c r="P175" s="274">
        <v>1463.9436712656</v>
      </c>
      <c r="Q175" s="274">
        <v>1463.9436712656</v>
      </c>
      <c r="R175" s="305">
        <v>1463.9436712656</v>
      </c>
      <c r="S175" s="305"/>
      <c r="T175" s="305"/>
      <c r="U175" s="305"/>
      <c r="V175" s="273"/>
      <c r="W175" s="273"/>
      <c r="X175" s="273"/>
      <c r="Y175" s="273"/>
    </row>
    <row r="176" spans="1:25" ht="12.75">
      <c r="A176" s="304">
        <v>577</v>
      </c>
      <c r="B176" s="262" t="s">
        <v>314</v>
      </c>
      <c r="C176" s="260">
        <v>2</v>
      </c>
      <c r="D176" s="274">
        <v>38295.58845</v>
      </c>
      <c r="E176" s="274">
        <v>38746.85805957287</v>
      </c>
      <c r="F176" s="274">
        <v>40626.70678796053</v>
      </c>
      <c r="G176" s="274">
        <v>21106.842683129475</v>
      </c>
      <c r="H176" s="274">
        <v>20488.551526573894</v>
      </c>
      <c r="I176" s="274">
        <v>1494.15814</v>
      </c>
      <c r="J176" s="274">
        <v>1317.104032</v>
      </c>
      <c r="K176" s="274">
        <v>1423.8792099999998</v>
      </c>
      <c r="L176" s="274">
        <v>1099.013565</v>
      </c>
      <c r="M176" s="274">
        <v>1112.837635</v>
      </c>
      <c r="N176" s="274">
        <v>2301.59245</v>
      </c>
      <c r="O176" s="274">
        <v>2437.834862736</v>
      </c>
      <c r="P176" s="274">
        <v>2437.834862736</v>
      </c>
      <c r="Q176" s="274">
        <v>2437.834862736</v>
      </c>
      <c r="R176" s="305">
        <v>2437.834862736</v>
      </c>
      <c r="S176" s="305"/>
      <c r="T176" s="305"/>
      <c r="U176" s="305"/>
      <c r="V176" s="273"/>
      <c r="W176" s="273"/>
      <c r="X176" s="273"/>
      <c r="Y176" s="273"/>
    </row>
    <row r="177" spans="1:25" ht="12.75">
      <c r="A177" s="304">
        <v>578</v>
      </c>
      <c r="B177" s="310" t="s">
        <v>315</v>
      </c>
      <c r="C177" s="260">
        <v>18</v>
      </c>
      <c r="D177" s="274">
        <v>9355.89754</v>
      </c>
      <c r="E177" s="274">
        <v>9289.352699126273</v>
      </c>
      <c r="F177" s="274">
        <v>9606.692331905762</v>
      </c>
      <c r="G177" s="274">
        <v>5267.4299741400355</v>
      </c>
      <c r="H177" s="274">
        <v>5205.624678175272</v>
      </c>
      <c r="I177" s="274">
        <v>672.88525</v>
      </c>
      <c r="J177" s="274">
        <v>607.3638790000001</v>
      </c>
      <c r="K177" s="274">
        <v>657.4547680000002</v>
      </c>
      <c r="L177" s="274">
        <v>507.452952</v>
      </c>
      <c r="M177" s="274">
        <v>513.836008</v>
      </c>
      <c r="N177" s="274">
        <v>1287.84989</v>
      </c>
      <c r="O177" s="274">
        <v>1264.528154592</v>
      </c>
      <c r="P177" s="274">
        <v>1264.528154592</v>
      </c>
      <c r="Q177" s="274">
        <v>1264.528154592</v>
      </c>
      <c r="R177" s="305">
        <v>1264.528154592</v>
      </c>
      <c r="S177" s="305"/>
      <c r="T177" s="305"/>
      <c r="U177" s="305"/>
      <c r="V177" s="273"/>
      <c r="W177" s="273"/>
      <c r="X177" s="273"/>
      <c r="Y177" s="273"/>
    </row>
    <row r="178" spans="1:25" ht="12.75">
      <c r="A178" s="304">
        <v>445</v>
      </c>
      <c r="B178" s="262" t="s">
        <v>130</v>
      </c>
      <c r="C178" s="260">
        <v>2</v>
      </c>
      <c r="D178" s="274">
        <v>54789.26513</v>
      </c>
      <c r="E178" s="274">
        <v>55690.68635257784</v>
      </c>
      <c r="F178" s="274">
        <v>57621.50035054636</v>
      </c>
      <c r="G178" s="274">
        <v>28220.104462055548</v>
      </c>
      <c r="H178" s="274">
        <v>27236.26927093828</v>
      </c>
      <c r="I178" s="274">
        <v>2254.31277</v>
      </c>
      <c r="J178" s="274">
        <v>2361.82339</v>
      </c>
      <c r="K178" s="274">
        <v>2548.51458</v>
      </c>
      <c r="L178" s="274">
        <v>1967.05737</v>
      </c>
      <c r="M178" s="274">
        <v>1991.8002299999998</v>
      </c>
      <c r="N178" s="274">
        <v>9189.96085</v>
      </c>
      <c r="O178" s="274">
        <v>9185.1182282928</v>
      </c>
      <c r="P178" s="274">
        <v>9185.1182282928</v>
      </c>
      <c r="Q178" s="274">
        <v>9185.1182282928</v>
      </c>
      <c r="R178" s="305">
        <v>9185.1182282928</v>
      </c>
      <c r="S178" s="305"/>
      <c r="T178" s="305"/>
      <c r="U178" s="305"/>
      <c r="V178" s="273"/>
      <c r="W178" s="273"/>
      <c r="X178" s="273"/>
      <c r="Y178" s="273"/>
    </row>
    <row r="179" spans="1:25" ht="12.75">
      <c r="A179" s="304">
        <v>580</v>
      </c>
      <c r="B179" s="262" t="s">
        <v>316</v>
      </c>
      <c r="C179" s="260">
        <v>9</v>
      </c>
      <c r="D179" s="274">
        <v>12734.162900000001</v>
      </c>
      <c r="E179" s="274">
        <v>12496.985021109243</v>
      </c>
      <c r="F179" s="274">
        <v>12997.755848272991</v>
      </c>
      <c r="G179" s="274">
        <v>6181.589147587231</v>
      </c>
      <c r="H179" s="274">
        <v>6017.49372801537</v>
      </c>
      <c r="I179" s="274">
        <v>1747.5066399999998</v>
      </c>
      <c r="J179" s="274">
        <v>1442.566963</v>
      </c>
      <c r="K179" s="274">
        <v>1564.64416</v>
      </c>
      <c r="L179" s="274">
        <v>1207.66224</v>
      </c>
      <c r="M179" s="274">
        <v>1222.85296</v>
      </c>
      <c r="N179" s="274">
        <v>1332.454</v>
      </c>
      <c r="O179" s="274">
        <v>1360.2372609599997</v>
      </c>
      <c r="P179" s="274">
        <v>1360.2372609599997</v>
      </c>
      <c r="Q179" s="274">
        <v>1360.2372609599997</v>
      </c>
      <c r="R179" s="305">
        <v>1360.2372609599997</v>
      </c>
      <c r="S179" s="305"/>
      <c r="T179" s="305"/>
      <c r="U179" s="305"/>
      <c r="V179" s="273"/>
      <c r="W179" s="273"/>
      <c r="X179" s="273"/>
      <c r="Y179" s="273"/>
    </row>
    <row r="180" spans="1:25" ht="12.75">
      <c r="A180" s="304">
        <v>581</v>
      </c>
      <c r="B180" s="262" t="s">
        <v>317</v>
      </c>
      <c r="C180" s="260">
        <v>6</v>
      </c>
      <c r="D180" s="274">
        <v>18015.01942</v>
      </c>
      <c r="E180" s="274">
        <v>18905.040671234157</v>
      </c>
      <c r="F180" s="274">
        <v>20091.755422163096</v>
      </c>
      <c r="G180" s="274">
        <v>10883.000854404769</v>
      </c>
      <c r="H180" s="274">
        <v>10779.973107803535</v>
      </c>
      <c r="I180" s="274">
        <v>2180.81509</v>
      </c>
      <c r="J180" s="274">
        <v>2081.169361</v>
      </c>
      <c r="K180" s="274">
        <v>2253.4787020000003</v>
      </c>
      <c r="L180" s="274">
        <v>1739.335503</v>
      </c>
      <c r="M180" s="274">
        <v>1761.2139370000002</v>
      </c>
      <c r="N180" s="274">
        <v>1868.03528</v>
      </c>
      <c r="O180" s="274">
        <v>1906.9952579256</v>
      </c>
      <c r="P180" s="274">
        <v>1906.9952579256</v>
      </c>
      <c r="Q180" s="274">
        <v>1906.9952579256</v>
      </c>
      <c r="R180" s="305">
        <v>1906.9952579256</v>
      </c>
      <c r="S180" s="305"/>
      <c r="T180" s="305"/>
      <c r="U180" s="305"/>
      <c r="V180" s="273"/>
      <c r="W180" s="273"/>
      <c r="X180" s="273"/>
      <c r="Y180" s="273"/>
    </row>
    <row r="181" spans="1:25" ht="12.75">
      <c r="A181" s="304">
        <v>599</v>
      </c>
      <c r="B181" s="262" t="s">
        <v>131</v>
      </c>
      <c r="C181" s="260">
        <v>15</v>
      </c>
      <c r="D181" s="274">
        <v>30169.19296</v>
      </c>
      <c r="E181" s="274">
        <v>30814.15385699493</v>
      </c>
      <c r="F181" s="274">
        <v>32441.21299617296</v>
      </c>
      <c r="G181" s="274">
        <v>17270.608867099123</v>
      </c>
      <c r="H181" s="274">
        <v>16635.377777485675</v>
      </c>
      <c r="I181" s="274">
        <v>3209.70089</v>
      </c>
      <c r="J181" s="274">
        <v>2724.594944</v>
      </c>
      <c r="K181" s="274">
        <v>2954.3912299999997</v>
      </c>
      <c r="L181" s="274">
        <v>2280.331095</v>
      </c>
      <c r="M181" s="274">
        <v>2309.0145049999996</v>
      </c>
      <c r="N181" s="274">
        <v>2183.72845</v>
      </c>
      <c r="O181" s="274">
        <v>2192.1265373592</v>
      </c>
      <c r="P181" s="274">
        <v>2192.1265373592</v>
      </c>
      <c r="Q181" s="274">
        <v>2192.1265373592</v>
      </c>
      <c r="R181" s="305">
        <v>2192.1265373592</v>
      </c>
      <c r="S181" s="305"/>
      <c r="T181" s="305"/>
      <c r="U181" s="305"/>
      <c r="V181" s="273"/>
      <c r="W181" s="273"/>
      <c r="X181" s="273"/>
      <c r="Y181" s="273"/>
    </row>
    <row r="182" spans="1:25" ht="12.75">
      <c r="A182" s="304">
        <v>583</v>
      </c>
      <c r="B182" s="262" t="s">
        <v>318</v>
      </c>
      <c r="C182" s="260">
        <v>19</v>
      </c>
      <c r="D182" s="274">
        <v>2883.4213</v>
      </c>
      <c r="E182" s="274">
        <v>2911.1268730333986</v>
      </c>
      <c r="F182" s="274">
        <v>3009.965430069767</v>
      </c>
      <c r="G182" s="274">
        <v>1694.0808697902933</v>
      </c>
      <c r="H182" s="274">
        <v>1679.228779844832</v>
      </c>
      <c r="I182" s="274">
        <v>342.74262</v>
      </c>
      <c r="J182" s="274">
        <v>357.29513499999996</v>
      </c>
      <c r="K182" s="274">
        <v>387.02455999999995</v>
      </c>
      <c r="L182" s="274">
        <v>298.72284</v>
      </c>
      <c r="M182" s="274">
        <v>302.48036</v>
      </c>
      <c r="N182" s="274">
        <v>1750.74331</v>
      </c>
      <c r="O182" s="274">
        <v>1973.3264534999998</v>
      </c>
      <c r="P182" s="274">
        <v>1973.3264534999998</v>
      </c>
      <c r="Q182" s="274">
        <v>1973.3264534999998</v>
      </c>
      <c r="R182" s="305">
        <v>1973.3264534999998</v>
      </c>
      <c r="S182" s="305"/>
      <c r="T182" s="305"/>
      <c r="U182" s="305"/>
      <c r="V182" s="273"/>
      <c r="W182" s="273"/>
      <c r="X182" s="273"/>
      <c r="Y182" s="273"/>
    </row>
    <row r="183" spans="1:25" ht="12.75">
      <c r="A183" s="304">
        <v>854</v>
      </c>
      <c r="B183" s="262" t="s">
        <v>319</v>
      </c>
      <c r="C183" s="260">
        <v>19</v>
      </c>
      <c r="D183" s="274">
        <v>9553.70592</v>
      </c>
      <c r="E183" s="274">
        <v>10298.272122670742</v>
      </c>
      <c r="F183" s="274">
        <v>10561.88505181824</v>
      </c>
      <c r="G183" s="274">
        <v>5544.51222873316</v>
      </c>
      <c r="H183" s="274">
        <v>5449.091203908172</v>
      </c>
      <c r="I183" s="274">
        <v>790.90446</v>
      </c>
      <c r="J183" s="274">
        <v>788.298008</v>
      </c>
      <c r="K183" s="274">
        <v>852.343746</v>
      </c>
      <c r="L183" s="274">
        <v>657.8769689999999</v>
      </c>
      <c r="M183" s="274">
        <v>666.1521510000001</v>
      </c>
      <c r="N183" s="274">
        <v>745.52423</v>
      </c>
      <c r="O183" s="274">
        <v>734.9015712552001</v>
      </c>
      <c r="P183" s="274">
        <v>734.9015712552001</v>
      </c>
      <c r="Q183" s="274">
        <v>734.9015712552001</v>
      </c>
      <c r="R183" s="305">
        <v>734.9015712552001</v>
      </c>
      <c r="S183" s="305"/>
      <c r="T183" s="305"/>
      <c r="U183" s="305"/>
      <c r="V183" s="273"/>
      <c r="W183" s="273"/>
      <c r="X183" s="273"/>
      <c r="Y183" s="273"/>
    </row>
    <row r="184" spans="1:25" ht="12.75">
      <c r="A184" s="304">
        <v>584</v>
      </c>
      <c r="B184" s="262" t="s">
        <v>320</v>
      </c>
      <c r="C184" s="260">
        <v>16</v>
      </c>
      <c r="D184" s="274">
        <v>6568.90618</v>
      </c>
      <c r="E184" s="274">
        <v>6584.208938915333</v>
      </c>
      <c r="F184" s="274">
        <v>6856.519034664125</v>
      </c>
      <c r="G184" s="274">
        <v>3704.9464031054245</v>
      </c>
      <c r="H184" s="274">
        <v>3651.791758000853</v>
      </c>
      <c r="I184" s="274">
        <v>650.13243</v>
      </c>
      <c r="J184" s="274">
        <v>630.844134</v>
      </c>
      <c r="K184" s="274">
        <v>683.2566800000001</v>
      </c>
      <c r="L184" s="274">
        <v>527.36802</v>
      </c>
      <c r="M184" s="274">
        <v>534.00158</v>
      </c>
      <c r="N184" s="274">
        <v>582.60734</v>
      </c>
      <c r="O184" s="274">
        <v>733.0239639552001</v>
      </c>
      <c r="P184" s="274">
        <v>733.0239639552001</v>
      </c>
      <c r="Q184" s="274">
        <v>733.0239639552001</v>
      </c>
      <c r="R184" s="305">
        <v>733.0239639552001</v>
      </c>
      <c r="S184" s="305"/>
      <c r="T184" s="305"/>
      <c r="U184" s="305"/>
      <c r="V184" s="273"/>
      <c r="W184" s="273"/>
      <c r="X184" s="273"/>
      <c r="Y184" s="273"/>
    </row>
    <row r="185" spans="1:25" ht="12.75">
      <c r="A185" s="304">
        <v>588</v>
      </c>
      <c r="B185" s="262" t="s">
        <v>321</v>
      </c>
      <c r="C185" s="260">
        <v>10</v>
      </c>
      <c r="D185" s="274">
        <v>4125.61348</v>
      </c>
      <c r="E185" s="274">
        <v>4000.212749680229</v>
      </c>
      <c r="F185" s="274">
        <v>4329.022937573089</v>
      </c>
      <c r="G185" s="274">
        <v>2321.508230454672</v>
      </c>
      <c r="H185" s="274">
        <v>2288.0439251015914</v>
      </c>
      <c r="I185" s="274">
        <v>841.2985699999999</v>
      </c>
      <c r="J185" s="274">
        <v>813.643335</v>
      </c>
      <c r="K185" s="274">
        <v>882.48958</v>
      </c>
      <c r="L185" s="274">
        <v>681.14487</v>
      </c>
      <c r="M185" s="274">
        <v>689.71273</v>
      </c>
      <c r="N185" s="274">
        <v>812.99468</v>
      </c>
      <c r="O185" s="274">
        <v>813.77501592</v>
      </c>
      <c r="P185" s="274">
        <v>813.77501592</v>
      </c>
      <c r="Q185" s="274">
        <v>813.77501592</v>
      </c>
      <c r="R185" s="305">
        <v>813.77501592</v>
      </c>
      <c r="S185" s="305"/>
      <c r="T185" s="305"/>
      <c r="U185" s="305"/>
      <c r="V185" s="273"/>
      <c r="W185" s="273"/>
      <c r="X185" s="273"/>
      <c r="Y185" s="273"/>
    </row>
    <row r="186" spans="1:25" ht="12.75">
      <c r="A186" s="304">
        <v>592</v>
      </c>
      <c r="B186" s="262" t="s">
        <v>322</v>
      </c>
      <c r="C186" s="260">
        <v>13</v>
      </c>
      <c r="D186" s="274">
        <v>11046.083929999999</v>
      </c>
      <c r="E186" s="274">
        <v>11374.20578448383</v>
      </c>
      <c r="F186" s="274">
        <v>11816.744464649068</v>
      </c>
      <c r="G186" s="274">
        <v>6411.830906840828</v>
      </c>
      <c r="H186" s="274">
        <v>6327.801413137417</v>
      </c>
      <c r="I186" s="274">
        <v>1081.2243600000002</v>
      </c>
      <c r="J186" s="274">
        <v>1193.1470310000002</v>
      </c>
      <c r="K186" s="274">
        <v>1295.741854</v>
      </c>
      <c r="L186" s="274">
        <v>1000.1114309999999</v>
      </c>
      <c r="M186" s="274">
        <v>1012.691449</v>
      </c>
      <c r="N186" s="274">
        <v>881.90606</v>
      </c>
      <c r="O186" s="274">
        <v>933.4847575560002</v>
      </c>
      <c r="P186" s="274">
        <v>933.4847575560002</v>
      </c>
      <c r="Q186" s="274">
        <v>933.4847575560002</v>
      </c>
      <c r="R186" s="305">
        <v>933.4847575560002</v>
      </c>
      <c r="S186" s="305"/>
      <c r="T186" s="305"/>
      <c r="U186" s="305"/>
      <c r="V186" s="273"/>
      <c r="W186" s="273"/>
      <c r="X186" s="273"/>
      <c r="Y186" s="273"/>
    </row>
    <row r="187" spans="1:25" ht="12.75">
      <c r="A187" s="304">
        <v>593</v>
      </c>
      <c r="B187" s="262" t="s">
        <v>323</v>
      </c>
      <c r="C187" s="260">
        <v>10</v>
      </c>
      <c r="D187" s="274">
        <v>58000.08907</v>
      </c>
      <c r="E187" s="274">
        <v>58827.039503181484</v>
      </c>
      <c r="F187" s="274">
        <v>60339.0024309562</v>
      </c>
      <c r="G187" s="274">
        <v>32912.27490777775</v>
      </c>
      <c r="H187" s="274">
        <v>32525.799972330107</v>
      </c>
      <c r="I187" s="274">
        <v>4818.115589999999</v>
      </c>
      <c r="J187" s="274">
        <v>4588.191765999999</v>
      </c>
      <c r="K187" s="274">
        <v>4969.053719999999</v>
      </c>
      <c r="L187" s="274">
        <v>3835.33758</v>
      </c>
      <c r="M187" s="274">
        <v>3883.5808199999997</v>
      </c>
      <c r="N187" s="274">
        <v>4151.77066</v>
      </c>
      <c r="O187" s="274">
        <v>4229.962266744001</v>
      </c>
      <c r="P187" s="274">
        <v>4229.962266744001</v>
      </c>
      <c r="Q187" s="274">
        <v>4229.962266744001</v>
      </c>
      <c r="R187" s="305">
        <v>4229.962266744001</v>
      </c>
      <c r="S187" s="305"/>
      <c r="T187" s="305"/>
      <c r="U187" s="305"/>
      <c r="V187" s="273"/>
      <c r="W187" s="273"/>
      <c r="X187" s="273"/>
      <c r="Y187" s="273"/>
    </row>
    <row r="188" spans="1:25" ht="12.75">
      <c r="A188" s="304">
        <v>595</v>
      </c>
      <c r="B188" s="262" t="s">
        <v>324</v>
      </c>
      <c r="C188" s="260">
        <v>11</v>
      </c>
      <c r="D188" s="274">
        <v>10347.824460000002</v>
      </c>
      <c r="E188" s="274">
        <v>10925.634530044385</v>
      </c>
      <c r="F188" s="274">
        <v>11437.423744322063</v>
      </c>
      <c r="G188" s="274">
        <v>6264.904580537416</v>
      </c>
      <c r="H188" s="274">
        <v>6188.207464596125</v>
      </c>
      <c r="I188" s="274">
        <v>1534.2822800000001</v>
      </c>
      <c r="J188" s="274">
        <v>1469.865464</v>
      </c>
      <c r="K188" s="274">
        <v>1592.2458939999997</v>
      </c>
      <c r="L188" s="274">
        <v>1228.966491</v>
      </c>
      <c r="M188" s="274">
        <v>1244.425189</v>
      </c>
      <c r="N188" s="274">
        <v>1178.22404</v>
      </c>
      <c r="O188" s="274">
        <v>1168.5977441639998</v>
      </c>
      <c r="P188" s="274">
        <v>1168.5977441639998</v>
      </c>
      <c r="Q188" s="274">
        <v>1168.5977441639998</v>
      </c>
      <c r="R188" s="305">
        <v>1168.5977441639998</v>
      </c>
      <c r="S188" s="305"/>
      <c r="T188" s="305"/>
      <c r="U188" s="305"/>
      <c r="V188" s="273"/>
      <c r="W188" s="273"/>
      <c r="X188" s="273"/>
      <c r="Y188" s="273"/>
    </row>
    <row r="189" spans="1:25" ht="12.75">
      <c r="A189" s="304">
        <v>598</v>
      </c>
      <c r="B189" s="262" t="s">
        <v>325</v>
      </c>
      <c r="C189" s="260">
        <v>15</v>
      </c>
      <c r="D189" s="274">
        <v>66694.29665</v>
      </c>
      <c r="E189" s="274">
        <v>68689.78993556555</v>
      </c>
      <c r="F189" s="274">
        <v>70827.52133591207</v>
      </c>
      <c r="G189" s="274">
        <v>37676.69903668605</v>
      </c>
      <c r="H189" s="274">
        <v>36874.00486188354</v>
      </c>
      <c r="I189" s="274">
        <v>5922.0047</v>
      </c>
      <c r="J189" s="274">
        <v>6428.967078</v>
      </c>
      <c r="K189" s="274">
        <v>6976.280022000001</v>
      </c>
      <c r="L189" s="274">
        <v>5384.604482999999</v>
      </c>
      <c r="M189" s="274">
        <v>5452.335357000001</v>
      </c>
      <c r="N189" s="274">
        <v>5118.64318</v>
      </c>
      <c r="O189" s="274">
        <v>5816.362016855999</v>
      </c>
      <c r="P189" s="274">
        <v>5816.362016855999</v>
      </c>
      <c r="Q189" s="274">
        <v>5816.362016855999</v>
      </c>
      <c r="R189" s="305">
        <v>5816.362016855999</v>
      </c>
      <c r="S189" s="305"/>
      <c r="T189" s="305"/>
      <c r="U189" s="305"/>
      <c r="V189" s="273"/>
      <c r="W189" s="273"/>
      <c r="X189" s="273"/>
      <c r="Y189" s="273"/>
    </row>
    <row r="190" spans="1:25" ht="12.75">
      <c r="A190" s="304">
        <v>601</v>
      </c>
      <c r="B190" s="262" t="s">
        <v>326</v>
      </c>
      <c r="C190" s="260">
        <v>13</v>
      </c>
      <c r="D190" s="274">
        <v>9872.01149</v>
      </c>
      <c r="E190" s="274">
        <v>9709.16123981069</v>
      </c>
      <c r="F190" s="274">
        <v>10155.764913225377</v>
      </c>
      <c r="G190" s="274">
        <v>5322.152853766357</v>
      </c>
      <c r="H190" s="274">
        <v>5248.9454181232395</v>
      </c>
      <c r="I190" s="274">
        <v>1628.50253</v>
      </c>
      <c r="J190" s="274">
        <v>1601.416962</v>
      </c>
      <c r="K190" s="274">
        <v>1735.593054</v>
      </c>
      <c r="L190" s="274">
        <v>1339.608231</v>
      </c>
      <c r="M190" s="274">
        <v>1356.458649</v>
      </c>
      <c r="N190" s="274">
        <v>934.65691</v>
      </c>
      <c r="O190" s="274">
        <v>933.5329382304</v>
      </c>
      <c r="P190" s="274">
        <v>933.5329382304</v>
      </c>
      <c r="Q190" s="274">
        <v>933.5329382304</v>
      </c>
      <c r="R190" s="305">
        <v>933.5329382304</v>
      </c>
      <c r="S190" s="305"/>
      <c r="T190" s="305"/>
      <c r="U190" s="305"/>
      <c r="V190" s="273"/>
      <c r="W190" s="273"/>
      <c r="X190" s="273"/>
      <c r="Y190" s="273"/>
    </row>
    <row r="191" spans="1:25" ht="12.75">
      <c r="A191" s="304">
        <v>604</v>
      </c>
      <c r="B191" s="262" t="s">
        <v>327</v>
      </c>
      <c r="C191" s="260">
        <v>6</v>
      </c>
      <c r="D191" s="274">
        <v>76540.90536</v>
      </c>
      <c r="E191" s="274">
        <v>78185.65422936734</v>
      </c>
      <c r="F191" s="274">
        <v>83449.4182811277</v>
      </c>
      <c r="G191" s="274">
        <v>42146.70226430493</v>
      </c>
      <c r="H191" s="274">
        <v>40139.28695966781</v>
      </c>
      <c r="I191" s="274">
        <v>3742.91857</v>
      </c>
      <c r="J191" s="274">
        <v>3918.965976</v>
      </c>
      <c r="K191" s="274">
        <v>4254.447136</v>
      </c>
      <c r="L191" s="274">
        <v>3283.7723039999996</v>
      </c>
      <c r="M191" s="274">
        <v>3325.0776159999996</v>
      </c>
      <c r="N191" s="274">
        <v>5163.99709</v>
      </c>
      <c r="O191" s="274">
        <v>5249.354465831999</v>
      </c>
      <c r="P191" s="274">
        <v>5249.354465831999</v>
      </c>
      <c r="Q191" s="274">
        <v>5249.354465831999</v>
      </c>
      <c r="R191" s="305">
        <v>5249.354465831999</v>
      </c>
      <c r="S191" s="305"/>
      <c r="T191" s="305"/>
      <c r="U191" s="305"/>
      <c r="V191" s="273"/>
      <c r="W191" s="273"/>
      <c r="X191" s="273"/>
      <c r="Y191" s="273"/>
    </row>
    <row r="192" spans="1:25" ht="12.75">
      <c r="A192" s="304">
        <v>607</v>
      </c>
      <c r="B192" s="262" t="s">
        <v>328</v>
      </c>
      <c r="C192" s="260">
        <v>12</v>
      </c>
      <c r="D192" s="274">
        <v>9965.655279999999</v>
      </c>
      <c r="E192" s="274">
        <v>9878.481733943743</v>
      </c>
      <c r="F192" s="274">
        <v>10389.073614104796</v>
      </c>
      <c r="G192" s="274">
        <v>5276.398223140017</v>
      </c>
      <c r="H192" s="274">
        <v>5164.036492128834</v>
      </c>
      <c r="I192" s="274">
        <v>1240.76352</v>
      </c>
      <c r="J192" s="274">
        <v>1332.933873</v>
      </c>
      <c r="K192" s="274">
        <v>1446.79671</v>
      </c>
      <c r="L192" s="274">
        <v>1116.7023149999998</v>
      </c>
      <c r="M192" s="274">
        <v>1130.7488849999997</v>
      </c>
      <c r="N192" s="274">
        <v>908.63712</v>
      </c>
      <c r="O192" s="274">
        <v>897.86310246</v>
      </c>
      <c r="P192" s="274">
        <v>897.86310246</v>
      </c>
      <c r="Q192" s="274">
        <v>897.86310246</v>
      </c>
      <c r="R192" s="305">
        <v>897.86310246</v>
      </c>
      <c r="S192" s="305"/>
      <c r="T192" s="305"/>
      <c r="U192" s="305"/>
      <c r="V192" s="273"/>
      <c r="W192" s="273"/>
      <c r="X192" s="273"/>
      <c r="Y192" s="273"/>
    </row>
    <row r="193" spans="1:25" ht="12.75">
      <c r="A193" s="304">
        <v>608</v>
      </c>
      <c r="B193" s="262" t="s">
        <v>329</v>
      </c>
      <c r="C193" s="260">
        <v>4</v>
      </c>
      <c r="D193" s="274">
        <v>5495.01669</v>
      </c>
      <c r="E193" s="274">
        <v>5441.648389155695</v>
      </c>
      <c r="F193" s="274">
        <v>5674.704687031243</v>
      </c>
      <c r="G193" s="274">
        <v>2850.959114031237</v>
      </c>
      <c r="H193" s="274">
        <v>2809.8230709802633</v>
      </c>
      <c r="I193" s="274">
        <v>528.17542</v>
      </c>
      <c r="J193" s="274">
        <v>549.879507</v>
      </c>
      <c r="K193" s="274">
        <v>596.676116</v>
      </c>
      <c r="L193" s="274">
        <v>460.541274</v>
      </c>
      <c r="M193" s="274">
        <v>466.334246</v>
      </c>
      <c r="N193" s="274">
        <v>535.41239</v>
      </c>
      <c r="O193" s="274">
        <v>528.4013909639999</v>
      </c>
      <c r="P193" s="274">
        <v>528.4013909639999</v>
      </c>
      <c r="Q193" s="274">
        <v>528.4013909639999</v>
      </c>
      <c r="R193" s="305">
        <v>528.4013909639999</v>
      </c>
      <c r="S193" s="305"/>
      <c r="T193" s="305"/>
      <c r="U193" s="305"/>
      <c r="V193" s="273"/>
      <c r="W193" s="273"/>
      <c r="X193" s="273"/>
      <c r="Y193" s="273"/>
    </row>
    <row r="194" spans="1:25" ht="12.75">
      <c r="A194" s="304">
        <v>609</v>
      </c>
      <c r="B194" s="262" t="s">
        <v>330</v>
      </c>
      <c r="C194" s="260">
        <v>4</v>
      </c>
      <c r="D194" s="274">
        <v>263373.27754</v>
      </c>
      <c r="E194" s="274">
        <v>271569.63160436106</v>
      </c>
      <c r="F194" s="274">
        <v>280864.03280798515</v>
      </c>
      <c r="G194" s="274">
        <v>136373.88198846777</v>
      </c>
      <c r="H194" s="274">
        <v>132771.87647937392</v>
      </c>
      <c r="I194" s="274">
        <v>16961.20033</v>
      </c>
      <c r="J194" s="274">
        <v>16821.441284</v>
      </c>
      <c r="K194" s="274">
        <v>18220.935046</v>
      </c>
      <c r="L194" s="274">
        <v>14063.731419000003</v>
      </c>
      <c r="M194" s="274">
        <v>14240.633701</v>
      </c>
      <c r="N194" s="274">
        <v>23139.41776</v>
      </c>
      <c r="O194" s="274">
        <v>24180.7002834696</v>
      </c>
      <c r="P194" s="274">
        <v>24180.7002834696</v>
      </c>
      <c r="Q194" s="274">
        <v>24180.7002834696</v>
      </c>
      <c r="R194" s="305">
        <v>24180.7002834696</v>
      </c>
      <c r="S194" s="305"/>
      <c r="T194" s="305"/>
      <c r="U194" s="305"/>
      <c r="V194" s="273"/>
      <c r="W194" s="273"/>
      <c r="X194" s="273"/>
      <c r="Y194" s="273"/>
    </row>
    <row r="195" spans="1:25" ht="12.75">
      <c r="A195" s="304">
        <v>611</v>
      </c>
      <c r="B195" s="262" t="s">
        <v>331</v>
      </c>
      <c r="C195" s="260">
        <v>1</v>
      </c>
      <c r="D195" s="274">
        <v>18040.7618</v>
      </c>
      <c r="E195" s="274">
        <v>18265.866706598164</v>
      </c>
      <c r="F195" s="274">
        <v>19105.77660445959</v>
      </c>
      <c r="G195" s="274">
        <v>10071.893829248662</v>
      </c>
      <c r="H195" s="274">
        <v>9616.196317137941</v>
      </c>
      <c r="I195" s="274">
        <v>626.8663100000001</v>
      </c>
      <c r="J195" s="274">
        <v>740.7996509999999</v>
      </c>
      <c r="K195" s="274">
        <v>805.1320479999998</v>
      </c>
      <c r="L195" s="274">
        <v>621.4368719999999</v>
      </c>
      <c r="M195" s="274">
        <v>629.253688</v>
      </c>
      <c r="N195" s="274">
        <v>1129.01444</v>
      </c>
      <c r="O195" s="274">
        <v>1137.4688712000002</v>
      </c>
      <c r="P195" s="274">
        <v>1137.4688712000002</v>
      </c>
      <c r="Q195" s="274">
        <v>1137.4688712000002</v>
      </c>
      <c r="R195" s="305">
        <v>1137.4688712000002</v>
      </c>
      <c r="S195" s="305"/>
      <c r="T195" s="305"/>
      <c r="U195" s="305"/>
      <c r="V195" s="273"/>
      <c r="W195" s="273"/>
      <c r="X195" s="273"/>
      <c r="Y195" s="273"/>
    </row>
    <row r="196" spans="1:25" ht="12.75">
      <c r="A196" s="304">
        <v>638</v>
      </c>
      <c r="B196" s="262" t="s">
        <v>332</v>
      </c>
      <c r="C196" s="260">
        <v>1</v>
      </c>
      <c r="D196" s="274">
        <v>190592.35681</v>
      </c>
      <c r="E196" s="274">
        <v>195454.898176206</v>
      </c>
      <c r="F196" s="274">
        <v>204332.56374672826</v>
      </c>
      <c r="G196" s="274">
        <v>99840.99640700768</v>
      </c>
      <c r="H196" s="274">
        <v>95976.38323158858</v>
      </c>
      <c r="I196" s="274">
        <v>13930.63565</v>
      </c>
      <c r="J196" s="274">
        <v>22344.548995999998</v>
      </c>
      <c r="K196" s="274">
        <v>24244.690225999995</v>
      </c>
      <c r="L196" s="274">
        <v>18713.134689</v>
      </c>
      <c r="M196" s="274">
        <v>18948.520031</v>
      </c>
      <c r="N196" s="274">
        <v>16658.30445</v>
      </c>
      <c r="O196" s="274">
        <v>16660.473167280004</v>
      </c>
      <c r="P196" s="274">
        <v>16660.473167280004</v>
      </c>
      <c r="Q196" s="274">
        <v>16660.473167280004</v>
      </c>
      <c r="R196" s="305">
        <v>16660.473167280004</v>
      </c>
      <c r="S196" s="305"/>
      <c r="T196" s="305"/>
      <c r="U196" s="305"/>
      <c r="V196" s="273"/>
      <c r="W196" s="273"/>
      <c r="X196" s="273"/>
      <c r="Y196" s="273"/>
    </row>
    <row r="197" spans="1:25" ht="12.75">
      <c r="A197" s="304">
        <v>614</v>
      </c>
      <c r="B197" s="262" t="s">
        <v>333</v>
      </c>
      <c r="C197" s="260">
        <v>19</v>
      </c>
      <c r="D197" s="274">
        <v>8589.60721</v>
      </c>
      <c r="E197" s="274">
        <v>8278.65482735557</v>
      </c>
      <c r="F197" s="274">
        <v>8774.020425775725</v>
      </c>
      <c r="G197" s="274">
        <v>4774.553301127926</v>
      </c>
      <c r="H197" s="274">
        <v>4708.677729291199</v>
      </c>
      <c r="I197" s="274">
        <v>822.9604499999999</v>
      </c>
      <c r="J197" s="274">
        <v>675.027289</v>
      </c>
      <c r="K197" s="274">
        <v>730.3973080000001</v>
      </c>
      <c r="L197" s="274">
        <v>563.7532620000001</v>
      </c>
      <c r="M197" s="274">
        <v>570.844498</v>
      </c>
      <c r="N197" s="274">
        <v>1239.79608</v>
      </c>
      <c r="O197" s="274">
        <v>1248.6142679759998</v>
      </c>
      <c r="P197" s="274">
        <v>1248.6142679759998</v>
      </c>
      <c r="Q197" s="274">
        <v>1248.6142679759998</v>
      </c>
      <c r="R197" s="305">
        <v>1248.6142679759998</v>
      </c>
      <c r="S197" s="305"/>
      <c r="T197" s="305"/>
      <c r="U197" s="305"/>
      <c r="V197" s="273"/>
      <c r="W197" s="273"/>
      <c r="X197" s="273"/>
      <c r="Y197" s="273"/>
    </row>
    <row r="198" spans="1:25" ht="12.75">
      <c r="A198" s="304">
        <v>615</v>
      </c>
      <c r="B198" s="262" t="s">
        <v>334</v>
      </c>
      <c r="C198" s="260">
        <v>17</v>
      </c>
      <c r="D198" s="274">
        <v>18464.642640000002</v>
      </c>
      <c r="E198" s="274">
        <v>18345.291666954297</v>
      </c>
      <c r="F198" s="274">
        <v>19064.54020853612</v>
      </c>
      <c r="G198" s="274">
        <v>9823.154442295643</v>
      </c>
      <c r="H198" s="274">
        <v>9662.280800346707</v>
      </c>
      <c r="I198" s="274">
        <v>2832.28344</v>
      </c>
      <c r="J198" s="274">
        <v>2665.125802</v>
      </c>
      <c r="K198" s="274">
        <v>2886.384656</v>
      </c>
      <c r="L198" s="274">
        <v>2227.8405840000005</v>
      </c>
      <c r="M198" s="274">
        <v>2255.8637360000002</v>
      </c>
      <c r="N198" s="274">
        <v>1970.82621</v>
      </c>
      <c r="O198" s="274">
        <v>2084.0255901384</v>
      </c>
      <c r="P198" s="274">
        <v>2084.0255901384</v>
      </c>
      <c r="Q198" s="274">
        <v>2084.0255901384</v>
      </c>
      <c r="R198" s="305">
        <v>2084.0255901384</v>
      </c>
      <c r="S198" s="305"/>
      <c r="T198" s="305"/>
      <c r="U198" s="305"/>
      <c r="V198" s="273"/>
      <c r="W198" s="273"/>
      <c r="X198" s="273"/>
      <c r="Y198" s="273"/>
    </row>
    <row r="199" spans="1:25" ht="12.75">
      <c r="A199" s="304">
        <v>616</v>
      </c>
      <c r="B199" s="262" t="s">
        <v>335</v>
      </c>
      <c r="C199" s="260">
        <v>1</v>
      </c>
      <c r="D199" s="274">
        <v>6555.94125</v>
      </c>
      <c r="E199" s="274">
        <v>6085.702637190287</v>
      </c>
      <c r="F199" s="274">
        <v>6615.922655931624</v>
      </c>
      <c r="G199" s="274">
        <v>3582.033066964393</v>
      </c>
      <c r="H199" s="274">
        <v>3493.145025565514</v>
      </c>
      <c r="I199" s="274">
        <v>455.35276</v>
      </c>
      <c r="J199" s="274">
        <v>273.997034</v>
      </c>
      <c r="K199" s="274">
        <v>295.254032</v>
      </c>
      <c r="L199" s="274">
        <v>227.890248</v>
      </c>
      <c r="M199" s="274">
        <v>230.756792</v>
      </c>
      <c r="N199" s="274">
        <v>444.81344</v>
      </c>
      <c r="O199" s="274">
        <v>440.291165556</v>
      </c>
      <c r="P199" s="274">
        <v>440.291165556</v>
      </c>
      <c r="Q199" s="274">
        <v>440.291165556</v>
      </c>
      <c r="R199" s="305">
        <v>440.291165556</v>
      </c>
      <c r="S199" s="305"/>
      <c r="T199" s="305"/>
      <c r="U199" s="305"/>
      <c r="V199" s="273"/>
      <c r="W199" s="273"/>
      <c r="X199" s="273"/>
      <c r="Y199" s="273"/>
    </row>
    <row r="200" spans="1:25" ht="12.75">
      <c r="A200" s="304">
        <v>619</v>
      </c>
      <c r="B200" s="262" t="s">
        <v>336</v>
      </c>
      <c r="C200" s="260">
        <v>6</v>
      </c>
      <c r="D200" s="274">
        <v>7772.22771</v>
      </c>
      <c r="E200" s="274">
        <v>7767.882301255661</v>
      </c>
      <c r="F200" s="274">
        <v>8208.883057763733</v>
      </c>
      <c r="G200" s="274">
        <v>4478.827289989503</v>
      </c>
      <c r="H200" s="274">
        <v>4433.276788014633</v>
      </c>
      <c r="I200" s="274">
        <v>603.31624</v>
      </c>
      <c r="J200" s="274">
        <v>477.3299849999999</v>
      </c>
      <c r="K200" s="274">
        <v>516.76954</v>
      </c>
      <c r="L200" s="274">
        <v>398.86581</v>
      </c>
      <c r="M200" s="274">
        <v>403.88298999999995</v>
      </c>
      <c r="N200" s="274">
        <v>605.54545</v>
      </c>
      <c r="O200" s="274">
        <v>656.13132792</v>
      </c>
      <c r="P200" s="274">
        <v>656.13132792</v>
      </c>
      <c r="Q200" s="274">
        <v>656.13132792</v>
      </c>
      <c r="R200" s="305">
        <v>656.13132792</v>
      </c>
      <c r="S200" s="305"/>
      <c r="T200" s="305"/>
      <c r="U200" s="305"/>
      <c r="V200" s="273"/>
      <c r="W200" s="273"/>
      <c r="X200" s="273"/>
      <c r="Y200" s="273"/>
    </row>
    <row r="201" spans="1:25" ht="12.75">
      <c r="A201" s="304">
        <v>620</v>
      </c>
      <c r="B201" s="262" t="s">
        <v>337</v>
      </c>
      <c r="C201" s="260">
        <v>18</v>
      </c>
      <c r="D201" s="274">
        <v>6696.57151</v>
      </c>
      <c r="E201" s="274">
        <v>6608.160332023802</v>
      </c>
      <c r="F201" s="274">
        <v>6912.508329405555</v>
      </c>
      <c r="G201" s="274">
        <v>3736.5131308907426</v>
      </c>
      <c r="H201" s="274">
        <v>3677.4370542878896</v>
      </c>
      <c r="I201" s="274">
        <v>1367.42381</v>
      </c>
      <c r="J201" s="274">
        <v>1253.562874</v>
      </c>
      <c r="K201" s="274">
        <v>1357.81604</v>
      </c>
      <c r="L201" s="274">
        <v>1048.0230600000002</v>
      </c>
      <c r="M201" s="274">
        <v>1061.20574</v>
      </c>
      <c r="N201" s="274">
        <v>797.7903299999999</v>
      </c>
      <c r="O201" s="274">
        <v>790.4164668264</v>
      </c>
      <c r="P201" s="274">
        <v>790.4164668264</v>
      </c>
      <c r="Q201" s="274">
        <v>790.4164668264</v>
      </c>
      <c r="R201" s="305">
        <v>790.4164668264</v>
      </c>
      <c r="S201" s="305"/>
      <c r="T201" s="305"/>
      <c r="U201" s="305"/>
      <c r="V201" s="273"/>
      <c r="W201" s="273"/>
      <c r="X201" s="273"/>
      <c r="Y201" s="273"/>
    </row>
    <row r="202" spans="1:25" ht="12.75">
      <c r="A202" s="304">
        <v>623</v>
      </c>
      <c r="B202" s="262" t="s">
        <v>338</v>
      </c>
      <c r="C202" s="260">
        <v>10</v>
      </c>
      <c r="D202" s="274">
        <v>5724.10623</v>
      </c>
      <c r="E202" s="274">
        <v>5881.883638585958</v>
      </c>
      <c r="F202" s="274">
        <v>5971.472192757039</v>
      </c>
      <c r="G202" s="274">
        <v>3001.2042829133047</v>
      </c>
      <c r="H202" s="274">
        <v>2907.825673519002</v>
      </c>
      <c r="I202" s="274">
        <v>1470.34771</v>
      </c>
      <c r="J202" s="274">
        <v>1465.8988119999997</v>
      </c>
      <c r="K202" s="274">
        <v>1589.2914419999997</v>
      </c>
      <c r="L202" s="274">
        <v>1226.686113</v>
      </c>
      <c r="M202" s="274">
        <v>1242.1161269999998</v>
      </c>
      <c r="N202" s="274">
        <v>1725.9956399999999</v>
      </c>
      <c r="O202" s="274">
        <v>1711.9093723464002</v>
      </c>
      <c r="P202" s="274">
        <v>1711.9093723464002</v>
      </c>
      <c r="Q202" s="274">
        <v>1711.9093723464002</v>
      </c>
      <c r="R202" s="305">
        <v>1711.9093723464002</v>
      </c>
      <c r="S202" s="305"/>
      <c r="T202" s="305"/>
      <c r="U202" s="305"/>
      <c r="V202" s="273"/>
      <c r="W202" s="273"/>
      <c r="X202" s="273"/>
      <c r="Y202" s="273"/>
    </row>
    <row r="203" spans="1:25" ht="12.75">
      <c r="A203" s="304">
        <v>624</v>
      </c>
      <c r="B203" s="262" t="s">
        <v>132</v>
      </c>
      <c r="C203" s="260">
        <v>8</v>
      </c>
      <c r="D203" s="274">
        <v>17914.3285</v>
      </c>
      <c r="E203" s="274">
        <v>18069.975850526393</v>
      </c>
      <c r="F203" s="274">
        <v>18814.502184651585</v>
      </c>
      <c r="G203" s="274">
        <v>9380.642733606734</v>
      </c>
      <c r="H203" s="274">
        <v>9121.138969313766</v>
      </c>
      <c r="I203" s="274">
        <v>783.82277</v>
      </c>
      <c r="J203" s="274">
        <v>803.86869</v>
      </c>
      <c r="K203" s="274">
        <v>872.3869280000001</v>
      </c>
      <c r="L203" s="274">
        <v>673.3471920000001</v>
      </c>
      <c r="M203" s="274">
        <v>681.816968</v>
      </c>
      <c r="N203" s="274">
        <v>2005.4096599999998</v>
      </c>
      <c r="O203" s="274">
        <v>2061.4298920632</v>
      </c>
      <c r="P203" s="274">
        <v>2061.4298920632</v>
      </c>
      <c r="Q203" s="274">
        <v>2061.4298920632</v>
      </c>
      <c r="R203" s="305">
        <v>2061.4298920632</v>
      </c>
      <c r="S203" s="305"/>
      <c r="T203" s="305"/>
      <c r="U203" s="305"/>
      <c r="V203" s="273"/>
      <c r="W203" s="273"/>
      <c r="X203" s="273"/>
      <c r="Y203" s="273"/>
    </row>
    <row r="204" spans="1:25" ht="12.75">
      <c r="A204" s="304">
        <v>625</v>
      </c>
      <c r="B204" s="262" t="s">
        <v>339</v>
      </c>
      <c r="C204" s="260">
        <v>17</v>
      </c>
      <c r="D204" s="274">
        <v>9093.858380000001</v>
      </c>
      <c r="E204" s="274">
        <v>9015.991692475585</v>
      </c>
      <c r="F204" s="274">
        <v>9311.325805838069</v>
      </c>
      <c r="G204" s="274">
        <v>4636.050669777722</v>
      </c>
      <c r="H204" s="274">
        <v>4545.725613570463</v>
      </c>
      <c r="I204" s="274">
        <v>651.2756899999999</v>
      </c>
      <c r="J204" s="274">
        <v>592.911126</v>
      </c>
      <c r="K204" s="274">
        <v>643.3989760000001</v>
      </c>
      <c r="L204" s="274">
        <v>496.604064</v>
      </c>
      <c r="M204" s="274">
        <v>502.8506560000001</v>
      </c>
      <c r="N204" s="274">
        <v>907.31691</v>
      </c>
      <c r="O204" s="274">
        <v>1487.89943082</v>
      </c>
      <c r="P204" s="274">
        <v>1487.89943082</v>
      </c>
      <c r="Q204" s="274">
        <v>1487.89943082</v>
      </c>
      <c r="R204" s="305">
        <v>1487.89943082</v>
      </c>
      <c r="S204" s="305"/>
      <c r="T204" s="305"/>
      <c r="U204" s="305"/>
      <c r="V204" s="273"/>
      <c r="W204" s="273"/>
      <c r="X204" s="273"/>
      <c r="Y204" s="273"/>
    </row>
    <row r="205" spans="1:25" ht="12.75">
      <c r="A205" s="304">
        <v>626</v>
      </c>
      <c r="B205" s="262" t="s">
        <v>133</v>
      </c>
      <c r="C205" s="260">
        <v>17</v>
      </c>
      <c r="D205" s="274">
        <v>14172.15141</v>
      </c>
      <c r="E205" s="274">
        <v>14801.274446985575</v>
      </c>
      <c r="F205" s="274">
        <v>15196.092578503107</v>
      </c>
      <c r="G205" s="274">
        <v>7744.100174131493</v>
      </c>
      <c r="H205" s="274">
        <v>7615.492906738657</v>
      </c>
      <c r="I205" s="274">
        <v>6238.6905</v>
      </c>
      <c r="J205" s="274">
        <v>4883.128882</v>
      </c>
      <c r="K205" s="274">
        <v>5298.657222</v>
      </c>
      <c r="L205" s="274">
        <v>4089.740283</v>
      </c>
      <c r="M205" s="274">
        <v>4141.183556999999</v>
      </c>
      <c r="N205" s="274">
        <v>1193.61817</v>
      </c>
      <c r="O205" s="274">
        <v>1233.199306752</v>
      </c>
      <c r="P205" s="274">
        <v>1233.199306752</v>
      </c>
      <c r="Q205" s="274">
        <v>1233.199306752</v>
      </c>
      <c r="R205" s="305">
        <v>1233.199306752</v>
      </c>
      <c r="S205" s="305"/>
      <c r="T205" s="305"/>
      <c r="U205" s="305"/>
      <c r="V205" s="273"/>
      <c r="W205" s="273"/>
      <c r="X205" s="273"/>
      <c r="Y205" s="273"/>
    </row>
    <row r="206" spans="1:25" ht="12.75">
      <c r="A206" s="304">
        <v>630</v>
      </c>
      <c r="B206" s="262" t="s">
        <v>340</v>
      </c>
      <c r="C206" s="260">
        <v>17</v>
      </c>
      <c r="D206" s="274">
        <v>3768.7666200000003</v>
      </c>
      <c r="E206" s="274">
        <v>3788.549851142598</v>
      </c>
      <c r="F206" s="274">
        <v>3902.9458376984912</v>
      </c>
      <c r="G206" s="274">
        <v>1930.5298743676362</v>
      </c>
      <c r="H206" s="274">
        <v>1882.0475142552496</v>
      </c>
      <c r="I206" s="274">
        <v>591.07052</v>
      </c>
      <c r="J206" s="274">
        <v>639.561807</v>
      </c>
      <c r="K206" s="274">
        <v>694.2721180000001</v>
      </c>
      <c r="L206" s="274">
        <v>535.870227</v>
      </c>
      <c r="M206" s="274">
        <v>542.6107330000001</v>
      </c>
      <c r="N206" s="274">
        <v>433.01669</v>
      </c>
      <c r="O206" s="274">
        <v>470.18419405199995</v>
      </c>
      <c r="P206" s="274">
        <v>470.18419405199995</v>
      </c>
      <c r="Q206" s="274">
        <v>470.18419405199995</v>
      </c>
      <c r="R206" s="305">
        <v>470.18419405199995</v>
      </c>
      <c r="S206" s="305"/>
      <c r="T206" s="305"/>
      <c r="U206" s="305"/>
      <c r="V206" s="273"/>
      <c r="W206" s="273"/>
      <c r="X206" s="273"/>
      <c r="Y206" s="273"/>
    </row>
    <row r="207" spans="1:25" ht="12.75">
      <c r="A207" s="304">
        <v>631</v>
      </c>
      <c r="B207" s="262" t="s">
        <v>341</v>
      </c>
      <c r="C207" s="260">
        <v>2</v>
      </c>
      <c r="D207" s="274">
        <v>6960.40352</v>
      </c>
      <c r="E207" s="274">
        <v>7446.9835797353535</v>
      </c>
      <c r="F207" s="274">
        <v>7501.932335362789</v>
      </c>
      <c r="G207" s="274">
        <v>4020.2237614011915</v>
      </c>
      <c r="H207" s="274">
        <v>3971.1412997972825</v>
      </c>
      <c r="I207" s="274">
        <v>311.67018</v>
      </c>
      <c r="J207" s="274">
        <v>315.407063</v>
      </c>
      <c r="K207" s="274">
        <v>341.2911179999999</v>
      </c>
      <c r="L207" s="274">
        <v>263.423727</v>
      </c>
      <c r="M207" s="274">
        <v>266.737233</v>
      </c>
      <c r="N207" s="274">
        <v>852.66009</v>
      </c>
      <c r="O207" s="274">
        <v>856.494181344</v>
      </c>
      <c r="P207" s="274">
        <v>856.494181344</v>
      </c>
      <c r="Q207" s="274">
        <v>856.494181344</v>
      </c>
      <c r="R207" s="305">
        <v>856.494181344</v>
      </c>
      <c r="S207" s="305"/>
      <c r="T207" s="305"/>
      <c r="U207" s="305"/>
      <c r="V207" s="273"/>
      <c r="W207" s="273"/>
      <c r="X207" s="273"/>
      <c r="Y207" s="273"/>
    </row>
    <row r="208" spans="1:25" ht="12.75">
      <c r="A208" s="304">
        <v>635</v>
      </c>
      <c r="B208" s="262" t="s">
        <v>342</v>
      </c>
      <c r="C208" s="260">
        <v>6</v>
      </c>
      <c r="D208" s="274">
        <v>19571.02287</v>
      </c>
      <c r="E208" s="274">
        <v>19576.921735135402</v>
      </c>
      <c r="F208" s="274">
        <v>20244.327145376483</v>
      </c>
      <c r="G208" s="274">
        <v>10741.424005652905</v>
      </c>
      <c r="H208" s="274">
        <v>10494.77077262629</v>
      </c>
      <c r="I208" s="274">
        <v>1341.2381699999999</v>
      </c>
      <c r="J208" s="274">
        <v>1224.4993149999998</v>
      </c>
      <c r="K208" s="274">
        <v>1327.006886</v>
      </c>
      <c r="L208" s="274">
        <v>1024.2431789999998</v>
      </c>
      <c r="M208" s="274">
        <v>1037.1267409999998</v>
      </c>
      <c r="N208" s="274">
        <v>2168.17696</v>
      </c>
      <c r="O208" s="274">
        <v>2159.665410756</v>
      </c>
      <c r="P208" s="274">
        <v>2159.665410756</v>
      </c>
      <c r="Q208" s="274">
        <v>2159.665410756</v>
      </c>
      <c r="R208" s="305">
        <v>2159.665410756</v>
      </c>
      <c r="S208" s="305"/>
      <c r="T208" s="305"/>
      <c r="U208" s="305"/>
      <c r="V208" s="273"/>
      <c r="W208" s="273"/>
      <c r="X208" s="273"/>
      <c r="Y208" s="273"/>
    </row>
    <row r="209" spans="1:25" ht="12.75">
      <c r="A209" s="304">
        <v>636</v>
      </c>
      <c r="B209" s="262" t="s">
        <v>343</v>
      </c>
      <c r="C209" s="260">
        <v>2</v>
      </c>
      <c r="D209" s="274">
        <v>24228.143399999997</v>
      </c>
      <c r="E209" s="274">
        <v>24540.081901045083</v>
      </c>
      <c r="F209" s="274">
        <v>25608.613302356505</v>
      </c>
      <c r="G209" s="274">
        <v>13903.08329551335</v>
      </c>
      <c r="H209" s="274">
        <v>13563.820577929007</v>
      </c>
      <c r="I209" s="274">
        <v>1763.93584</v>
      </c>
      <c r="J209" s="274">
        <v>1674.05461</v>
      </c>
      <c r="K209" s="274">
        <v>1814.309362</v>
      </c>
      <c r="L209" s="274">
        <v>1400.364993</v>
      </c>
      <c r="M209" s="274">
        <v>1417.979647</v>
      </c>
      <c r="N209" s="274">
        <v>1708.60564</v>
      </c>
      <c r="O209" s="274">
        <v>1893.9545943360001</v>
      </c>
      <c r="P209" s="274">
        <v>1893.9545943360001</v>
      </c>
      <c r="Q209" s="274">
        <v>1893.9545943360001</v>
      </c>
      <c r="R209" s="305">
        <v>1893.9545943360001</v>
      </c>
      <c r="S209" s="305"/>
      <c r="T209" s="305"/>
      <c r="U209" s="305"/>
      <c r="V209" s="273"/>
      <c r="W209" s="273"/>
      <c r="X209" s="273"/>
      <c r="Y209" s="273"/>
    </row>
    <row r="210" spans="1:25" ht="12.75">
      <c r="A210" s="304">
        <v>678</v>
      </c>
      <c r="B210" s="262" t="s">
        <v>344</v>
      </c>
      <c r="C210" s="260">
        <v>17</v>
      </c>
      <c r="D210" s="274">
        <v>81213.38968000001</v>
      </c>
      <c r="E210" s="274">
        <v>83758.75919870396</v>
      </c>
      <c r="F210" s="274">
        <v>86040.73745139764</v>
      </c>
      <c r="G210" s="274">
        <v>44393.69466231589</v>
      </c>
      <c r="H210" s="274">
        <v>43524.25333003948</v>
      </c>
      <c r="I210" s="274">
        <v>3472.8353700000002</v>
      </c>
      <c r="J210" s="274">
        <v>3438.546251</v>
      </c>
      <c r="K210" s="274">
        <v>3666.0890939999995</v>
      </c>
      <c r="L210" s="274">
        <v>2829.6512909999997</v>
      </c>
      <c r="M210" s="274">
        <v>2865.2443889999995</v>
      </c>
      <c r="N210" s="274">
        <v>6209.87655</v>
      </c>
      <c r="O210" s="274">
        <v>6967.109074584</v>
      </c>
      <c r="P210" s="274">
        <v>6967.109074584</v>
      </c>
      <c r="Q210" s="274">
        <v>6967.109074584</v>
      </c>
      <c r="R210" s="305">
        <v>6967.109074584</v>
      </c>
      <c r="S210" s="305"/>
      <c r="T210" s="305"/>
      <c r="U210" s="305"/>
      <c r="V210" s="273"/>
      <c r="W210" s="273"/>
      <c r="X210" s="273"/>
      <c r="Y210" s="273"/>
    </row>
    <row r="211" spans="1:25" ht="12.75">
      <c r="A211" s="304">
        <v>710</v>
      </c>
      <c r="B211" s="262" t="s">
        <v>134</v>
      </c>
      <c r="C211" s="260">
        <v>1</v>
      </c>
      <c r="D211" s="274">
        <v>100338.49681</v>
      </c>
      <c r="E211" s="274">
        <v>99855.40773331154</v>
      </c>
      <c r="F211" s="274">
        <v>104350.67595013561</v>
      </c>
      <c r="G211" s="274">
        <v>57555.94088696674</v>
      </c>
      <c r="H211" s="274">
        <v>56386.1113885636</v>
      </c>
      <c r="I211" s="274">
        <v>4321.47112</v>
      </c>
      <c r="J211" s="274">
        <v>4586.875751</v>
      </c>
      <c r="K211" s="274">
        <v>4970.042108</v>
      </c>
      <c r="L211" s="274">
        <v>3836.100462</v>
      </c>
      <c r="M211" s="274">
        <v>3884.3532980000004</v>
      </c>
      <c r="N211" s="274">
        <v>11145.19332</v>
      </c>
      <c r="O211" s="274">
        <v>11374.0408261296</v>
      </c>
      <c r="P211" s="274">
        <v>11374.0408261296</v>
      </c>
      <c r="Q211" s="274">
        <v>11374.0408261296</v>
      </c>
      <c r="R211" s="305">
        <v>11374.0408261296</v>
      </c>
      <c r="S211" s="305"/>
      <c r="T211" s="305"/>
      <c r="U211" s="305"/>
      <c r="V211" s="273"/>
      <c r="W211" s="273"/>
      <c r="X211" s="273"/>
      <c r="Y211" s="273"/>
    </row>
    <row r="212" spans="1:25" ht="12.75">
      <c r="A212" s="304">
        <v>680</v>
      </c>
      <c r="B212" s="262" t="s">
        <v>345</v>
      </c>
      <c r="C212" s="260">
        <v>2</v>
      </c>
      <c r="D212" s="274">
        <v>85961.5128</v>
      </c>
      <c r="E212" s="274">
        <v>88284.36632432161</v>
      </c>
      <c r="F212" s="274">
        <v>91198.92618081019</v>
      </c>
      <c r="G212" s="274">
        <v>44472.36630767721</v>
      </c>
      <c r="H212" s="274">
        <v>42900.9386453608</v>
      </c>
      <c r="I212" s="274">
        <v>5902.33876</v>
      </c>
      <c r="J212" s="274">
        <v>5790.111724</v>
      </c>
      <c r="K212" s="274">
        <v>6265.835462</v>
      </c>
      <c r="L212" s="274">
        <v>4836.2516430000005</v>
      </c>
      <c r="M212" s="274">
        <v>4897.084997000001</v>
      </c>
      <c r="N212" s="274">
        <v>7710.19199</v>
      </c>
      <c r="O212" s="274">
        <v>7631.591460739201</v>
      </c>
      <c r="P212" s="274">
        <v>7631.591460739201</v>
      </c>
      <c r="Q212" s="274">
        <v>7631.591460739201</v>
      </c>
      <c r="R212" s="305">
        <v>7631.591460739201</v>
      </c>
      <c r="S212" s="305"/>
      <c r="T212" s="305"/>
      <c r="U212" s="305"/>
      <c r="V212" s="273"/>
      <c r="W212" s="273"/>
      <c r="X212" s="273"/>
      <c r="Y212" s="273"/>
    </row>
    <row r="213" spans="1:25" ht="12.75">
      <c r="A213" s="304">
        <v>681</v>
      </c>
      <c r="B213" s="262" t="s">
        <v>346</v>
      </c>
      <c r="C213" s="260">
        <v>10</v>
      </c>
      <c r="D213" s="274">
        <v>9065.90784</v>
      </c>
      <c r="E213" s="274">
        <v>8960.14985793514</v>
      </c>
      <c r="F213" s="274">
        <v>9411.227117891378</v>
      </c>
      <c r="G213" s="274">
        <v>4918.128936390786</v>
      </c>
      <c r="H213" s="274">
        <v>4842.458078273584</v>
      </c>
      <c r="I213" s="274">
        <v>1119.02017</v>
      </c>
      <c r="J213" s="274">
        <v>1074.594233</v>
      </c>
      <c r="K213" s="274">
        <v>1164.871496</v>
      </c>
      <c r="L213" s="274">
        <v>899.0998440000001</v>
      </c>
      <c r="M213" s="274">
        <v>910.4092759999999</v>
      </c>
      <c r="N213" s="274">
        <v>1055.0756399999998</v>
      </c>
      <c r="O213" s="274">
        <v>1071.6955447824</v>
      </c>
      <c r="P213" s="274">
        <v>1071.6955447824</v>
      </c>
      <c r="Q213" s="274">
        <v>1071.6955447824</v>
      </c>
      <c r="R213" s="305">
        <v>1071.6955447824</v>
      </c>
      <c r="S213" s="305"/>
      <c r="T213" s="305"/>
      <c r="U213" s="305"/>
      <c r="V213" s="273"/>
      <c r="W213" s="273"/>
      <c r="X213" s="273"/>
      <c r="Y213" s="273"/>
    </row>
    <row r="214" spans="1:25" ht="12.75">
      <c r="A214" s="304">
        <v>683</v>
      </c>
      <c r="B214" s="262" t="s">
        <v>347</v>
      </c>
      <c r="C214" s="260">
        <v>19</v>
      </c>
      <c r="D214" s="274">
        <v>8659.634199999999</v>
      </c>
      <c r="E214" s="274">
        <v>8570.895215162633</v>
      </c>
      <c r="F214" s="274">
        <v>8867.680898112103</v>
      </c>
      <c r="G214" s="274">
        <v>4432.072606610492</v>
      </c>
      <c r="H214" s="274">
        <v>4318.414793949025</v>
      </c>
      <c r="I214" s="274">
        <v>623.29192</v>
      </c>
      <c r="J214" s="274">
        <v>607.679439</v>
      </c>
      <c r="K214" s="274">
        <v>657.9431940000001</v>
      </c>
      <c r="L214" s="274">
        <v>507.82994099999996</v>
      </c>
      <c r="M214" s="274">
        <v>514.217739</v>
      </c>
      <c r="N214" s="274">
        <v>790.32335</v>
      </c>
      <c r="O214" s="274">
        <v>871.0300940400001</v>
      </c>
      <c r="P214" s="274">
        <v>871.0300940400001</v>
      </c>
      <c r="Q214" s="274">
        <v>871.0300940400001</v>
      </c>
      <c r="R214" s="305">
        <v>871.0300940400001</v>
      </c>
      <c r="S214" s="305"/>
      <c r="T214" s="305"/>
      <c r="U214" s="305"/>
      <c r="V214" s="273"/>
      <c r="W214" s="273"/>
      <c r="X214" s="273"/>
      <c r="Y214" s="273"/>
    </row>
    <row r="215" spans="1:25" ht="12.75">
      <c r="A215" s="304">
        <v>684</v>
      </c>
      <c r="B215" s="262" t="s">
        <v>348</v>
      </c>
      <c r="C215" s="260">
        <v>4</v>
      </c>
      <c r="D215" s="274">
        <v>150651.65117</v>
      </c>
      <c r="E215" s="274">
        <v>150975.62743610668</v>
      </c>
      <c r="F215" s="274">
        <v>156509.15409301614</v>
      </c>
      <c r="G215" s="274">
        <v>77001.9396566388</v>
      </c>
      <c r="H215" s="274">
        <v>74889.02794244053</v>
      </c>
      <c r="I215" s="274">
        <v>23054.37836</v>
      </c>
      <c r="J215" s="274">
        <v>16865.163504999997</v>
      </c>
      <c r="K215" s="274">
        <v>18269.958308</v>
      </c>
      <c r="L215" s="274">
        <v>14101.569762000001</v>
      </c>
      <c r="M215" s="274">
        <v>14278.947998000001</v>
      </c>
      <c r="N215" s="274">
        <v>8057.29847</v>
      </c>
      <c r="O215" s="274">
        <v>8124.306375312</v>
      </c>
      <c r="P215" s="274">
        <v>8124.306375312</v>
      </c>
      <c r="Q215" s="274">
        <v>8124.306375312</v>
      </c>
      <c r="R215" s="305">
        <v>8124.306375312</v>
      </c>
      <c r="S215" s="305"/>
      <c r="T215" s="305"/>
      <c r="U215" s="305"/>
      <c r="V215" s="273"/>
      <c r="W215" s="273"/>
      <c r="X215" s="273"/>
      <c r="Y215" s="273"/>
    </row>
    <row r="216" spans="1:25" ht="12.75">
      <c r="A216" s="304">
        <v>686</v>
      </c>
      <c r="B216" s="262" t="s">
        <v>349</v>
      </c>
      <c r="C216" s="260">
        <v>11</v>
      </c>
      <c r="D216" s="274">
        <v>8806.304470000001</v>
      </c>
      <c r="E216" s="274">
        <v>8727.550131343596</v>
      </c>
      <c r="F216" s="274">
        <v>8898.413445721952</v>
      </c>
      <c r="G216" s="274">
        <v>4972.038638719592</v>
      </c>
      <c r="H216" s="274">
        <v>4893.023936573169</v>
      </c>
      <c r="I216" s="274">
        <v>773.19825</v>
      </c>
      <c r="J216" s="274">
        <v>740.086861</v>
      </c>
      <c r="K216" s="274">
        <v>801.5946160000001</v>
      </c>
      <c r="L216" s="274">
        <v>618.706524</v>
      </c>
      <c r="M216" s="274">
        <v>626.488996</v>
      </c>
      <c r="N216" s="274">
        <v>1104.65303</v>
      </c>
      <c r="O216" s="274">
        <v>1129.160676792</v>
      </c>
      <c r="P216" s="274">
        <v>1129.160676792</v>
      </c>
      <c r="Q216" s="274">
        <v>1129.160676792</v>
      </c>
      <c r="R216" s="305">
        <v>1129.160676792</v>
      </c>
      <c r="S216" s="305"/>
      <c r="T216" s="305"/>
      <c r="U216" s="305"/>
      <c r="V216" s="273"/>
      <c r="W216" s="273"/>
      <c r="X216" s="273"/>
      <c r="Y216" s="273"/>
    </row>
    <row r="217" spans="1:25" ht="12.75">
      <c r="A217" s="304">
        <v>687</v>
      </c>
      <c r="B217" s="262" t="s">
        <v>350</v>
      </c>
      <c r="C217" s="260">
        <v>11</v>
      </c>
      <c r="D217" s="274">
        <v>3699.74426</v>
      </c>
      <c r="E217" s="274">
        <v>3911.625131521787</v>
      </c>
      <c r="F217" s="274">
        <v>4056.9640101979185</v>
      </c>
      <c r="G217" s="274">
        <v>2222.877555383697</v>
      </c>
      <c r="H217" s="274">
        <v>2210.510328647451</v>
      </c>
      <c r="I217" s="274">
        <v>1401.08539</v>
      </c>
      <c r="J217" s="274">
        <v>1393.8192719999997</v>
      </c>
      <c r="K217" s="274">
        <v>1511.1715039999997</v>
      </c>
      <c r="L217" s="274">
        <v>1166.389656</v>
      </c>
      <c r="M217" s="274">
        <v>1181.0612239999998</v>
      </c>
      <c r="N217" s="274">
        <v>362.26303</v>
      </c>
      <c r="O217" s="274">
        <v>434.26732065360005</v>
      </c>
      <c r="P217" s="274">
        <v>434.26732065360005</v>
      </c>
      <c r="Q217" s="274">
        <v>434.26732065360005</v>
      </c>
      <c r="R217" s="305">
        <v>434.26732065360005</v>
      </c>
      <c r="S217" s="305"/>
      <c r="T217" s="305"/>
      <c r="U217" s="305"/>
      <c r="V217" s="273"/>
      <c r="W217" s="273"/>
      <c r="X217" s="273"/>
      <c r="Y217" s="273"/>
    </row>
    <row r="218" spans="1:25" ht="12.75">
      <c r="A218" s="304">
        <v>689</v>
      </c>
      <c r="B218" s="262" t="s">
        <v>351</v>
      </c>
      <c r="C218" s="260">
        <v>9</v>
      </c>
      <c r="D218" s="274">
        <v>10558.55454</v>
      </c>
      <c r="E218" s="274">
        <v>10183.797302834171</v>
      </c>
      <c r="F218" s="274">
        <v>10504.58775116012</v>
      </c>
      <c r="G218" s="274">
        <v>5174.494502354331</v>
      </c>
      <c r="H218" s="274">
        <v>5062.867070982314</v>
      </c>
      <c r="I218" s="274">
        <v>1455.80729</v>
      </c>
      <c r="J218" s="274">
        <v>1407.4034809999998</v>
      </c>
      <c r="K218" s="274">
        <v>1529.3363779999997</v>
      </c>
      <c r="L218" s="274">
        <v>1180.410117</v>
      </c>
      <c r="M218" s="274">
        <v>1195.2580429999998</v>
      </c>
      <c r="N218" s="274">
        <v>760.59167</v>
      </c>
      <c r="O218" s="274">
        <v>748.8730061520001</v>
      </c>
      <c r="P218" s="274">
        <v>748.8730061520001</v>
      </c>
      <c r="Q218" s="274">
        <v>748.8730061520001</v>
      </c>
      <c r="R218" s="305">
        <v>748.8730061520001</v>
      </c>
      <c r="S218" s="305"/>
      <c r="T218" s="305"/>
      <c r="U218" s="305"/>
      <c r="V218" s="273"/>
      <c r="W218" s="273"/>
      <c r="X218" s="273"/>
      <c r="Y218" s="273"/>
    </row>
    <row r="219" spans="1:25" ht="12.75">
      <c r="A219" s="304">
        <v>691</v>
      </c>
      <c r="B219" s="262" t="s">
        <v>352</v>
      </c>
      <c r="C219" s="260">
        <v>17</v>
      </c>
      <c r="D219" s="274">
        <v>7136.28201</v>
      </c>
      <c r="E219" s="274">
        <v>7319.351726299913</v>
      </c>
      <c r="F219" s="274">
        <v>7714.136715506249</v>
      </c>
      <c r="G219" s="274">
        <v>4361.274308582499</v>
      </c>
      <c r="H219" s="274">
        <v>4305.855803961831</v>
      </c>
      <c r="I219" s="274">
        <v>415.07327000000004</v>
      </c>
      <c r="J219" s="274">
        <v>376.656976</v>
      </c>
      <c r="K219" s="274">
        <v>407.992064</v>
      </c>
      <c r="L219" s="274">
        <v>314.906496</v>
      </c>
      <c r="M219" s="274">
        <v>318.867584</v>
      </c>
      <c r="N219" s="274">
        <v>690.75119</v>
      </c>
      <c r="O219" s="274">
        <v>693.239005548</v>
      </c>
      <c r="P219" s="274">
        <v>693.239005548</v>
      </c>
      <c r="Q219" s="274">
        <v>693.239005548</v>
      </c>
      <c r="R219" s="305">
        <v>693.239005548</v>
      </c>
      <c r="S219" s="305"/>
      <c r="T219" s="305"/>
      <c r="U219" s="305"/>
      <c r="V219" s="273"/>
      <c r="W219" s="273"/>
      <c r="X219" s="273"/>
      <c r="Y219" s="273"/>
    </row>
    <row r="220" spans="1:25" ht="12.75">
      <c r="A220" s="304">
        <v>694</v>
      </c>
      <c r="B220" s="262" t="s">
        <v>353</v>
      </c>
      <c r="C220" s="260">
        <v>5</v>
      </c>
      <c r="D220" s="274">
        <v>103383.62432999999</v>
      </c>
      <c r="E220" s="274">
        <v>104273.50535297666</v>
      </c>
      <c r="F220" s="274">
        <v>109776.37480736818</v>
      </c>
      <c r="G220" s="274">
        <v>55736.4674874154</v>
      </c>
      <c r="H220" s="274">
        <v>54142.771647538124</v>
      </c>
      <c r="I220" s="274">
        <v>8703.23147</v>
      </c>
      <c r="J220" s="274">
        <v>8284.898307</v>
      </c>
      <c r="K220" s="274">
        <v>8983.830362000002</v>
      </c>
      <c r="L220" s="274">
        <v>6934.121493000001</v>
      </c>
      <c r="M220" s="274">
        <v>7021.3431470000005</v>
      </c>
      <c r="N220" s="274">
        <v>9621.50637</v>
      </c>
      <c r="O220" s="274">
        <v>9694.0331917368</v>
      </c>
      <c r="P220" s="274">
        <v>9694.0331917368</v>
      </c>
      <c r="Q220" s="274">
        <v>9694.0331917368</v>
      </c>
      <c r="R220" s="305">
        <v>9694.0331917368</v>
      </c>
      <c r="S220" s="305"/>
      <c r="T220" s="305"/>
      <c r="U220" s="305"/>
      <c r="V220" s="273"/>
      <c r="W220" s="273"/>
      <c r="X220" s="273"/>
      <c r="Y220" s="273"/>
    </row>
    <row r="221" spans="1:25" ht="12.75">
      <c r="A221" s="304">
        <v>697</v>
      </c>
      <c r="B221" s="262" t="s">
        <v>354</v>
      </c>
      <c r="C221" s="260">
        <v>18</v>
      </c>
      <c r="D221" s="274">
        <v>3762.76109</v>
      </c>
      <c r="E221" s="274">
        <v>3662.464115583787</v>
      </c>
      <c r="F221" s="274">
        <v>3805.211628778299</v>
      </c>
      <c r="G221" s="274">
        <v>2022.5818365906646</v>
      </c>
      <c r="H221" s="274">
        <v>2008.211519098257</v>
      </c>
      <c r="I221" s="274">
        <v>493.97198</v>
      </c>
      <c r="J221" s="274">
        <v>456.94152099999997</v>
      </c>
      <c r="K221" s="274">
        <v>494.93683599999997</v>
      </c>
      <c r="L221" s="274">
        <v>382.01435399999997</v>
      </c>
      <c r="M221" s="274">
        <v>386.819566</v>
      </c>
      <c r="N221" s="274">
        <v>825.65369</v>
      </c>
      <c r="O221" s="274">
        <v>809.055160536</v>
      </c>
      <c r="P221" s="274">
        <v>809.055160536</v>
      </c>
      <c r="Q221" s="274">
        <v>809.055160536</v>
      </c>
      <c r="R221" s="305">
        <v>809.055160536</v>
      </c>
      <c r="S221" s="305"/>
      <c r="T221" s="305"/>
      <c r="U221" s="305"/>
      <c r="V221" s="273"/>
      <c r="W221" s="273"/>
      <c r="X221" s="273"/>
      <c r="Y221" s="273"/>
    </row>
    <row r="222" spans="1:25" ht="12.75">
      <c r="A222" s="304">
        <v>698</v>
      </c>
      <c r="B222" s="304" t="s">
        <v>355</v>
      </c>
      <c r="C222" s="260">
        <v>19</v>
      </c>
      <c r="D222" s="274">
        <v>207250.91654</v>
      </c>
      <c r="E222" s="274">
        <v>211682.62095236868</v>
      </c>
      <c r="F222" s="274">
        <v>220693.64258168527</v>
      </c>
      <c r="G222" s="274">
        <v>116898.88355259784</v>
      </c>
      <c r="H222" s="274">
        <v>113884.38805833762</v>
      </c>
      <c r="I222" s="274">
        <v>11869.921470000001</v>
      </c>
      <c r="J222" s="274">
        <v>10382.330597000002</v>
      </c>
      <c r="K222" s="274">
        <v>11251.804666000002</v>
      </c>
      <c r="L222" s="274">
        <v>8684.645349000002</v>
      </c>
      <c r="M222" s="274">
        <v>8793.886171000002</v>
      </c>
      <c r="N222" s="274">
        <v>30474.13655</v>
      </c>
      <c r="O222" s="274">
        <v>30525.717783803997</v>
      </c>
      <c r="P222" s="274">
        <v>30525.717783803997</v>
      </c>
      <c r="Q222" s="274">
        <v>30525.717783803997</v>
      </c>
      <c r="R222" s="305">
        <v>30525.717783803997</v>
      </c>
      <c r="S222" s="305"/>
      <c r="T222" s="305"/>
      <c r="U222" s="305"/>
      <c r="V222" s="273"/>
      <c r="W222" s="273"/>
      <c r="X222" s="273"/>
      <c r="Y222" s="273"/>
    </row>
    <row r="223" spans="1:25" ht="12.75">
      <c r="A223" s="304">
        <v>700</v>
      </c>
      <c r="B223" s="304" t="s">
        <v>356</v>
      </c>
      <c r="C223" s="260">
        <v>9</v>
      </c>
      <c r="D223" s="274">
        <v>17009.44504</v>
      </c>
      <c r="E223" s="274">
        <v>17213.1603160574</v>
      </c>
      <c r="F223" s="274">
        <v>17561.322261161564</v>
      </c>
      <c r="G223" s="274">
        <v>8775.35147848347</v>
      </c>
      <c r="H223" s="274">
        <v>8614.262498961718</v>
      </c>
      <c r="I223" s="274">
        <v>2056.45618</v>
      </c>
      <c r="J223" s="274">
        <v>2037.554651</v>
      </c>
      <c r="K223" s="274">
        <v>2210.526054</v>
      </c>
      <c r="L223" s="274">
        <v>1706.1827310000003</v>
      </c>
      <c r="M223" s="274">
        <v>1727.644149</v>
      </c>
      <c r="N223" s="274">
        <v>1793.1323200000002</v>
      </c>
      <c r="O223" s="274">
        <v>1787.5845813432002</v>
      </c>
      <c r="P223" s="274">
        <v>1787.5845813432002</v>
      </c>
      <c r="Q223" s="274">
        <v>1787.5845813432002</v>
      </c>
      <c r="R223" s="305">
        <v>1787.5845813432002</v>
      </c>
      <c r="S223" s="305"/>
      <c r="T223" s="305"/>
      <c r="U223" s="305"/>
      <c r="V223" s="273"/>
      <c r="W223" s="273"/>
      <c r="X223" s="273"/>
      <c r="Y223" s="273"/>
    </row>
    <row r="224" spans="1:25" ht="12.75">
      <c r="A224" s="304">
        <v>702</v>
      </c>
      <c r="B224" s="306" t="s">
        <v>357</v>
      </c>
      <c r="C224" s="260">
        <v>6</v>
      </c>
      <c r="D224" s="274">
        <v>13311.66977</v>
      </c>
      <c r="E224" s="274">
        <v>12956.904147374515</v>
      </c>
      <c r="F224" s="274">
        <v>13488.54005133754</v>
      </c>
      <c r="G224" s="274">
        <v>7290.894912650324</v>
      </c>
      <c r="H224" s="274">
        <v>7236.4043012182</v>
      </c>
      <c r="I224" s="274">
        <v>1657.5929099999998</v>
      </c>
      <c r="J224" s="274">
        <v>1579.573605</v>
      </c>
      <c r="K224" s="274">
        <v>1712.7647519999998</v>
      </c>
      <c r="L224" s="274">
        <v>1321.988328</v>
      </c>
      <c r="M224" s="274">
        <v>1338.617112</v>
      </c>
      <c r="N224" s="274">
        <v>1604.40184</v>
      </c>
      <c r="O224" s="274">
        <v>1597.590460344</v>
      </c>
      <c r="P224" s="274">
        <v>1597.590460344</v>
      </c>
      <c r="Q224" s="274">
        <v>1597.590460344</v>
      </c>
      <c r="R224" s="305">
        <v>1597.590460344</v>
      </c>
      <c r="S224" s="305"/>
      <c r="T224" s="305"/>
      <c r="U224" s="305"/>
      <c r="V224" s="273"/>
      <c r="W224" s="273"/>
      <c r="X224" s="273"/>
      <c r="Y224" s="273"/>
    </row>
    <row r="225" spans="1:25" ht="12.75">
      <c r="A225" s="304">
        <v>704</v>
      </c>
      <c r="B225" s="262" t="s">
        <v>358</v>
      </c>
      <c r="C225" s="260">
        <v>2</v>
      </c>
      <c r="D225" s="274">
        <v>21838.49187</v>
      </c>
      <c r="E225" s="274">
        <v>22963.001452961416</v>
      </c>
      <c r="F225" s="274">
        <v>23757.05408589389</v>
      </c>
      <c r="G225" s="274">
        <v>11867.92746941658</v>
      </c>
      <c r="H225" s="274">
        <v>11328.282558130732</v>
      </c>
      <c r="I225" s="274">
        <v>1298.67108</v>
      </c>
      <c r="J225" s="274">
        <v>1280.1227439999998</v>
      </c>
      <c r="K225" s="274">
        <v>1387.654316</v>
      </c>
      <c r="L225" s="274">
        <v>1071.053574</v>
      </c>
      <c r="M225" s="274">
        <v>1084.525946</v>
      </c>
      <c r="N225" s="274">
        <v>1171.77444</v>
      </c>
      <c r="O225" s="274">
        <v>1174.3050284928</v>
      </c>
      <c r="P225" s="274">
        <v>1174.3050284928</v>
      </c>
      <c r="Q225" s="274">
        <v>1174.3050284928</v>
      </c>
      <c r="R225" s="305">
        <v>1174.3050284928</v>
      </c>
      <c r="S225" s="305"/>
      <c r="T225" s="305"/>
      <c r="U225" s="305"/>
      <c r="V225" s="273"/>
      <c r="W225" s="273"/>
      <c r="X225" s="273"/>
      <c r="Y225" s="273"/>
    </row>
    <row r="226" spans="1:25" ht="12.75">
      <c r="A226" s="304">
        <v>707</v>
      </c>
      <c r="B226" s="262" t="s">
        <v>359</v>
      </c>
      <c r="C226" s="260">
        <v>12</v>
      </c>
      <c r="D226" s="274">
        <v>4877.26643</v>
      </c>
      <c r="E226" s="274">
        <v>4930.894235062774</v>
      </c>
      <c r="F226" s="274">
        <v>5057.935081268905</v>
      </c>
      <c r="G226" s="274">
        <v>2819.1413677215</v>
      </c>
      <c r="H226" s="274">
        <v>2768.2700310473288</v>
      </c>
      <c r="I226" s="274">
        <v>542.11968</v>
      </c>
      <c r="J226" s="274">
        <v>490.802543</v>
      </c>
      <c r="K226" s="274">
        <v>532.00221</v>
      </c>
      <c r="L226" s="274">
        <v>410.623065</v>
      </c>
      <c r="M226" s="274">
        <v>415.78813500000007</v>
      </c>
      <c r="N226" s="274">
        <v>643.31669</v>
      </c>
      <c r="O226" s="274">
        <v>639.401176896</v>
      </c>
      <c r="P226" s="274">
        <v>639.401176896</v>
      </c>
      <c r="Q226" s="274">
        <v>639.401176896</v>
      </c>
      <c r="R226" s="305">
        <v>639.401176896</v>
      </c>
      <c r="S226" s="305"/>
      <c r="T226" s="305"/>
      <c r="U226" s="305"/>
      <c r="V226" s="273"/>
      <c r="W226" s="273"/>
      <c r="X226" s="273"/>
      <c r="Y226" s="273"/>
    </row>
    <row r="227" spans="1:25" ht="12.75">
      <c r="A227" s="304">
        <v>729</v>
      </c>
      <c r="B227" s="262" t="s">
        <v>360</v>
      </c>
      <c r="C227" s="260">
        <v>13</v>
      </c>
      <c r="D227" s="274">
        <v>25932.81075</v>
      </c>
      <c r="E227" s="274">
        <v>25679.606894531942</v>
      </c>
      <c r="F227" s="274">
        <v>26797.300055792093</v>
      </c>
      <c r="G227" s="274">
        <v>14272.458948314781</v>
      </c>
      <c r="H227" s="274">
        <v>14143.20889966063</v>
      </c>
      <c r="I227" s="274">
        <v>2207.99584</v>
      </c>
      <c r="J227" s="274">
        <v>2239.160776</v>
      </c>
      <c r="K227" s="274">
        <v>2424.237252</v>
      </c>
      <c r="L227" s="274">
        <v>1871.134578</v>
      </c>
      <c r="M227" s="274">
        <v>1894.6708620000002</v>
      </c>
      <c r="N227" s="274">
        <v>2328.5072</v>
      </c>
      <c r="O227" s="274">
        <v>2317.254132516</v>
      </c>
      <c r="P227" s="274">
        <v>2317.254132516</v>
      </c>
      <c r="Q227" s="274">
        <v>2317.254132516</v>
      </c>
      <c r="R227" s="305">
        <v>2317.254132516</v>
      </c>
      <c r="S227" s="305"/>
      <c r="T227" s="305"/>
      <c r="U227" s="305"/>
      <c r="V227" s="273"/>
      <c r="W227" s="273"/>
      <c r="X227" s="273"/>
      <c r="Y227" s="273"/>
    </row>
    <row r="228" spans="1:25" ht="12.75">
      <c r="A228" s="304">
        <v>732</v>
      </c>
      <c r="B228" s="262" t="s">
        <v>361</v>
      </c>
      <c r="C228" s="260">
        <v>19</v>
      </c>
      <c r="D228" s="274">
        <v>9002.506660000001</v>
      </c>
      <c r="E228" s="274">
        <v>8920.040023855941</v>
      </c>
      <c r="F228" s="274">
        <v>9260.966071551864</v>
      </c>
      <c r="G228" s="274">
        <v>4712.60022273698</v>
      </c>
      <c r="H228" s="274">
        <v>4637.492762529578</v>
      </c>
      <c r="I228" s="274">
        <v>1301.02112</v>
      </c>
      <c r="J228" s="274">
        <v>1097.3736900000001</v>
      </c>
      <c r="K228" s="274">
        <v>1188.391752</v>
      </c>
      <c r="L228" s="274">
        <v>917.253828</v>
      </c>
      <c r="M228" s="274">
        <v>928.7916119999999</v>
      </c>
      <c r="N228" s="274">
        <v>1288.98007</v>
      </c>
      <c r="O228" s="274">
        <v>1318.274790552</v>
      </c>
      <c r="P228" s="274">
        <v>1318.274790552</v>
      </c>
      <c r="Q228" s="274">
        <v>1318.274790552</v>
      </c>
      <c r="R228" s="305">
        <v>1318.274790552</v>
      </c>
      <c r="S228" s="305"/>
      <c r="T228" s="305"/>
      <c r="U228" s="305"/>
      <c r="V228" s="273"/>
      <c r="W228" s="273"/>
      <c r="X228" s="273"/>
      <c r="Y228" s="273"/>
    </row>
    <row r="229" spans="1:25" ht="12.75">
      <c r="A229" s="304">
        <v>734</v>
      </c>
      <c r="B229" s="262" t="s">
        <v>362</v>
      </c>
      <c r="C229" s="260">
        <v>2</v>
      </c>
      <c r="D229" s="274">
        <v>169253.0355</v>
      </c>
      <c r="E229" s="274">
        <v>162562.28420369665</v>
      </c>
      <c r="F229" s="274">
        <v>173513.42690660467</v>
      </c>
      <c r="G229" s="274">
        <v>89098.63543220716</v>
      </c>
      <c r="H229" s="274">
        <v>87237.59030450613</v>
      </c>
      <c r="I229" s="274">
        <v>12320.98887</v>
      </c>
      <c r="J229" s="274">
        <v>11917.404777000002</v>
      </c>
      <c r="K229" s="274">
        <v>12756.41816</v>
      </c>
      <c r="L229" s="274">
        <v>9845.97324</v>
      </c>
      <c r="M229" s="274">
        <v>9969.82196</v>
      </c>
      <c r="N229" s="274">
        <v>14550.00713</v>
      </c>
      <c r="O229" s="274">
        <v>14394.906750501603</v>
      </c>
      <c r="P229" s="274">
        <v>14394.906750501603</v>
      </c>
      <c r="Q229" s="274">
        <v>14394.906750501603</v>
      </c>
      <c r="R229" s="305">
        <v>14394.906750501603</v>
      </c>
      <c r="S229" s="305"/>
      <c r="T229" s="305"/>
      <c r="U229" s="305"/>
      <c r="V229" s="273"/>
      <c r="W229" s="273"/>
      <c r="X229" s="273"/>
      <c r="Y229" s="273"/>
    </row>
    <row r="230" spans="1:25" ht="12.75">
      <c r="A230" s="304">
        <v>790</v>
      </c>
      <c r="B230" s="262" t="s">
        <v>135</v>
      </c>
      <c r="C230" s="260">
        <v>6</v>
      </c>
      <c r="D230" s="274">
        <v>72032.60491</v>
      </c>
      <c r="E230" s="274">
        <v>72800.78755640086</v>
      </c>
      <c r="F230" s="274">
        <v>75487.5933589246</v>
      </c>
      <c r="G230" s="274">
        <v>39240.9084977599</v>
      </c>
      <c r="H230" s="274">
        <v>38356.632644803074</v>
      </c>
      <c r="I230" s="274">
        <v>4787.91387</v>
      </c>
      <c r="J230" s="274">
        <v>4757.160634000001</v>
      </c>
      <c r="K230" s="274">
        <v>5156.836934</v>
      </c>
      <c r="L230" s="274">
        <v>3980.277051</v>
      </c>
      <c r="M230" s="274">
        <v>4030.3434289999996</v>
      </c>
      <c r="N230" s="274">
        <v>5718.30056</v>
      </c>
      <c r="O230" s="274">
        <v>5708.255883758401</v>
      </c>
      <c r="P230" s="274">
        <v>5708.255883758401</v>
      </c>
      <c r="Q230" s="274">
        <v>5708.255883758401</v>
      </c>
      <c r="R230" s="305">
        <v>5708.255883758401</v>
      </c>
      <c r="S230" s="305"/>
      <c r="T230" s="305"/>
      <c r="U230" s="305"/>
      <c r="V230" s="273"/>
      <c r="W230" s="273"/>
      <c r="X230" s="273"/>
      <c r="Y230" s="273"/>
    </row>
    <row r="231" spans="1:25" ht="12.75">
      <c r="A231" s="304">
        <v>738</v>
      </c>
      <c r="B231" s="310" t="s">
        <v>363</v>
      </c>
      <c r="C231" s="260">
        <v>2</v>
      </c>
      <c r="D231" s="274">
        <v>10059.559650000001</v>
      </c>
      <c r="E231" s="274">
        <v>10175.978711253492</v>
      </c>
      <c r="F231" s="274">
        <v>10659.310884349119</v>
      </c>
      <c r="G231" s="274">
        <v>5799.798899935771</v>
      </c>
      <c r="H231" s="274">
        <v>5639.874852635707</v>
      </c>
      <c r="I231" s="274">
        <v>450.73788</v>
      </c>
      <c r="J231" s="274">
        <v>481.15449</v>
      </c>
      <c r="K231" s="274">
        <v>522.2868380000001</v>
      </c>
      <c r="L231" s="274">
        <v>403.124307</v>
      </c>
      <c r="M231" s="274">
        <v>408.195053</v>
      </c>
      <c r="N231" s="274">
        <v>1089.07985</v>
      </c>
      <c r="O231" s="274">
        <v>1147.3256287200002</v>
      </c>
      <c r="P231" s="274">
        <v>1147.3256287200002</v>
      </c>
      <c r="Q231" s="274">
        <v>1147.3256287200002</v>
      </c>
      <c r="R231" s="305">
        <v>1147.3256287200002</v>
      </c>
      <c r="S231" s="305"/>
      <c r="T231" s="305"/>
      <c r="U231" s="305"/>
      <c r="V231" s="273"/>
      <c r="W231" s="273"/>
      <c r="X231" s="273"/>
      <c r="Y231" s="273"/>
    </row>
    <row r="232" spans="1:25" ht="12.75">
      <c r="A232" s="304">
        <v>739</v>
      </c>
      <c r="B232" s="262" t="s">
        <v>364</v>
      </c>
      <c r="C232" s="260">
        <v>9</v>
      </c>
      <c r="D232" s="274">
        <v>9601.550140000001</v>
      </c>
      <c r="E232" s="274">
        <v>9821.029783762262</v>
      </c>
      <c r="F232" s="274">
        <v>10214.173750965378</v>
      </c>
      <c r="G232" s="274">
        <v>5447.595015173452</v>
      </c>
      <c r="H232" s="274">
        <v>5361.73044326498</v>
      </c>
      <c r="I232" s="274">
        <v>1364.37384</v>
      </c>
      <c r="J232" s="274">
        <v>1187.8678360000001</v>
      </c>
      <c r="K232" s="274">
        <v>1287.916532</v>
      </c>
      <c r="L232" s="274">
        <v>994.0714979999999</v>
      </c>
      <c r="M232" s="274">
        <v>1006.575542</v>
      </c>
      <c r="N232" s="274">
        <v>1348.47629</v>
      </c>
      <c r="O232" s="274">
        <v>1332.754603932</v>
      </c>
      <c r="P232" s="274">
        <v>1332.754603932</v>
      </c>
      <c r="Q232" s="274">
        <v>1332.754603932</v>
      </c>
      <c r="R232" s="305">
        <v>1332.754603932</v>
      </c>
      <c r="S232" s="305"/>
      <c r="T232" s="305"/>
      <c r="U232" s="305"/>
      <c r="V232" s="273"/>
      <c r="W232" s="273"/>
      <c r="X232" s="273"/>
      <c r="Y232" s="273"/>
    </row>
    <row r="233" spans="1:25" ht="12.75">
      <c r="A233" s="304">
        <v>740</v>
      </c>
      <c r="B233" s="262" t="s">
        <v>365</v>
      </c>
      <c r="C233" s="260">
        <v>10</v>
      </c>
      <c r="D233" s="274">
        <v>114321.04042</v>
      </c>
      <c r="E233" s="274">
        <v>111430.18935379386</v>
      </c>
      <c r="F233" s="274">
        <v>115435.62083645511</v>
      </c>
      <c r="G233" s="274">
        <v>62891.54739018271</v>
      </c>
      <c r="H233" s="274">
        <v>62131.75384231986</v>
      </c>
      <c r="I233" s="274">
        <v>9054.15395</v>
      </c>
      <c r="J233" s="274">
        <v>9842.543202000003</v>
      </c>
      <c r="K233" s="274">
        <v>10686.127842000002</v>
      </c>
      <c r="L233" s="274">
        <v>8248.030713000002</v>
      </c>
      <c r="M233" s="274">
        <v>8351.779527</v>
      </c>
      <c r="N233" s="274">
        <v>13847.98036</v>
      </c>
      <c r="O233" s="274">
        <v>13317.4457667936</v>
      </c>
      <c r="P233" s="274">
        <v>13317.4457667936</v>
      </c>
      <c r="Q233" s="274">
        <v>13317.4457667936</v>
      </c>
      <c r="R233" s="305">
        <v>13317.4457667936</v>
      </c>
      <c r="S233" s="305"/>
      <c r="T233" s="305"/>
      <c r="U233" s="305"/>
      <c r="V233" s="273"/>
      <c r="W233" s="273"/>
      <c r="X233" s="273"/>
      <c r="Y233" s="273"/>
    </row>
    <row r="234" spans="1:25" ht="12.75">
      <c r="A234" s="304">
        <v>742</v>
      </c>
      <c r="B234" s="262" t="s">
        <v>366</v>
      </c>
      <c r="C234" s="260">
        <v>19</v>
      </c>
      <c r="D234" s="274">
        <v>2836.0662599999996</v>
      </c>
      <c r="E234" s="274">
        <v>2695.792125838113</v>
      </c>
      <c r="F234" s="274">
        <v>2878.5900360658566</v>
      </c>
      <c r="G234" s="274">
        <v>1556.8663855498885</v>
      </c>
      <c r="H234" s="274">
        <v>1534.3944228660675</v>
      </c>
      <c r="I234" s="274">
        <v>978.01236</v>
      </c>
      <c r="J234" s="274">
        <v>982.2270759999999</v>
      </c>
      <c r="K234" s="274">
        <v>1063.887</v>
      </c>
      <c r="L234" s="274">
        <v>821.1555000000001</v>
      </c>
      <c r="M234" s="274">
        <v>831.4845</v>
      </c>
      <c r="N234" s="274">
        <v>398.08509000000004</v>
      </c>
      <c r="O234" s="274">
        <v>395.713925232</v>
      </c>
      <c r="P234" s="274">
        <v>395.713925232</v>
      </c>
      <c r="Q234" s="274">
        <v>395.713925232</v>
      </c>
      <c r="R234" s="305">
        <v>395.713925232</v>
      </c>
      <c r="S234" s="305"/>
      <c r="T234" s="305"/>
      <c r="U234" s="305"/>
      <c r="V234" s="273"/>
      <c r="W234" s="273"/>
      <c r="X234" s="273"/>
      <c r="Y234" s="273"/>
    </row>
    <row r="235" spans="1:25" ht="12.75">
      <c r="A235" s="304">
        <v>743</v>
      </c>
      <c r="B235" s="262" t="s">
        <v>367</v>
      </c>
      <c r="C235" s="260">
        <v>14</v>
      </c>
      <c r="D235" s="274">
        <v>207969.54718</v>
      </c>
      <c r="E235" s="274">
        <v>214513.1346938238</v>
      </c>
      <c r="F235" s="274">
        <v>225443.28981659375</v>
      </c>
      <c r="G235" s="274">
        <v>120273.05869962642</v>
      </c>
      <c r="H235" s="274">
        <v>116705.31226396064</v>
      </c>
      <c r="I235" s="274">
        <v>15560.31149</v>
      </c>
      <c r="J235" s="274">
        <v>14586.101062999998</v>
      </c>
      <c r="K235" s="274">
        <v>15783.516059999998</v>
      </c>
      <c r="L235" s="274">
        <v>12182.42259</v>
      </c>
      <c r="M235" s="274">
        <v>12335.660609999999</v>
      </c>
      <c r="N235" s="274">
        <v>23969.69651</v>
      </c>
      <c r="O235" s="274">
        <v>24644.837202792</v>
      </c>
      <c r="P235" s="274">
        <v>24644.837202792</v>
      </c>
      <c r="Q235" s="274">
        <v>24644.837202792</v>
      </c>
      <c r="R235" s="305">
        <v>24644.837202792</v>
      </c>
      <c r="S235" s="305"/>
      <c r="T235" s="305"/>
      <c r="U235" s="305"/>
      <c r="V235" s="273"/>
      <c r="W235" s="273"/>
      <c r="X235" s="273"/>
      <c r="Y235" s="273"/>
    </row>
    <row r="236" spans="1:25" ht="12.75">
      <c r="A236" s="304">
        <v>746</v>
      </c>
      <c r="B236" s="262" t="s">
        <v>368</v>
      </c>
      <c r="C236" s="260">
        <v>17</v>
      </c>
      <c r="D236" s="274">
        <v>12026.45865</v>
      </c>
      <c r="E236" s="274">
        <v>12683.253430179642</v>
      </c>
      <c r="F236" s="274">
        <v>13042.132153706018</v>
      </c>
      <c r="G236" s="274">
        <v>7146.947968289</v>
      </c>
      <c r="H236" s="274">
        <v>7036.329407551563</v>
      </c>
      <c r="I236" s="274">
        <v>2232.46277</v>
      </c>
      <c r="J236" s="274">
        <v>1939.5080130000001</v>
      </c>
      <c r="K236" s="274">
        <v>2101.319068</v>
      </c>
      <c r="L236" s="274">
        <v>1621.8919020000003</v>
      </c>
      <c r="M236" s="274">
        <v>1642.2930580000002</v>
      </c>
      <c r="N236" s="274">
        <v>1048.76187</v>
      </c>
      <c r="O236" s="274">
        <v>1034.4957247055997</v>
      </c>
      <c r="P236" s="274">
        <v>1034.4957247055997</v>
      </c>
      <c r="Q236" s="274">
        <v>1034.4957247055997</v>
      </c>
      <c r="R236" s="305">
        <v>1034.4957247055997</v>
      </c>
      <c r="S236" s="305"/>
      <c r="T236" s="305"/>
      <c r="U236" s="305"/>
      <c r="V236" s="273"/>
      <c r="W236" s="273"/>
      <c r="X236" s="273"/>
      <c r="Y236" s="273"/>
    </row>
    <row r="237" spans="1:25" ht="12.75">
      <c r="A237" s="304">
        <v>747</v>
      </c>
      <c r="B237" s="262" t="s">
        <v>369</v>
      </c>
      <c r="C237" s="260">
        <v>4</v>
      </c>
      <c r="D237" s="274">
        <v>3383.70485</v>
      </c>
      <c r="E237" s="274">
        <v>3389.447295643624</v>
      </c>
      <c r="F237" s="274">
        <v>3560.505084551939</v>
      </c>
      <c r="G237" s="274">
        <v>1970.5593000748006</v>
      </c>
      <c r="H237" s="274">
        <v>1959.3076791619342</v>
      </c>
      <c r="I237" s="274">
        <v>610.1534499999999</v>
      </c>
      <c r="J237" s="274">
        <v>583.799466</v>
      </c>
      <c r="K237" s="274">
        <v>632.057234</v>
      </c>
      <c r="L237" s="274">
        <v>487.85000099999996</v>
      </c>
      <c r="M237" s="274">
        <v>493.986479</v>
      </c>
      <c r="N237" s="274">
        <v>545.66432</v>
      </c>
      <c r="O237" s="274">
        <v>753.79306224</v>
      </c>
      <c r="P237" s="274">
        <v>753.79306224</v>
      </c>
      <c r="Q237" s="274">
        <v>753.79306224</v>
      </c>
      <c r="R237" s="305">
        <v>753.79306224</v>
      </c>
      <c r="S237" s="305"/>
      <c r="T237" s="305"/>
      <c r="U237" s="305"/>
      <c r="V237" s="273"/>
      <c r="W237" s="273"/>
      <c r="X237" s="273"/>
      <c r="Y237" s="273"/>
    </row>
    <row r="238" spans="1:25" ht="12.75">
      <c r="A238" s="304">
        <v>748</v>
      </c>
      <c r="B238" s="262" t="s">
        <v>370</v>
      </c>
      <c r="C238" s="260">
        <v>17</v>
      </c>
      <c r="D238" s="274">
        <v>14895.08473</v>
      </c>
      <c r="E238" s="274">
        <v>15124.355211636412</v>
      </c>
      <c r="F238" s="274">
        <v>15633.663505895307</v>
      </c>
      <c r="G238" s="274">
        <v>8581.952275311465</v>
      </c>
      <c r="H238" s="274">
        <v>8434.154066913432</v>
      </c>
      <c r="I238" s="274">
        <v>869.32849</v>
      </c>
      <c r="J238" s="274">
        <v>839.851381</v>
      </c>
      <c r="K238" s="274">
        <v>908.921234</v>
      </c>
      <c r="L238" s="274">
        <v>701.546001</v>
      </c>
      <c r="M238" s="274">
        <v>710.370479</v>
      </c>
      <c r="N238" s="274">
        <v>1141.44075</v>
      </c>
      <c r="O238" s="274">
        <v>1378.3350199560002</v>
      </c>
      <c r="P238" s="274">
        <v>1378.3350199560002</v>
      </c>
      <c r="Q238" s="274">
        <v>1378.3350199560002</v>
      </c>
      <c r="R238" s="305">
        <v>1378.3350199560002</v>
      </c>
      <c r="S238" s="305"/>
      <c r="T238" s="305"/>
      <c r="U238" s="305"/>
      <c r="V238" s="273"/>
      <c r="W238" s="273"/>
      <c r="X238" s="273"/>
      <c r="Y238" s="273"/>
    </row>
    <row r="239" spans="1:25" ht="12.75">
      <c r="A239" s="304">
        <v>791</v>
      </c>
      <c r="B239" s="262" t="s">
        <v>136</v>
      </c>
      <c r="C239" s="260">
        <v>17</v>
      </c>
      <c r="D239" s="274">
        <v>14171.76516</v>
      </c>
      <c r="E239" s="274">
        <v>13842.387131193329</v>
      </c>
      <c r="F239" s="274">
        <v>14479.588840476368</v>
      </c>
      <c r="G239" s="274">
        <v>7998.591581292429</v>
      </c>
      <c r="H239" s="274">
        <v>7911.54884171747</v>
      </c>
      <c r="I239" s="274">
        <v>1266.80157</v>
      </c>
      <c r="J239" s="274">
        <v>1187.402584</v>
      </c>
      <c r="K239" s="274">
        <v>1284.7935719999998</v>
      </c>
      <c r="L239" s="274">
        <v>991.6610579999999</v>
      </c>
      <c r="M239" s="274">
        <v>1004.1347820000001</v>
      </c>
      <c r="N239" s="274">
        <v>1336.99053</v>
      </c>
      <c r="O239" s="274">
        <v>1325.1095900999999</v>
      </c>
      <c r="P239" s="274">
        <v>1325.1095900999999</v>
      </c>
      <c r="Q239" s="274">
        <v>1325.1095900999999</v>
      </c>
      <c r="R239" s="305">
        <v>1325.1095900999999</v>
      </c>
      <c r="S239" s="305"/>
      <c r="T239" s="305"/>
      <c r="U239" s="305"/>
      <c r="V239" s="273"/>
      <c r="W239" s="273"/>
      <c r="X239" s="273"/>
      <c r="Y239" s="273"/>
    </row>
    <row r="240" spans="1:25" ht="12.75">
      <c r="A240" s="304">
        <v>749</v>
      </c>
      <c r="B240" s="262" t="s">
        <v>371</v>
      </c>
      <c r="C240" s="260">
        <v>11</v>
      </c>
      <c r="D240" s="274">
        <v>75885.43872</v>
      </c>
      <c r="E240" s="274">
        <v>77742.80853376836</v>
      </c>
      <c r="F240" s="274">
        <v>81459.54517958872</v>
      </c>
      <c r="G240" s="274">
        <v>43296.155180696995</v>
      </c>
      <c r="H240" s="274">
        <v>42118.8492193811</v>
      </c>
      <c r="I240" s="274">
        <v>4671.17624</v>
      </c>
      <c r="J240" s="274">
        <v>4015.991794</v>
      </c>
      <c r="K240" s="274">
        <v>4343.50588</v>
      </c>
      <c r="L240" s="274">
        <v>3352.5118199999997</v>
      </c>
      <c r="M240" s="274">
        <v>3394.6817799999994</v>
      </c>
      <c r="N240" s="274">
        <v>5334.037480000001</v>
      </c>
      <c r="O240" s="274">
        <v>5332.730196888</v>
      </c>
      <c r="P240" s="274">
        <v>5332.730196888</v>
      </c>
      <c r="Q240" s="274">
        <v>5332.730196888</v>
      </c>
      <c r="R240" s="305">
        <v>5332.730196888</v>
      </c>
      <c r="S240" s="305"/>
      <c r="T240" s="305"/>
      <c r="U240" s="305"/>
      <c r="V240" s="273"/>
      <c r="W240" s="273"/>
      <c r="X240" s="273"/>
      <c r="Y240" s="273"/>
    </row>
    <row r="241" spans="1:25" ht="12.75">
      <c r="A241" s="304">
        <v>751</v>
      </c>
      <c r="B241" s="262" t="s">
        <v>372</v>
      </c>
      <c r="C241" s="260">
        <v>19</v>
      </c>
      <c r="D241" s="274">
        <v>10482.61706</v>
      </c>
      <c r="E241" s="274">
        <v>10399.135741544045</v>
      </c>
      <c r="F241" s="274">
        <v>10981.56252088656</v>
      </c>
      <c r="G241" s="274">
        <v>5897.962607429254</v>
      </c>
      <c r="H241" s="274">
        <v>5824.789585429787</v>
      </c>
      <c r="I241" s="274">
        <v>357.58052000000004</v>
      </c>
      <c r="J241" s="274">
        <v>353.910133</v>
      </c>
      <c r="K241" s="274">
        <v>383.61155199999996</v>
      </c>
      <c r="L241" s="274">
        <v>296.088528</v>
      </c>
      <c r="M241" s="274">
        <v>299.812912</v>
      </c>
      <c r="N241" s="274">
        <v>1117.95404</v>
      </c>
      <c r="O241" s="274">
        <v>1633.1243091840001</v>
      </c>
      <c r="P241" s="274">
        <v>1633.1243091840001</v>
      </c>
      <c r="Q241" s="274">
        <v>1633.1243091840001</v>
      </c>
      <c r="R241" s="305">
        <v>1633.1243091840001</v>
      </c>
      <c r="S241" s="305"/>
      <c r="T241" s="305"/>
      <c r="U241" s="305"/>
      <c r="V241" s="273"/>
      <c r="W241" s="273"/>
      <c r="X241" s="273"/>
      <c r="Y241" s="273"/>
    </row>
    <row r="242" spans="1:25" ht="12.75">
      <c r="A242" s="304">
        <v>753</v>
      </c>
      <c r="B242" s="262" t="s">
        <v>373</v>
      </c>
      <c r="C242" s="260">
        <v>1</v>
      </c>
      <c r="D242" s="274">
        <v>83263.85577</v>
      </c>
      <c r="E242" s="274">
        <v>86301.11323050542</v>
      </c>
      <c r="F242" s="274">
        <v>89529.1450116686</v>
      </c>
      <c r="G242" s="274">
        <v>42810.61443768452</v>
      </c>
      <c r="H242" s="274">
        <v>40675.69746840291</v>
      </c>
      <c r="I242" s="274">
        <v>4677.68911</v>
      </c>
      <c r="J242" s="274">
        <v>4643.04967</v>
      </c>
      <c r="K242" s="274">
        <v>5021.937216</v>
      </c>
      <c r="L242" s="274">
        <v>3876.1554240000005</v>
      </c>
      <c r="M242" s="274">
        <v>3924.912096</v>
      </c>
      <c r="N242" s="274">
        <v>8957.05956</v>
      </c>
      <c r="O242" s="274">
        <v>9392.936556287998</v>
      </c>
      <c r="P242" s="274">
        <v>9392.936556287998</v>
      </c>
      <c r="Q242" s="274">
        <v>9392.936556287998</v>
      </c>
      <c r="R242" s="305">
        <v>9392.936556287998</v>
      </c>
      <c r="S242" s="305"/>
      <c r="T242" s="305"/>
      <c r="U242" s="305"/>
      <c r="V242" s="273"/>
      <c r="W242" s="273"/>
      <c r="X242" s="273"/>
      <c r="Y242" s="273"/>
    </row>
    <row r="243" spans="1:25" ht="12.75">
      <c r="A243" s="304">
        <v>755</v>
      </c>
      <c r="B243" s="306" t="s">
        <v>374</v>
      </c>
      <c r="C243" s="260">
        <v>1</v>
      </c>
      <c r="D243" s="274">
        <v>26425.52762</v>
      </c>
      <c r="E243" s="274">
        <v>26601.719175636634</v>
      </c>
      <c r="F243" s="274">
        <v>28310.166232930016</v>
      </c>
      <c r="G243" s="274">
        <v>15203.95072226346</v>
      </c>
      <c r="H243" s="274">
        <v>14722.552443791941</v>
      </c>
      <c r="I243" s="274">
        <v>556.2206</v>
      </c>
      <c r="J243" s="274">
        <v>602.057131</v>
      </c>
      <c r="K243" s="274">
        <v>652.38346</v>
      </c>
      <c r="L243" s="274">
        <v>503.53869</v>
      </c>
      <c r="M243" s="274">
        <v>509.87251000000003</v>
      </c>
      <c r="N243" s="274">
        <v>2152.9936000000002</v>
      </c>
      <c r="O243" s="274">
        <v>2207.190987648</v>
      </c>
      <c r="P243" s="274">
        <v>2207.190987648</v>
      </c>
      <c r="Q243" s="274">
        <v>2207.190987648</v>
      </c>
      <c r="R243" s="305">
        <v>2207.190987648</v>
      </c>
      <c r="S243" s="305"/>
      <c r="T243" s="305"/>
      <c r="U243" s="305"/>
      <c r="V243" s="273"/>
      <c r="W243" s="273"/>
      <c r="X243" s="273"/>
      <c r="Y243" s="273"/>
    </row>
    <row r="244" spans="1:25" ht="12.75">
      <c r="A244" s="304">
        <v>758</v>
      </c>
      <c r="B244" s="262" t="s">
        <v>375</v>
      </c>
      <c r="C244" s="260">
        <v>19</v>
      </c>
      <c r="D244" s="274">
        <v>26241.88033</v>
      </c>
      <c r="E244" s="274">
        <v>26741.214525391864</v>
      </c>
      <c r="F244" s="274">
        <v>27985.341576526127</v>
      </c>
      <c r="G244" s="274">
        <v>13942.866206142915</v>
      </c>
      <c r="H244" s="274">
        <v>13544.490149544461</v>
      </c>
      <c r="I244" s="274">
        <v>2907.3817400000003</v>
      </c>
      <c r="J244" s="274">
        <v>3267.840144</v>
      </c>
      <c r="K244" s="274">
        <v>3547.059822</v>
      </c>
      <c r="L244" s="274">
        <v>2737.7791830000006</v>
      </c>
      <c r="M244" s="274">
        <v>2772.216657</v>
      </c>
      <c r="N244" s="274">
        <v>7394.44655</v>
      </c>
      <c r="O244" s="274">
        <v>7874.5294684320015</v>
      </c>
      <c r="P244" s="274">
        <v>7874.5294684320015</v>
      </c>
      <c r="Q244" s="274">
        <v>7874.5294684320015</v>
      </c>
      <c r="R244" s="305">
        <v>7874.5294684320015</v>
      </c>
      <c r="S244" s="305"/>
      <c r="T244" s="305"/>
      <c r="U244" s="305"/>
      <c r="V244" s="273"/>
      <c r="W244" s="273"/>
      <c r="X244" s="273"/>
      <c r="Y244" s="273"/>
    </row>
    <row r="245" spans="1:25" ht="12.75">
      <c r="A245" s="304">
        <v>759</v>
      </c>
      <c r="B245" s="262" t="s">
        <v>376</v>
      </c>
      <c r="C245" s="260">
        <v>14</v>
      </c>
      <c r="D245" s="274">
        <v>5025.83889</v>
      </c>
      <c r="E245" s="274">
        <v>4826.5943812732</v>
      </c>
      <c r="F245" s="274">
        <v>5060.494953160013</v>
      </c>
      <c r="G245" s="274">
        <v>2751.502223679523</v>
      </c>
      <c r="H245" s="274">
        <v>2728.363101580835</v>
      </c>
      <c r="I245" s="274">
        <v>633.89199</v>
      </c>
      <c r="J245" s="274">
        <v>597.4637519999999</v>
      </c>
      <c r="K245" s="274">
        <v>646.891088</v>
      </c>
      <c r="L245" s="274">
        <v>499.299432</v>
      </c>
      <c r="M245" s="274">
        <v>505.579928</v>
      </c>
      <c r="N245" s="274">
        <v>528.17738</v>
      </c>
      <c r="O245" s="274">
        <v>488.9459706144</v>
      </c>
      <c r="P245" s="274">
        <v>488.9459706144</v>
      </c>
      <c r="Q245" s="274">
        <v>488.9459706144</v>
      </c>
      <c r="R245" s="305">
        <v>488.9459706144</v>
      </c>
      <c r="S245" s="305"/>
      <c r="T245" s="305"/>
      <c r="U245" s="305"/>
      <c r="V245" s="273"/>
      <c r="W245" s="273"/>
      <c r="X245" s="273"/>
      <c r="Y245" s="273"/>
    </row>
    <row r="246" spans="1:25" ht="12.75">
      <c r="A246" s="304">
        <v>761</v>
      </c>
      <c r="B246" s="262" t="s">
        <v>377</v>
      </c>
      <c r="C246" s="275">
        <v>2</v>
      </c>
      <c r="D246" s="274">
        <v>24047.74423</v>
      </c>
      <c r="E246" s="274">
        <v>24463.701331278342</v>
      </c>
      <c r="F246" s="274">
        <v>25629.008507788472</v>
      </c>
      <c r="G246" s="274">
        <v>12865.920632558353</v>
      </c>
      <c r="H246" s="274">
        <v>12470.758744222425</v>
      </c>
      <c r="I246" s="274">
        <v>1361.7470700000001</v>
      </c>
      <c r="J246" s="274">
        <v>1281.518837</v>
      </c>
      <c r="K246" s="274">
        <v>1388.847262</v>
      </c>
      <c r="L246" s="274">
        <v>1071.974343</v>
      </c>
      <c r="M246" s="274">
        <v>1085.458297</v>
      </c>
      <c r="N246" s="274">
        <v>1788.1483899999998</v>
      </c>
      <c r="O246" s="274">
        <v>1779.553821504</v>
      </c>
      <c r="P246" s="274">
        <v>1779.553821504</v>
      </c>
      <c r="Q246" s="274">
        <v>1779.553821504</v>
      </c>
      <c r="R246" s="305">
        <v>1779.553821504</v>
      </c>
      <c r="S246" s="305"/>
      <c r="T246" s="305"/>
      <c r="U246" s="305"/>
      <c r="V246" s="273"/>
      <c r="W246" s="273"/>
      <c r="X246" s="273"/>
      <c r="Y246" s="273"/>
    </row>
    <row r="247" spans="1:25" ht="12.75">
      <c r="A247" s="304">
        <v>762</v>
      </c>
      <c r="B247" s="262" t="s">
        <v>378</v>
      </c>
      <c r="C247" s="260">
        <v>11</v>
      </c>
      <c r="D247" s="274">
        <v>9957.3184</v>
      </c>
      <c r="E247" s="274">
        <v>9638.402502803257</v>
      </c>
      <c r="F247" s="274">
        <v>10139.7601516095</v>
      </c>
      <c r="G247" s="274">
        <v>5162.973474749733</v>
      </c>
      <c r="H247" s="274">
        <v>5073.763979884069</v>
      </c>
      <c r="I247" s="274">
        <v>2119.76698</v>
      </c>
      <c r="J247" s="274">
        <v>1974.2485009999998</v>
      </c>
      <c r="K247" s="274">
        <v>2140.8935219999994</v>
      </c>
      <c r="L247" s="274">
        <v>1652.4372329999999</v>
      </c>
      <c r="M247" s="274">
        <v>1673.2226069999997</v>
      </c>
      <c r="N247" s="274">
        <v>863.26883</v>
      </c>
      <c r="O247" s="274">
        <v>869.1213923399999</v>
      </c>
      <c r="P247" s="274">
        <v>869.1213923399999</v>
      </c>
      <c r="Q247" s="274">
        <v>869.1213923399999</v>
      </c>
      <c r="R247" s="305">
        <v>869.1213923399999</v>
      </c>
      <c r="S247" s="305"/>
      <c r="T247" s="305"/>
      <c r="U247" s="305"/>
      <c r="V247" s="273"/>
      <c r="W247" s="273"/>
      <c r="X247" s="273"/>
      <c r="Y247" s="273"/>
    </row>
    <row r="248" spans="1:25" ht="12.75">
      <c r="A248" s="304">
        <v>765</v>
      </c>
      <c r="B248" s="262" t="s">
        <v>379</v>
      </c>
      <c r="C248" s="260">
        <v>18</v>
      </c>
      <c r="D248" s="274">
        <v>33265.07698</v>
      </c>
      <c r="E248" s="274">
        <v>33300.35312057808</v>
      </c>
      <c r="F248" s="274">
        <v>34125.91907257941</v>
      </c>
      <c r="G248" s="274">
        <v>18158.34726599985</v>
      </c>
      <c r="H248" s="274">
        <v>17833.993702283744</v>
      </c>
      <c r="I248" s="274">
        <v>2506.90287</v>
      </c>
      <c r="J248" s="274">
        <v>2545.959079</v>
      </c>
      <c r="K248" s="274">
        <v>2754.7768180000003</v>
      </c>
      <c r="L248" s="274">
        <v>2126.259777</v>
      </c>
      <c r="M248" s="274">
        <v>2153.005183</v>
      </c>
      <c r="N248" s="274">
        <v>4184.85146</v>
      </c>
      <c r="O248" s="274">
        <v>4178.790651527999</v>
      </c>
      <c r="P248" s="274">
        <v>4178.790651527999</v>
      </c>
      <c r="Q248" s="274">
        <v>4178.790651527999</v>
      </c>
      <c r="R248" s="305">
        <v>4178.790651527999</v>
      </c>
      <c r="S248" s="305"/>
      <c r="T248" s="305"/>
      <c r="U248" s="305"/>
      <c r="V248" s="273"/>
      <c r="W248" s="273"/>
      <c r="X248" s="273"/>
      <c r="Y248" s="273"/>
    </row>
    <row r="249" spans="1:25" ht="12.75">
      <c r="A249" s="304">
        <v>768</v>
      </c>
      <c r="B249" s="262" t="s">
        <v>380</v>
      </c>
      <c r="C249" s="260">
        <v>10</v>
      </c>
      <c r="D249" s="274">
        <v>6838.481860000001</v>
      </c>
      <c r="E249" s="274">
        <v>6422.475679839238</v>
      </c>
      <c r="F249" s="274">
        <v>6714.065316624651</v>
      </c>
      <c r="G249" s="274">
        <v>3608.4296901491484</v>
      </c>
      <c r="H249" s="274">
        <v>3561.8275927303303</v>
      </c>
      <c r="I249" s="274">
        <v>1208.21822</v>
      </c>
      <c r="J249" s="274">
        <v>1160.138524</v>
      </c>
      <c r="K249" s="274">
        <v>1257.225622</v>
      </c>
      <c r="L249" s="274">
        <v>970.3828830000001</v>
      </c>
      <c r="M249" s="274">
        <v>982.588957</v>
      </c>
      <c r="N249" s="274">
        <v>951.29144</v>
      </c>
      <c r="O249" s="274">
        <v>949.8400468920001</v>
      </c>
      <c r="P249" s="274">
        <v>949.8400468920001</v>
      </c>
      <c r="Q249" s="274">
        <v>949.8400468920001</v>
      </c>
      <c r="R249" s="305">
        <v>949.8400468920001</v>
      </c>
      <c r="S249" s="305"/>
      <c r="T249" s="305"/>
      <c r="U249" s="305"/>
      <c r="V249" s="273"/>
      <c r="W249" s="273"/>
      <c r="X249" s="273"/>
      <c r="Y249" s="273"/>
    </row>
    <row r="250" spans="1:25" ht="12.75">
      <c r="A250" s="304">
        <v>777</v>
      </c>
      <c r="B250" s="262" t="s">
        <v>381</v>
      </c>
      <c r="C250" s="260">
        <v>18</v>
      </c>
      <c r="D250" s="274">
        <v>20796.932760000003</v>
      </c>
      <c r="E250" s="274">
        <v>20856.844558106965</v>
      </c>
      <c r="F250" s="274">
        <v>21514.79315502157</v>
      </c>
      <c r="G250" s="274">
        <v>10896.333394431802</v>
      </c>
      <c r="H250" s="274">
        <v>10710.415115989143</v>
      </c>
      <c r="I250" s="274">
        <v>2837.0382799999998</v>
      </c>
      <c r="J250" s="274">
        <v>2657.5815239999997</v>
      </c>
      <c r="K250" s="274">
        <v>2876.5821459999997</v>
      </c>
      <c r="L250" s="274">
        <v>2220.274569</v>
      </c>
      <c r="M250" s="274">
        <v>2248.2025510000003</v>
      </c>
      <c r="N250" s="274">
        <v>2669.98906</v>
      </c>
      <c r="O250" s="274">
        <v>3078.531174036</v>
      </c>
      <c r="P250" s="274">
        <v>3078.531174036</v>
      </c>
      <c r="Q250" s="274">
        <v>3078.531174036</v>
      </c>
      <c r="R250" s="305">
        <v>3078.531174036</v>
      </c>
      <c r="S250" s="305"/>
      <c r="T250" s="305"/>
      <c r="U250" s="305"/>
      <c r="V250" s="273"/>
      <c r="W250" s="273"/>
      <c r="X250" s="273"/>
      <c r="Y250" s="273"/>
    </row>
    <row r="251" spans="1:25" ht="12.75">
      <c r="A251" s="304">
        <v>778</v>
      </c>
      <c r="B251" s="262" t="s">
        <v>382</v>
      </c>
      <c r="C251" s="260">
        <v>11</v>
      </c>
      <c r="D251" s="274">
        <v>20256.42094</v>
      </c>
      <c r="E251" s="274">
        <v>20582.026229043808</v>
      </c>
      <c r="F251" s="274">
        <v>21375.677056656274</v>
      </c>
      <c r="G251" s="274">
        <v>11697.811442714135</v>
      </c>
      <c r="H251" s="274">
        <v>11512.074304750528</v>
      </c>
      <c r="I251" s="274">
        <v>1825.85963</v>
      </c>
      <c r="J251" s="274">
        <v>1709.490277</v>
      </c>
      <c r="K251" s="274">
        <v>1851.708662</v>
      </c>
      <c r="L251" s="274">
        <v>1429.2314430000001</v>
      </c>
      <c r="M251" s="274">
        <v>1447.2091970000001</v>
      </c>
      <c r="N251" s="274">
        <v>1790.19403</v>
      </c>
      <c r="O251" s="274">
        <v>1777.891264944</v>
      </c>
      <c r="P251" s="274">
        <v>1777.891264944</v>
      </c>
      <c r="Q251" s="274">
        <v>1777.891264944</v>
      </c>
      <c r="R251" s="305">
        <v>1777.891264944</v>
      </c>
      <c r="S251" s="305"/>
      <c r="T251" s="305"/>
      <c r="U251" s="305"/>
      <c r="V251" s="273"/>
      <c r="W251" s="273"/>
      <c r="X251" s="273"/>
      <c r="Y251" s="273"/>
    </row>
    <row r="252" spans="1:25" ht="12.75">
      <c r="A252" s="304">
        <v>781</v>
      </c>
      <c r="B252" s="262" t="s">
        <v>383</v>
      </c>
      <c r="C252" s="260">
        <v>7</v>
      </c>
      <c r="D252" s="274">
        <v>9059.08666</v>
      </c>
      <c r="E252" s="274">
        <v>8788.867803283465</v>
      </c>
      <c r="F252" s="274">
        <v>9196.799345643763</v>
      </c>
      <c r="G252" s="274">
        <v>4321.612190288112</v>
      </c>
      <c r="H252" s="274">
        <v>4167.2933697043745</v>
      </c>
      <c r="I252" s="274">
        <v>1489.37631</v>
      </c>
      <c r="J252" s="274">
        <v>1369.3576370000003</v>
      </c>
      <c r="K252" s="274">
        <v>1484.416842</v>
      </c>
      <c r="L252" s="274">
        <v>1145.739213</v>
      </c>
      <c r="M252" s="274">
        <v>1160.1510269999999</v>
      </c>
      <c r="N252" s="274">
        <v>1963.3636999999999</v>
      </c>
      <c r="O252" s="274">
        <v>1961.223657924</v>
      </c>
      <c r="P252" s="274">
        <v>1961.223657924</v>
      </c>
      <c r="Q252" s="274">
        <v>1961.223657924</v>
      </c>
      <c r="R252" s="305">
        <v>1961.223657924</v>
      </c>
      <c r="S252" s="305"/>
      <c r="T252" s="305"/>
      <c r="U252" s="305"/>
      <c r="V252" s="273"/>
      <c r="W252" s="273"/>
      <c r="X252" s="273"/>
      <c r="Y252" s="273"/>
    </row>
    <row r="253" spans="1:25" ht="12.75">
      <c r="A253" s="304">
        <v>783</v>
      </c>
      <c r="B253" s="262" t="s">
        <v>384</v>
      </c>
      <c r="C253" s="260">
        <v>4</v>
      </c>
      <c r="D253" s="274">
        <v>24590.12484</v>
      </c>
      <c r="E253" s="274">
        <v>24896.087199864505</v>
      </c>
      <c r="F253" s="274">
        <v>25684.472686400437</v>
      </c>
      <c r="G253" s="274">
        <v>13643.205747578219</v>
      </c>
      <c r="H253" s="274">
        <v>13385.702161273231</v>
      </c>
      <c r="I253" s="274">
        <v>1794.7311000000002</v>
      </c>
      <c r="J253" s="274">
        <v>1393.381652</v>
      </c>
      <c r="K253" s="274">
        <v>1503.7864040000002</v>
      </c>
      <c r="L253" s="274">
        <v>1160.689506</v>
      </c>
      <c r="M253" s="274">
        <v>1175.2893740000002</v>
      </c>
      <c r="N253" s="274">
        <v>1949.52693</v>
      </c>
      <c r="O253" s="274">
        <v>2018.9085677112002</v>
      </c>
      <c r="P253" s="274">
        <v>2018.9085677112002</v>
      </c>
      <c r="Q253" s="274">
        <v>2018.9085677112002</v>
      </c>
      <c r="R253" s="305">
        <v>2018.9085677112002</v>
      </c>
      <c r="S253" s="305"/>
      <c r="T253" s="305"/>
      <c r="U253" s="305"/>
      <c r="V253" s="273"/>
      <c r="W253" s="273"/>
      <c r="X253" s="273"/>
      <c r="Y253" s="273"/>
    </row>
    <row r="254" spans="1:25" ht="12.75">
      <c r="A254" s="304">
        <v>831</v>
      </c>
      <c r="B254" s="262" t="s">
        <v>385</v>
      </c>
      <c r="C254" s="260">
        <v>9</v>
      </c>
      <c r="D254" s="274">
        <v>16690.46173</v>
      </c>
      <c r="E254" s="274">
        <v>16843.434458805987</v>
      </c>
      <c r="F254" s="274">
        <v>17745.06185040827</v>
      </c>
      <c r="G254" s="274">
        <v>8958.601556816884</v>
      </c>
      <c r="H254" s="274">
        <v>8678.155603903851</v>
      </c>
      <c r="I254" s="274">
        <v>845.7080100000001</v>
      </c>
      <c r="J254" s="274">
        <v>883.2249919999999</v>
      </c>
      <c r="K254" s="274">
        <v>958.421592</v>
      </c>
      <c r="L254" s="274">
        <v>739.7525880000001</v>
      </c>
      <c r="M254" s="274">
        <v>749.057652</v>
      </c>
      <c r="N254" s="274">
        <v>1698.04413</v>
      </c>
      <c r="O254" s="274">
        <v>1690.3882536360002</v>
      </c>
      <c r="P254" s="274">
        <v>1690.3882536360002</v>
      </c>
      <c r="Q254" s="274">
        <v>1690.3882536360002</v>
      </c>
      <c r="R254" s="305">
        <v>1690.3882536360002</v>
      </c>
      <c r="S254" s="305"/>
      <c r="T254" s="305"/>
      <c r="U254" s="305"/>
      <c r="V254" s="273"/>
      <c r="W254" s="273"/>
      <c r="X254" s="273"/>
      <c r="Y254" s="273"/>
    </row>
    <row r="255" spans="1:25" ht="12.75">
      <c r="A255" s="304">
        <v>832</v>
      </c>
      <c r="B255" s="262" t="s">
        <v>386</v>
      </c>
      <c r="C255" s="260">
        <v>17</v>
      </c>
      <c r="D255" s="274">
        <v>9772.47511</v>
      </c>
      <c r="E255" s="274">
        <v>10099.012231722849</v>
      </c>
      <c r="F255" s="274">
        <v>10443.259038125389</v>
      </c>
      <c r="G255" s="274">
        <v>5352.232605355658</v>
      </c>
      <c r="H255" s="274">
        <v>5253.076016173249</v>
      </c>
      <c r="I255" s="274">
        <v>1299.58917</v>
      </c>
      <c r="J255" s="274">
        <v>1260.1361610000001</v>
      </c>
      <c r="K255" s="274">
        <v>1365.918638</v>
      </c>
      <c r="L255" s="274">
        <v>1054.277007</v>
      </c>
      <c r="M255" s="274">
        <v>1067.538353</v>
      </c>
      <c r="N255" s="274">
        <v>854.61149</v>
      </c>
      <c r="O255" s="274">
        <v>901.1763073104</v>
      </c>
      <c r="P255" s="274">
        <v>901.1763073104</v>
      </c>
      <c r="Q255" s="274">
        <v>901.1763073104</v>
      </c>
      <c r="R255" s="305">
        <v>901.1763073104</v>
      </c>
      <c r="S255" s="305"/>
      <c r="T255" s="305"/>
      <c r="U255" s="305"/>
      <c r="V255" s="273"/>
      <c r="W255" s="273"/>
      <c r="X255" s="273"/>
      <c r="Y255" s="273"/>
    </row>
    <row r="256" spans="1:25" ht="12.75">
      <c r="A256" s="304">
        <v>833</v>
      </c>
      <c r="B256" s="262" t="s">
        <v>387</v>
      </c>
      <c r="C256" s="260">
        <v>2</v>
      </c>
      <c r="D256" s="274">
        <v>4992.399759999999</v>
      </c>
      <c r="E256" s="274">
        <v>5392.439835684363</v>
      </c>
      <c r="F256" s="274">
        <v>5257.860668414221</v>
      </c>
      <c r="G256" s="274">
        <v>2790.0151004276267</v>
      </c>
      <c r="H256" s="274">
        <v>2725.1171744142607</v>
      </c>
      <c r="I256" s="274">
        <v>244.28388</v>
      </c>
      <c r="J256" s="274">
        <v>230.46508699999998</v>
      </c>
      <c r="K256" s="274">
        <v>249.639658</v>
      </c>
      <c r="L256" s="274">
        <v>192.68303699999998</v>
      </c>
      <c r="M256" s="274">
        <v>195.106723</v>
      </c>
      <c r="N256" s="274">
        <v>1222.3583</v>
      </c>
      <c r="O256" s="274">
        <v>1236.8092057080003</v>
      </c>
      <c r="P256" s="274">
        <v>1236.8092057080003</v>
      </c>
      <c r="Q256" s="274">
        <v>1236.8092057080003</v>
      </c>
      <c r="R256" s="305">
        <v>1236.8092057080003</v>
      </c>
      <c r="S256" s="305"/>
      <c r="T256" s="305"/>
      <c r="U256" s="305"/>
      <c r="V256" s="273"/>
      <c r="W256" s="273"/>
      <c r="X256" s="273"/>
      <c r="Y256" s="273"/>
    </row>
    <row r="257" spans="1:25" ht="12.75">
      <c r="A257" s="304">
        <v>834</v>
      </c>
      <c r="B257" s="307" t="s">
        <v>388</v>
      </c>
      <c r="C257" s="260">
        <v>5</v>
      </c>
      <c r="D257" s="274">
        <v>19173.07579</v>
      </c>
      <c r="E257" s="274">
        <v>18998.508108951624</v>
      </c>
      <c r="F257" s="274">
        <v>19777.34033589916</v>
      </c>
      <c r="G257" s="274">
        <v>9966.51394919236</v>
      </c>
      <c r="H257" s="274">
        <v>9674.814190568288</v>
      </c>
      <c r="I257" s="274">
        <v>1335.16559</v>
      </c>
      <c r="J257" s="274">
        <v>1275.878974</v>
      </c>
      <c r="K257" s="274">
        <v>1381.5313780000001</v>
      </c>
      <c r="L257" s="274">
        <v>1066.327617</v>
      </c>
      <c r="M257" s="274">
        <v>1079.7405430000001</v>
      </c>
      <c r="N257" s="274">
        <v>1552.37281</v>
      </c>
      <c r="O257" s="274">
        <v>1573.6378797000002</v>
      </c>
      <c r="P257" s="274">
        <v>1573.6378797000002</v>
      </c>
      <c r="Q257" s="274">
        <v>1573.6378797000002</v>
      </c>
      <c r="R257" s="305">
        <v>1573.6378797000002</v>
      </c>
      <c r="S257" s="305"/>
      <c r="T257" s="305"/>
      <c r="U257" s="305"/>
      <c r="V257" s="273"/>
      <c r="W257" s="273"/>
      <c r="X257" s="273"/>
      <c r="Y257" s="273"/>
    </row>
    <row r="258" spans="1:25" ht="12.75">
      <c r="A258" s="304">
        <v>837</v>
      </c>
      <c r="B258" s="262" t="s">
        <v>389</v>
      </c>
      <c r="C258" s="260">
        <v>6</v>
      </c>
      <c r="D258" s="274">
        <v>776753.13279</v>
      </c>
      <c r="E258" s="274">
        <v>786170.3979133297</v>
      </c>
      <c r="F258" s="274">
        <v>823861.2239940803</v>
      </c>
      <c r="G258" s="274">
        <v>408664.8883679472</v>
      </c>
      <c r="H258" s="274">
        <v>394385.1524053446</v>
      </c>
      <c r="I258" s="274">
        <v>66501.72739</v>
      </c>
      <c r="J258" s="274">
        <v>71734.454253</v>
      </c>
      <c r="K258" s="274">
        <v>77728.31716800001</v>
      </c>
      <c r="L258" s="274">
        <v>59994.186552</v>
      </c>
      <c r="M258" s="274">
        <v>60748.830408</v>
      </c>
      <c r="N258" s="274">
        <v>75586.00306999999</v>
      </c>
      <c r="O258" s="274">
        <v>75358.17875212799</v>
      </c>
      <c r="P258" s="274">
        <v>75358.17875212799</v>
      </c>
      <c r="Q258" s="274">
        <v>75358.17875212799</v>
      </c>
      <c r="R258" s="305">
        <v>75358.17875212799</v>
      </c>
      <c r="S258" s="305"/>
      <c r="T258" s="305"/>
      <c r="U258" s="305"/>
      <c r="V258" s="273"/>
      <c r="W258" s="273"/>
      <c r="X258" s="273"/>
      <c r="Y258" s="273"/>
    </row>
    <row r="259" spans="1:25" ht="12.75">
      <c r="A259" s="304">
        <v>844</v>
      </c>
      <c r="B259" s="262" t="s">
        <v>390</v>
      </c>
      <c r="C259" s="260">
        <v>11</v>
      </c>
      <c r="D259" s="274">
        <v>3677.73857</v>
      </c>
      <c r="E259" s="274">
        <v>3630.570955058785</v>
      </c>
      <c r="F259" s="274">
        <v>3792.464734554583</v>
      </c>
      <c r="G259" s="274">
        <v>2006.804901764743</v>
      </c>
      <c r="H259" s="274">
        <v>1964.2940138690358</v>
      </c>
      <c r="I259" s="274">
        <v>430.00779</v>
      </c>
      <c r="J259" s="274">
        <v>445.07587300000006</v>
      </c>
      <c r="K259" s="274">
        <v>482.567154</v>
      </c>
      <c r="L259" s="274">
        <v>372.466881</v>
      </c>
      <c r="M259" s="274">
        <v>377.15199900000005</v>
      </c>
      <c r="N259" s="274">
        <v>418.66928</v>
      </c>
      <c r="O259" s="274">
        <v>413.7659897280001</v>
      </c>
      <c r="P259" s="274">
        <v>413.7659897280001</v>
      </c>
      <c r="Q259" s="274">
        <v>413.7659897280001</v>
      </c>
      <c r="R259" s="305">
        <v>413.7659897280001</v>
      </c>
      <c r="S259" s="305"/>
      <c r="T259" s="305"/>
      <c r="U259" s="305"/>
      <c r="V259" s="273"/>
      <c r="W259" s="273"/>
      <c r="X259" s="273"/>
      <c r="Y259" s="273"/>
    </row>
    <row r="260" spans="1:25" ht="12.75">
      <c r="A260" s="304">
        <v>845</v>
      </c>
      <c r="B260" s="262" t="s">
        <v>391</v>
      </c>
      <c r="C260" s="260">
        <v>19</v>
      </c>
      <c r="D260" s="274">
        <v>8074.89931</v>
      </c>
      <c r="E260" s="274">
        <v>8233.245310906299</v>
      </c>
      <c r="F260" s="274">
        <v>8360.430211840676</v>
      </c>
      <c r="G260" s="274">
        <v>4033.082879685384</v>
      </c>
      <c r="H260" s="274">
        <v>3914.521096143849</v>
      </c>
      <c r="I260" s="274">
        <v>596.25615</v>
      </c>
      <c r="J260" s="274">
        <v>481.748049</v>
      </c>
      <c r="K260" s="274">
        <v>521.211724</v>
      </c>
      <c r="L260" s="274">
        <v>402.294486</v>
      </c>
      <c r="M260" s="274">
        <v>407.354794</v>
      </c>
      <c r="N260" s="274">
        <v>2680.47363</v>
      </c>
      <c r="O260" s="274">
        <v>2777.3986449239997</v>
      </c>
      <c r="P260" s="274">
        <v>2777.3986449239997</v>
      </c>
      <c r="Q260" s="274">
        <v>2777.3986449239997</v>
      </c>
      <c r="R260" s="305">
        <v>2777.3986449239997</v>
      </c>
      <c r="S260" s="305"/>
      <c r="T260" s="305"/>
      <c r="U260" s="305"/>
      <c r="V260" s="273"/>
      <c r="W260" s="273"/>
      <c r="X260" s="273"/>
      <c r="Y260" s="273"/>
    </row>
    <row r="261" spans="1:25" ht="12.75">
      <c r="A261" s="304">
        <v>846</v>
      </c>
      <c r="B261" s="262" t="s">
        <v>392</v>
      </c>
      <c r="C261" s="260">
        <v>14</v>
      </c>
      <c r="D261" s="274">
        <v>14971.803890000001</v>
      </c>
      <c r="E261" s="274">
        <v>14839.829754778977</v>
      </c>
      <c r="F261" s="274">
        <v>15398.674694998586</v>
      </c>
      <c r="G261" s="274">
        <v>8588.117834477986</v>
      </c>
      <c r="H261" s="274">
        <v>8522.402740820966</v>
      </c>
      <c r="I261" s="274">
        <v>842.49923</v>
      </c>
      <c r="J261" s="274">
        <v>888.3482839999999</v>
      </c>
      <c r="K261" s="274">
        <v>961.414978</v>
      </c>
      <c r="L261" s="274">
        <v>742.063017</v>
      </c>
      <c r="M261" s="274">
        <v>751.3971429999999</v>
      </c>
      <c r="N261" s="274">
        <v>1017.7465699999999</v>
      </c>
      <c r="O261" s="274">
        <v>1106.465595996</v>
      </c>
      <c r="P261" s="274">
        <v>1106.465595996</v>
      </c>
      <c r="Q261" s="274">
        <v>1106.465595996</v>
      </c>
      <c r="R261" s="305">
        <v>1106.465595996</v>
      </c>
      <c r="S261" s="305"/>
      <c r="T261" s="305"/>
      <c r="U261" s="305"/>
      <c r="V261" s="273"/>
      <c r="W261" s="273"/>
      <c r="X261" s="273"/>
      <c r="Y261" s="273"/>
    </row>
    <row r="262" spans="1:25" ht="12.75">
      <c r="A262" s="304">
        <v>848</v>
      </c>
      <c r="B262" s="262" t="s">
        <v>393</v>
      </c>
      <c r="C262" s="260">
        <v>12</v>
      </c>
      <c r="D262" s="274">
        <v>11849.10066</v>
      </c>
      <c r="E262" s="274">
        <v>11894.628815160126</v>
      </c>
      <c r="F262" s="274">
        <v>12325.33982881381</v>
      </c>
      <c r="G262" s="274">
        <v>6699.211662562141</v>
      </c>
      <c r="H262" s="274">
        <v>6629.480131165304</v>
      </c>
      <c r="I262" s="274">
        <v>1041.2781400000001</v>
      </c>
      <c r="J262" s="274">
        <v>941.891463</v>
      </c>
      <c r="K262" s="274">
        <v>1020.9504200000001</v>
      </c>
      <c r="L262" s="274">
        <v>788.0151300000001</v>
      </c>
      <c r="M262" s="274">
        <v>797.9272699999999</v>
      </c>
      <c r="N262" s="274">
        <v>958.08603</v>
      </c>
      <c r="O262" s="274">
        <v>952.506916164</v>
      </c>
      <c r="P262" s="274">
        <v>952.506916164</v>
      </c>
      <c r="Q262" s="274">
        <v>952.506916164</v>
      </c>
      <c r="R262" s="305">
        <v>952.506916164</v>
      </c>
      <c r="S262" s="305"/>
      <c r="T262" s="305"/>
      <c r="U262" s="305"/>
      <c r="V262" s="273"/>
      <c r="W262" s="273"/>
      <c r="X262" s="273"/>
      <c r="Y262" s="273"/>
    </row>
    <row r="263" spans="1:25" ht="12.75">
      <c r="A263" s="304">
        <v>849</v>
      </c>
      <c r="B263" s="310" t="s">
        <v>394</v>
      </c>
      <c r="C263" s="260">
        <v>16</v>
      </c>
      <c r="D263" s="274">
        <v>7924.5123300000005</v>
      </c>
      <c r="E263" s="274">
        <v>8368.578099262908</v>
      </c>
      <c r="F263" s="274">
        <v>8694.291152603248</v>
      </c>
      <c r="G263" s="274">
        <v>4789.9015586618025</v>
      </c>
      <c r="H263" s="274">
        <v>4698.863720537587</v>
      </c>
      <c r="I263" s="274">
        <v>675.5714499999999</v>
      </c>
      <c r="J263" s="274">
        <v>600.0260860000001</v>
      </c>
      <c r="K263" s="274">
        <v>649.6036960000001</v>
      </c>
      <c r="L263" s="274">
        <v>501.393144</v>
      </c>
      <c r="M263" s="274">
        <v>507.69997600000005</v>
      </c>
      <c r="N263" s="274">
        <v>825.2087700000001</v>
      </c>
      <c r="O263" s="274">
        <v>805.816854912</v>
      </c>
      <c r="P263" s="274">
        <v>805.816854912</v>
      </c>
      <c r="Q263" s="274">
        <v>805.816854912</v>
      </c>
      <c r="R263" s="305">
        <v>805.816854912</v>
      </c>
      <c r="S263" s="305"/>
      <c r="T263" s="305"/>
      <c r="U263" s="305"/>
      <c r="V263" s="273"/>
      <c r="W263" s="273"/>
      <c r="X263" s="273"/>
      <c r="Y263" s="273"/>
    </row>
    <row r="264" spans="1:25" ht="12.75">
      <c r="A264" s="304">
        <v>850</v>
      </c>
      <c r="B264" s="262" t="s">
        <v>395</v>
      </c>
      <c r="C264" s="275">
        <v>13</v>
      </c>
      <c r="D264" s="274">
        <v>6793.49609</v>
      </c>
      <c r="E264" s="274">
        <v>6989.475996029702</v>
      </c>
      <c r="F264" s="274">
        <v>7315.148782230291</v>
      </c>
      <c r="G264" s="274">
        <v>3798.866665117603</v>
      </c>
      <c r="H264" s="274">
        <v>3737.3893850946024</v>
      </c>
      <c r="I264" s="274">
        <v>545.79824</v>
      </c>
      <c r="J264" s="274">
        <v>590.3627020000001</v>
      </c>
      <c r="K264" s="274">
        <v>640.5689480000001</v>
      </c>
      <c r="L264" s="274">
        <v>494.41972200000004</v>
      </c>
      <c r="M264" s="274">
        <v>500.638838</v>
      </c>
      <c r="N264" s="274">
        <v>569.3718</v>
      </c>
      <c r="O264" s="274">
        <v>636.316241448</v>
      </c>
      <c r="P264" s="274">
        <v>636.316241448</v>
      </c>
      <c r="Q264" s="274">
        <v>636.316241448</v>
      </c>
      <c r="R264" s="305">
        <v>636.316241448</v>
      </c>
      <c r="S264" s="305"/>
      <c r="T264" s="305"/>
      <c r="U264" s="305"/>
      <c r="V264" s="273"/>
      <c r="W264" s="273"/>
      <c r="X264" s="273"/>
      <c r="Y264" s="273"/>
    </row>
    <row r="265" spans="1:25" ht="12.75">
      <c r="A265" s="304">
        <v>851</v>
      </c>
      <c r="B265" s="262" t="s">
        <v>396</v>
      </c>
      <c r="C265" s="260">
        <v>19</v>
      </c>
      <c r="D265" s="274">
        <v>73202.00033</v>
      </c>
      <c r="E265" s="274">
        <v>75284.13032101726</v>
      </c>
      <c r="F265" s="274">
        <v>78312.76667610832</v>
      </c>
      <c r="G265" s="274">
        <v>40782.9204806769</v>
      </c>
      <c r="H265" s="274">
        <v>39858.522509460556</v>
      </c>
      <c r="I265" s="274">
        <v>3221.18452</v>
      </c>
      <c r="J265" s="274">
        <v>3164.611468</v>
      </c>
      <c r="K265" s="274">
        <v>3428.873502</v>
      </c>
      <c r="L265" s="274">
        <v>2646.557703</v>
      </c>
      <c r="M265" s="274">
        <v>2679.8477369999996</v>
      </c>
      <c r="N265" s="274">
        <v>6779.68689</v>
      </c>
      <c r="O265" s="274">
        <v>5866.581168681601</v>
      </c>
      <c r="P265" s="274">
        <v>5866.581168681601</v>
      </c>
      <c r="Q265" s="274">
        <v>5866.581168681601</v>
      </c>
      <c r="R265" s="305">
        <v>5866.581168681601</v>
      </c>
      <c r="S265" s="305"/>
      <c r="T265" s="305"/>
      <c r="U265" s="305"/>
      <c r="V265" s="273"/>
      <c r="W265" s="273"/>
      <c r="X265" s="273"/>
      <c r="Y265" s="273"/>
    </row>
    <row r="266" spans="1:25" ht="12.75">
      <c r="A266" s="304">
        <v>853</v>
      </c>
      <c r="B266" s="262" t="s">
        <v>397</v>
      </c>
      <c r="C266" s="275">
        <v>2</v>
      </c>
      <c r="D266" s="274">
        <v>601024.09238</v>
      </c>
      <c r="E266" s="274">
        <v>619505.2591303211</v>
      </c>
      <c r="F266" s="274">
        <v>644403.5971729408</v>
      </c>
      <c r="G266" s="274">
        <v>315792.886409732</v>
      </c>
      <c r="H266" s="274">
        <v>304809.2694730985</v>
      </c>
      <c r="I266" s="274">
        <v>94338.56856</v>
      </c>
      <c r="J266" s="274">
        <v>101466.31374800002</v>
      </c>
      <c r="K266" s="274">
        <v>110059.120038</v>
      </c>
      <c r="L266" s="274">
        <v>84948.54410700001</v>
      </c>
      <c r="M266" s="274">
        <v>86017.079253</v>
      </c>
      <c r="N266" s="274">
        <v>53653.99617</v>
      </c>
      <c r="O266" s="274">
        <v>56267.20142518799</v>
      </c>
      <c r="P266" s="274">
        <v>56267.20142518799</v>
      </c>
      <c r="Q266" s="274">
        <v>56267.20142518799</v>
      </c>
      <c r="R266" s="305">
        <v>56267.20142518799</v>
      </c>
      <c r="S266" s="305"/>
      <c r="T266" s="305"/>
      <c r="U266" s="305"/>
      <c r="V266" s="273"/>
      <c r="W266" s="273"/>
      <c r="X266" s="273"/>
      <c r="Y266" s="273"/>
    </row>
    <row r="267" spans="1:25" ht="12.75">
      <c r="A267" s="304">
        <v>857</v>
      </c>
      <c r="B267" s="262" t="s">
        <v>398</v>
      </c>
      <c r="C267" s="260">
        <v>11</v>
      </c>
      <c r="D267" s="274">
        <v>6658.7449400000005</v>
      </c>
      <c r="E267" s="274">
        <v>6574.718702049376</v>
      </c>
      <c r="F267" s="274">
        <v>6892.406676117271</v>
      </c>
      <c r="G267" s="274">
        <v>3819.7556894540508</v>
      </c>
      <c r="H267" s="274">
        <v>3766.213864988282</v>
      </c>
      <c r="I267" s="274">
        <v>777.70311</v>
      </c>
      <c r="J267" s="274">
        <v>717.2493260000001</v>
      </c>
      <c r="K267" s="274">
        <v>776.8000440000001</v>
      </c>
      <c r="L267" s="274">
        <v>599.568966</v>
      </c>
      <c r="M267" s="274">
        <v>607.110714</v>
      </c>
      <c r="N267" s="274">
        <v>955.76556</v>
      </c>
      <c r="O267" s="274">
        <v>939.73095684</v>
      </c>
      <c r="P267" s="274">
        <v>939.73095684</v>
      </c>
      <c r="Q267" s="274">
        <v>939.73095684</v>
      </c>
      <c r="R267" s="305">
        <v>939.73095684</v>
      </c>
      <c r="S267" s="305"/>
      <c r="T267" s="305"/>
      <c r="U267" s="305"/>
      <c r="V267" s="273"/>
      <c r="W267" s="273"/>
      <c r="X267" s="273"/>
      <c r="Y267" s="273"/>
    </row>
    <row r="268" spans="1:25" ht="12.75">
      <c r="A268" s="304">
        <v>858</v>
      </c>
      <c r="B268" s="262" t="s">
        <v>399</v>
      </c>
      <c r="C268" s="260">
        <v>1</v>
      </c>
      <c r="D268" s="274">
        <v>159903.23216999997</v>
      </c>
      <c r="E268" s="274">
        <v>163421.68058286252</v>
      </c>
      <c r="F268" s="274">
        <v>173028.7494815743</v>
      </c>
      <c r="G268" s="274">
        <v>83359.76422047675</v>
      </c>
      <c r="H268" s="274">
        <v>79286.42046069399</v>
      </c>
      <c r="I268" s="274">
        <v>7651.579320000001</v>
      </c>
      <c r="J268" s="274">
        <v>8010.325505</v>
      </c>
      <c r="K268" s="274">
        <v>8676.918172</v>
      </c>
      <c r="L268" s="274">
        <v>6697.232958</v>
      </c>
      <c r="M268" s="274">
        <v>6781.474882</v>
      </c>
      <c r="N268" s="274">
        <v>9985.06311</v>
      </c>
      <c r="O268" s="274">
        <v>10199.9324373432</v>
      </c>
      <c r="P268" s="274">
        <v>10199.9324373432</v>
      </c>
      <c r="Q268" s="274">
        <v>10199.9324373432</v>
      </c>
      <c r="R268" s="305">
        <v>10199.9324373432</v>
      </c>
      <c r="S268" s="305"/>
      <c r="T268" s="305"/>
      <c r="U268" s="305"/>
      <c r="V268" s="273"/>
      <c r="W268" s="273"/>
      <c r="X268" s="273"/>
      <c r="Y268" s="273"/>
    </row>
    <row r="269" spans="1:25" ht="12.75">
      <c r="A269" s="304">
        <v>859</v>
      </c>
      <c r="B269" s="262" t="s">
        <v>400</v>
      </c>
      <c r="C269" s="260">
        <v>17</v>
      </c>
      <c r="D269" s="274">
        <v>16777.45164</v>
      </c>
      <c r="E269" s="274">
        <v>17644.584628896027</v>
      </c>
      <c r="F269" s="274">
        <v>18583.359281788078</v>
      </c>
      <c r="G269" s="274">
        <v>9781.847314736242</v>
      </c>
      <c r="H269" s="274">
        <v>9570.825701036283</v>
      </c>
      <c r="I269" s="274">
        <v>505.47896000000003</v>
      </c>
      <c r="J269" s="274">
        <v>407.24735000000004</v>
      </c>
      <c r="K269" s="274">
        <v>440.770166</v>
      </c>
      <c r="L269" s="274">
        <v>340.206099</v>
      </c>
      <c r="M269" s="274">
        <v>344.4854210000001</v>
      </c>
      <c r="N269" s="274">
        <v>884.69512</v>
      </c>
      <c r="O269" s="274">
        <v>908.6758237536001</v>
      </c>
      <c r="P269" s="274">
        <v>908.6758237536001</v>
      </c>
      <c r="Q269" s="274">
        <v>908.6758237536001</v>
      </c>
      <c r="R269" s="305">
        <v>908.6758237536001</v>
      </c>
      <c r="S269" s="305"/>
      <c r="T269" s="305"/>
      <c r="U269" s="305"/>
      <c r="V269" s="273"/>
      <c r="W269" s="273"/>
      <c r="X269" s="273"/>
      <c r="Y269" s="273"/>
    </row>
    <row r="270" spans="1:25" ht="12.75">
      <c r="A270" s="304">
        <v>886</v>
      </c>
      <c r="B270" s="262" t="s">
        <v>401</v>
      </c>
      <c r="C270" s="260">
        <v>4</v>
      </c>
      <c r="D270" s="274">
        <v>44112.471840000006</v>
      </c>
      <c r="E270" s="274">
        <v>45274.026979431415</v>
      </c>
      <c r="F270" s="274">
        <v>46660.59512053383</v>
      </c>
      <c r="G270" s="274">
        <v>24055.36499197135</v>
      </c>
      <c r="H270" s="274">
        <v>23614.713527087388</v>
      </c>
      <c r="I270" s="274">
        <v>1822.50792</v>
      </c>
      <c r="J270" s="274">
        <v>2376.8663540000002</v>
      </c>
      <c r="K270" s="274">
        <v>2580.3345759999997</v>
      </c>
      <c r="L270" s="274">
        <v>1991.617464</v>
      </c>
      <c r="M270" s="274">
        <v>2016.6692559999997</v>
      </c>
      <c r="N270" s="274">
        <v>2595.56904</v>
      </c>
      <c r="O270" s="274">
        <v>2546.4145720079996</v>
      </c>
      <c r="P270" s="274">
        <v>2546.4145720079996</v>
      </c>
      <c r="Q270" s="274">
        <v>2546.4145720079996</v>
      </c>
      <c r="R270" s="305">
        <v>2546.4145720079996</v>
      </c>
      <c r="S270" s="305"/>
      <c r="T270" s="305"/>
      <c r="U270" s="305"/>
      <c r="V270" s="273"/>
      <c r="W270" s="273"/>
      <c r="X270" s="273"/>
      <c r="Y270" s="273"/>
    </row>
    <row r="271" spans="1:25" ht="12.75">
      <c r="A271" s="304">
        <v>887</v>
      </c>
      <c r="B271" s="262" t="s">
        <v>402</v>
      </c>
      <c r="C271" s="260">
        <v>6</v>
      </c>
      <c r="D271" s="274">
        <v>13132.130220000001</v>
      </c>
      <c r="E271" s="274">
        <v>13779.072617186146</v>
      </c>
      <c r="F271" s="274">
        <v>13923.96222666527</v>
      </c>
      <c r="G271" s="274">
        <v>7593.225349413206</v>
      </c>
      <c r="H271" s="274">
        <v>7509.092907992538</v>
      </c>
      <c r="I271" s="274">
        <v>923.4137900000001</v>
      </c>
      <c r="J271" s="274">
        <v>830.933486</v>
      </c>
      <c r="K271" s="274">
        <v>894.892016</v>
      </c>
      <c r="L271" s="274">
        <v>690.717624</v>
      </c>
      <c r="M271" s="274">
        <v>699.405896</v>
      </c>
      <c r="N271" s="274">
        <v>1475.3633799999998</v>
      </c>
      <c r="O271" s="274">
        <v>1690.164651444</v>
      </c>
      <c r="P271" s="274">
        <v>1690.164651444</v>
      </c>
      <c r="Q271" s="274">
        <v>1690.164651444</v>
      </c>
      <c r="R271" s="305">
        <v>1690.164651444</v>
      </c>
      <c r="S271" s="305"/>
      <c r="T271" s="305"/>
      <c r="U271" s="305"/>
      <c r="V271" s="273"/>
      <c r="W271" s="273"/>
      <c r="X271" s="273"/>
      <c r="Y271" s="273"/>
    </row>
    <row r="272" spans="1:25" ht="12.75">
      <c r="A272" s="304">
        <v>889</v>
      </c>
      <c r="B272" s="262" t="s">
        <v>403</v>
      </c>
      <c r="C272" s="260">
        <v>17</v>
      </c>
      <c r="D272" s="274">
        <v>6762.62787</v>
      </c>
      <c r="E272" s="274">
        <v>6689.783903583952</v>
      </c>
      <c r="F272" s="274">
        <v>6983.104260549927</v>
      </c>
      <c r="G272" s="274">
        <v>3606.2341297081666</v>
      </c>
      <c r="H272" s="274">
        <v>3517.1217238928693</v>
      </c>
      <c r="I272" s="274">
        <v>1011.2342</v>
      </c>
      <c r="J272" s="274">
        <v>858.6213419999999</v>
      </c>
      <c r="K272" s="274">
        <v>928.8525579999998</v>
      </c>
      <c r="L272" s="274">
        <v>716.929887</v>
      </c>
      <c r="M272" s="274">
        <v>725.9478730000001</v>
      </c>
      <c r="N272" s="274">
        <v>2625.43588</v>
      </c>
      <c r="O272" s="274">
        <v>2647.2884592</v>
      </c>
      <c r="P272" s="274">
        <v>2647.2884592</v>
      </c>
      <c r="Q272" s="274">
        <v>2647.2884592</v>
      </c>
      <c r="R272" s="305">
        <v>2647.2884592</v>
      </c>
      <c r="S272" s="305"/>
      <c r="T272" s="305"/>
      <c r="U272" s="305"/>
      <c r="V272" s="273"/>
      <c r="W272" s="273"/>
      <c r="X272" s="273"/>
      <c r="Y272" s="273"/>
    </row>
    <row r="273" spans="1:25" ht="12.75">
      <c r="A273" s="304">
        <v>890</v>
      </c>
      <c r="B273" s="262" t="s">
        <v>404</v>
      </c>
      <c r="C273" s="260">
        <v>19</v>
      </c>
      <c r="D273" s="274">
        <v>3842.76479</v>
      </c>
      <c r="E273" s="274">
        <v>3992.6802202819285</v>
      </c>
      <c r="F273" s="274">
        <v>4101.804145024654</v>
      </c>
      <c r="G273" s="274">
        <v>2198.932144411014</v>
      </c>
      <c r="H273" s="274">
        <v>2151.0738489622613</v>
      </c>
      <c r="I273" s="274">
        <v>159.77364</v>
      </c>
      <c r="J273" s="274">
        <v>151.03099799999998</v>
      </c>
      <c r="K273" s="274">
        <v>163.867644</v>
      </c>
      <c r="L273" s="274">
        <v>126.48036600000002</v>
      </c>
      <c r="M273" s="274">
        <v>128.071314</v>
      </c>
      <c r="N273" s="274">
        <v>633.12625</v>
      </c>
      <c r="O273" s="274">
        <v>631.3160577479999</v>
      </c>
      <c r="P273" s="274">
        <v>631.3160577479999</v>
      </c>
      <c r="Q273" s="274">
        <v>631.3160577479999</v>
      </c>
      <c r="R273" s="305">
        <v>631.3160577479999</v>
      </c>
      <c r="S273" s="305"/>
      <c r="T273" s="305"/>
      <c r="U273" s="305"/>
      <c r="V273" s="273"/>
      <c r="W273" s="273"/>
      <c r="X273" s="273"/>
      <c r="Y273" s="273"/>
    </row>
    <row r="274" spans="1:25" ht="12.75">
      <c r="A274" s="304">
        <v>892</v>
      </c>
      <c r="B274" s="262" t="s">
        <v>405</v>
      </c>
      <c r="C274" s="260">
        <v>13</v>
      </c>
      <c r="D274" s="274">
        <v>9653.08035</v>
      </c>
      <c r="E274" s="274">
        <v>9869.997540441102</v>
      </c>
      <c r="F274" s="274">
        <v>10211.396744469272</v>
      </c>
      <c r="G274" s="274">
        <v>5260.956816190184</v>
      </c>
      <c r="H274" s="274">
        <v>5150.964195696101</v>
      </c>
      <c r="I274" s="274">
        <v>600.5089</v>
      </c>
      <c r="J274" s="274">
        <v>536.1969419999999</v>
      </c>
      <c r="K274" s="274">
        <v>580.8382179999999</v>
      </c>
      <c r="L274" s="274">
        <v>448.316877</v>
      </c>
      <c r="M274" s="274">
        <v>453.956083</v>
      </c>
      <c r="N274" s="274">
        <v>594.93267</v>
      </c>
      <c r="O274" s="274">
        <v>630.1626192456</v>
      </c>
      <c r="P274" s="274">
        <v>630.1626192456</v>
      </c>
      <c r="Q274" s="274">
        <v>630.1626192456</v>
      </c>
      <c r="R274" s="305">
        <v>630.1626192456</v>
      </c>
      <c r="S274" s="305"/>
      <c r="T274" s="305"/>
      <c r="U274" s="305"/>
      <c r="V274" s="273"/>
      <c r="W274" s="273"/>
      <c r="X274" s="273"/>
      <c r="Y274" s="273"/>
    </row>
    <row r="275" spans="1:25" ht="12.75">
      <c r="A275" s="304">
        <v>893</v>
      </c>
      <c r="B275" s="262" t="s">
        <v>406</v>
      </c>
      <c r="C275" s="260">
        <v>15</v>
      </c>
      <c r="D275" s="274">
        <v>21336.153469999997</v>
      </c>
      <c r="E275" s="274">
        <v>22296.387492123748</v>
      </c>
      <c r="F275" s="274">
        <v>23478.00880755426</v>
      </c>
      <c r="G275" s="274">
        <v>12669.335417966884</v>
      </c>
      <c r="H275" s="274">
        <v>12405.366725340955</v>
      </c>
      <c r="I275" s="274">
        <v>3444.46996</v>
      </c>
      <c r="J275" s="274">
        <v>2754.1413589999997</v>
      </c>
      <c r="K275" s="274">
        <v>2990.4090939999996</v>
      </c>
      <c r="L275" s="274">
        <v>2308.131291</v>
      </c>
      <c r="M275" s="274">
        <v>2337.164389</v>
      </c>
      <c r="N275" s="274">
        <v>2187.68432</v>
      </c>
      <c r="O275" s="274">
        <v>2395.6929609119998</v>
      </c>
      <c r="P275" s="274">
        <v>2395.6929609119998</v>
      </c>
      <c r="Q275" s="274">
        <v>2395.6929609119998</v>
      </c>
      <c r="R275" s="305">
        <v>2395.6929609119998</v>
      </c>
      <c r="S275" s="305"/>
      <c r="T275" s="305"/>
      <c r="U275" s="305"/>
      <c r="V275" s="273"/>
      <c r="W275" s="273"/>
      <c r="X275" s="273"/>
      <c r="Y275" s="273"/>
    </row>
    <row r="276" spans="1:25" ht="12.75">
      <c r="A276" s="304">
        <v>895</v>
      </c>
      <c r="B276" s="262" t="s">
        <v>407</v>
      </c>
      <c r="C276" s="260">
        <v>2</v>
      </c>
      <c r="D276" s="274">
        <v>52759.60982</v>
      </c>
      <c r="E276" s="274">
        <v>57229.52867195567</v>
      </c>
      <c r="F276" s="274">
        <v>57353.9938794817</v>
      </c>
      <c r="G276" s="274">
        <v>29964.57857023836</v>
      </c>
      <c r="H276" s="274">
        <v>29212.49961385515</v>
      </c>
      <c r="I276" s="274">
        <v>4223.23129</v>
      </c>
      <c r="J276" s="274">
        <v>3799.0610199999996</v>
      </c>
      <c r="K276" s="274">
        <v>4111.7783340000005</v>
      </c>
      <c r="L276" s="274">
        <v>3173.654151</v>
      </c>
      <c r="M276" s="274">
        <v>3213.574329</v>
      </c>
      <c r="N276" s="274">
        <v>4828.24837</v>
      </c>
      <c r="O276" s="274">
        <v>4982.7441293544</v>
      </c>
      <c r="P276" s="274">
        <v>4982.7441293544</v>
      </c>
      <c r="Q276" s="274">
        <v>4982.7441293544</v>
      </c>
      <c r="R276" s="305">
        <v>4982.7441293544</v>
      </c>
      <c r="S276" s="305"/>
      <c r="T276" s="305"/>
      <c r="U276" s="305"/>
      <c r="V276" s="273"/>
      <c r="W276" s="273"/>
      <c r="X276" s="273"/>
      <c r="Y276" s="273"/>
    </row>
    <row r="277" spans="1:25" ht="12.75">
      <c r="A277" s="304">
        <v>785</v>
      </c>
      <c r="B277" s="262" t="s">
        <v>408</v>
      </c>
      <c r="C277" s="260">
        <v>18</v>
      </c>
      <c r="D277" s="274">
        <v>7949.70691</v>
      </c>
      <c r="E277" s="274">
        <v>7812.319024394422</v>
      </c>
      <c r="F277" s="274">
        <v>8238.778012138906</v>
      </c>
      <c r="G277" s="274">
        <v>4429.479536866639</v>
      </c>
      <c r="H277" s="274">
        <v>4339.5960512249185</v>
      </c>
      <c r="I277" s="274">
        <v>693.1730500000001</v>
      </c>
      <c r="J277" s="274">
        <v>631.771761</v>
      </c>
      <c r="K277" s="274">
        <v>683.539724</v>
      </c>
      <c r="L277" s="274">
        <v>527.5864859999999</v>
      </c>
      <c r="M277" s="274">
        <v>534.222794</v>
      </c>
      <c r="N277" s="274">
        <v>2688.66005</v>
      </c>
      <c r="O277" s="274">
        <v>2662.3494039887996</v>
      </c>
      <c r="P277" s="274">
        <v>2662.3494039887996</v>
      </c>
      <c r="Q277" s="274">
        <v>2662.3494039887996</v>
      </c>
      <c r="R277" s="305">
        <v>2662.3494039887996</v>
      </c>
      <c r="S277" s="305"/>
      <c r="T277" s="305"/>
      <c r="U277" s="305"/>
      <c r="V277" s="273"/>
      <c r="W277" s="273"/>
      <c r="X277" s="273"/>
      <c r="Y277" s="273"/>
    </row>
    <row r="278" spans="1:25" ht="12.75">
      <c r="A278" s="304">
        <v>905</v>
      </c>
      <c r="B278" s="262" t="s">
        <v>409</v>
      </c>
      <c r="C278" s="260">
        <v>15</v>
      </c>
      <c r="D278" s="274">
        <v>227400.30024</v>
      </c>
      <c r="E278" s="274">
        <v>230260.29294384483</v>
      </c>
      <c r="F278" s="274">
        <v>243021.78191286986</v>
      </c>
      <c r="G278" s="274">
        <v>121710.53998060682</v>
      </c>
      <c r="H278" s="274">
        <v>117583.79446513287</v>
      </c>
      <c r="I278" s="274">
        <v>32031.17906</v>
      </c>
      <c r="J278" s="274">
        <v>24729.683449</v>
      </c>
      <c r="K278" s="274">
        <v>26639.616768</v>
      </c>
      <c r="L278" s="274">
        <v>20561.645951999995</v>
      </c>
      <c r="M278" s="274">
        <v>20820.283007999995</v>
      </c>
      <c r="N278" s="274">
        <v>20281.35556</v>
      </c>
      <c r="O278" s="274">
        <v>20844.378400872</v>
      </c>
      <c r="P278" s="274">
        <v>20844.378400872</v>
      </c>
      <c r="Q278" s="274">
        <v>20844.378400872</v>
      </c>
      <c r="R278" s="305">
        <v>20844.378400872</v>
      </c>
      <c r="S278" s="305"/>
      <c r="T278" s="305"/>
      <c r="U278" s="305"/>
      <c r="V278" s="273"/>
      <c r="W278" s="273"/>
      <c r="X278" s="273"/>
      <c r="Y278" s="273"/>
    </row>
    <row r="279" spans="1:25" ht="12.75">
      <c r="A279" s="304">
        <v>908</v>
      </c>
      <c r="B279" s="262" t="s">
        <v>410</v>
      </c>
      <c r="C279" s="260">
        <v>6</v>
      </c>
      <c r="D279" s="274">
        <v>70685.09506</v>
      </c>
      <c r="E279" s="274">
        <v>70105.77254396475</v>
      </c>
      <c r="F279" s="274">
        <v>74328.42519307164</v>
      </c>
      <c r="G279" s="274">
        <v>35692.26571757009</v>
      </c>
      <c r="H279" s="274">
        <v>34686.47024073802</v>
      </c>
      <c r="I279" s="274">
        <v>4606.0847699999995</v>
      </c>
      <c r="J279" s="274">
        <v>4477.763153999999</v>
      </c>
      <c r="K279" s="274">
        <v>4855.976405999999</v>
      </c>
      <c r="L279" s="274">
        <v>3748.0594589999996</v>
      </c>
      <c r="M279" s="274">
        <v>3795.2048609999997</v>
      </c>
      <c r="N279" s="274">
        <v>4794.13267</v>
      </c>
      <c r="O279" s="274">
        <v>4910.642793204</v>
      </c>
      <c r="P279" s="274">
        <v>4910.642793204</v>
      </c>
      <c r="Q279" s="274">
        <v>4910.642793204</v>
      </c>
      <c r="R279" s="305">
        <v>4910.642793204</v>
      </c>
      <c r="S279" s="305"/>
      <c r="T279" s="305"/>
      <c r="U279" s="305"/>
      <c r="V279" s="273"/>
      <c r="W279" s="273"/>
      <c r="X279" s="273"/>
      <c r="Y279" s="273"/>
    </row>
    <row r="280" spans="1:25" ht="12.75">
      <c r="A280" s="304">
        <v>911</v>
      </c>
      <c r="B280" s="262" t="s">
        <v>411</v>
      </c>
      <c r="C280" s="260">
        <v>12</v>
      </c>
      <c r="D280" s="274">
        <v>5275.92324</v>
      </c>
      <c r="E280" s="274">
        <v>5378.6609056022235</v>
      </c>
      <c r="F280" s="274">
        <v>5440.582645944453</v>
      </c>
      <c r="G280" s="274">
        <v>2870.2967715531295</v>
      </c>
      <c r="H280" s="274">
        <v>2827.6600932086717</v>
      </c>
      <c r="I280" s="274">
        <v>1051.4216299999998</v>
      </c>
      <c r="J280" s="274">
        <v>833.0141960000002</v>
      </c>
      <c r="K280" s="274">
        <v>901.337756</v>
      </c>
      <c r="L280" s="274">
        <v>695.692734</v>
      </c>
      <c r="M280" s="274">
        <v>704.4435860000001</v>
      </c>
      <c r="N280" s="274">
        <v>390.39532</v>
      </c>
      <c r="O280" s="274">
        <v>385.904580768</v>
      </c>
      <c r="P280" s="274">
        <v>385.904580768</v>
      </c>
      <c r="Q280" s="274">
        <v>385.904580768</v>
      </c>
      <c r="R280" s="305">
        <v>385.904580768</v>
      </c>
      <c r="S280" s="305"/>
      <c r="T280" s="305"/>
      <c r="U280" s="305"/>
      <c r="V280" s="273"/>
      <c r="W280" s="273"/>
      <c r="X280" s="273"/>
      <c r="Y280" s="273"/>
    </row>
    <row r="281" spans="1:25" ht="12.75">
      <c r="A281" s="304">
        <v>92</v>
      </c>
      <c r="B281" s="262" t="s">
        <v>412</v>
      </c>
      <c r="C281" s="260">
        <v>1</v>
      </c>
      <c r="D281" s="274">
        <v>818919.86572</v>
      </c>
      <c r="E281" s="274">
        <v>845187.1052665104</v>
      </c>
      <c r="F281" s="274">
        <v>888328.9968112393</v>
      </c>
      <c r="G281" s="274">
        <v>416844.47763084684</v>
      </c>
      <c r="H281" s="274">
        <v>397101.345486195</v>
      </c>
      <c r="I281" s="274">
        <v>80698.97047</v>
      </c>
      <c r="J281" s="274">
        <v>77953.48418900001</v>
      </c>
      <c r="K281" s="274">
        <v>84522.68930200001</v>
      </c>
      <c r="L281" s="274">
        <v>65238.386403000004</v>
      </c>
      <c r="M281" s="274">
        <v>66058.995037</v>
      </c>
      <c r="N281" s="274">
        <v>77328.59834</v>
      </c>
      <c r="O281" s="274">
        <v>80223.1755873312</v>
      </c>
      <c r="P281" s="274">
        <v>80223.1755873312</v>
      </c>
      <c r="Q281" s="274">
        <v>80223.1755873312</v>
      </c>
      <c r="R281" s="305">
        <v>80223.1755873312</v>
      </c>
      <c r="S281" s="305"/>
      <c r="T281" s="305"/>
      <c r="U281" s="305"/>
      <c r="V281" s="273"/>
      <c r="W281" s="273"/>
      <c r="X281" s="273"/>
      <c r="Y281" s="273"/>
    </row>
    <row r="282" spans="1:25" ht="12.75">
      <c r="A282" s="304">
        <v>915</v>
      </c>
      <c r="B282" s="262" t="s">
        <v>413</v>
      </c>
      <c r="C282" s="260">
        <v>11</v>
      </c>
      <c r="D282" s="274">
        <v>69889.28525</v>
      </c>
      <c r="E282" s="274">
        <v>70496.86113950513</v>
      </c>
      <c r="F282" s="274">
        <v>73191.73855644096</v>
      </c>
      <c r="G282" s="274">
        <v>37369.1503024873</v>
      </c>
      <c r="H282" s="274">
        <v>36772.21169855765</v>
      </c>
      <c r="I282" s="274">
        <v>4307.73837</v>
      </c>
      <c r="J282" s="274">
        <v>4035.518625</v>
      </c>
      <c r="K282" s="274">
        <v>4372.04306</v>
      </c>
      <c r="L282" s="274">
        <v>3374.5380900000005</v>
      </c>
      <c r="M282" s="274">
        <v>3416.98511</v>
      </c>
      <c r="N282" s="274">
        <v>5754.72903</v>
      </c>
      <c r="O282" s="274">
        <v>5740.21128858</v>
      </c>
      <c r="P282" s="274">
        <v>5740.21128858</v>
      </c>
      <c r="Q282" s="274">
        <v>5740.21128858</v>
      </c>
      <c r="R282" s="305">
        <v>5740.21128858</v>
      </c>
      <c r="S282" s="305"/>
      <c r="T282" s="305"/>
      <c r="U282" s="305"/>
      <c r="V282" s="273"/>
      <c r="W282" s="273"/>
      <c r="X282" s="273"/>
      <c r="Y282" s="273"/>
    </row>
    <row r="283" spans="1:25" ht="12.75">
      <c r="A283" s="304">
        <v>918</v>
      </c>
      <c r="B283" s="262" t="s">
        <v>414</v>
      </c>
      <c r="C283" s="260">
        <v>2</v>
      </c>
      <c r="D283" s="274">
        <v>7006.30681</v>
      </c>
      <c r="E283" s="274">
        <v>7354.103497602959</v>
      </c>
      <c r="F283" s="274">
        <v>7573.039232774077</v>
      </c>
      <c r="G283" s="274">
        <v>4340.5931729629565</v>
      </c>
      <c r="H283" s="274">
        <v>4246.240464360127</v>
      </c>
      <c r="I283" s="274">
        <v>386.21983</v>
      </c>
      <c r="J283" s="274">
        <v>467.500052</v>
      </c>
      <c r="K283" s="274">
        <v>507.43567999999993</v>
      </c>
      <c r="L283" s="274">
        <v>391.66151999999994</v>
      </c>
      <c r="M283" s="274">
        <v>396.58808</v>
      </c>
      <c r="N283" s="274">
        <v>735.38711</v>
      </c>
      <c r="O283" s="274">
        <v>760.972351824</v>
      </c>
      <c r="P283" s="274">
        <v>760.972351824</v>
      </c>
      <c r="Q283" s="274">
        <v>760.972351824</v>
      </c>
      <c r="R283" s="305">
        <v>760.972351824</v>
      </c>
      <c r="S283" s="305"/>
      <c r="T283" s="305"/>
      <c r="U283" s="305"/>
      <c r="V283" s="273"/>
      <c r="W283" s="273"/>
      <c r="X283" s="273"/>
      <c r="Y283" s="273"/>
    </row>
    <row r="284" spans="1:25" ht="12.75">
      <c r="A284" s="304">
        <v>921</v>
      </c>
      <c r="B284" s="262" t="s">
        <v>415</v>
      </c>
      <c r="C284" s="260">
        <v>11</v>
      </c>
      <c r="D284" s="274">
        <v>4820.888019999999</v>
      </c>
      <c r="E284" s="274">
        <v>5025.759805549627</v>
      </c>
      <c r="F284" s="274">
        <v>5169.97296695892</v>
      </c>
      <c r="G284" s="274">
        <v>2780.8333856025206</v>
      </c>
      <c r="H284" s="274">
        <v>2757.9112870690597</v>
      </c>
      <c r="I284" s="274">
        <v>600.3606500000001</v>
      </c>
      <c r="J284" s="274">
        <v>569.174183</v>
      </c>
      <c r="K284" s="274">
        <v>617.139126</v>
      </c>
      <c r="L284" s="274">
        <v>476.335539</v>
      </c>
      <c r="M284" s="274">
        <v>482.32718100000005</v>
      </c>
      <c r="N284" s="274">
        <v>521.23885</v>
      </c>
      <c r="O284" s="274">
        <v>544.63792626</v>
      </c>
      <c r="P284" s="274">
        <v>544.63792626</v>
      </c>
      <c r="Q284" s="274">
        <v>544.63792626</v>
      </c>
      <c r="R284" s="305">
        <v>544.63792626</v>
      </c>
      <c r="S284" s="305"/>
      <c r="T284" s="305"/>
      <c r="U284" s="305"/>
      <c r="V284" s="273"/>
      <c r="W284" s="273"/>
      <c r="X284" s="273"/>
      <c r="Y284" s="273"/>
    </row>
    <row r="285" spans="1:25" ht="12.75">
      <c r="A285" s="304">
        <v>922</v>
      </c>
      <c r="B285" s="262" t="s">
        <v>416</v>
      </c>
      <c r="C285" s="260">
        <v>6</v>
      </c>
      <c r="D285" s="305">
        <v>15003.13111</v>
      </c>
      <c r="E285" s="305">
        <v>15048.018649782987</v>
      </c>
      <c r="F285" s="274">
        <v>15648.333056203996</v>
      </c>
      <c r="G285" s="305">
        <v>8535.397843083323</v>
      </c>
      <c r="H285" s="305">
        <v>8299.971295435485</v>
      </c>
      <c r="I285" s="305">
        <v>507.49083</v>
      </c>
      <c r="J285" s="305">
        <v>521.182719</v>
      </c>
      <c r="K285" s="305">
        <v>565.432508</v>
      </c>
      <c r="L285" s="305">
        <v>436.42606199999994</v>
      </c>
      <c r="M285" s="305">
        <v>441.91569799999996</v>
      </c>
      <c r="N285" s="305">
        <v>1251.15472</v>
      </c>
      <c r="O285" s="305">
        <v>1228.1764964640001</v>
      </c>
      <c r="P285" s="305">
        <v>1228.1764964640001</v>
      </c>
      <c r="Q285" s="305">
        <v>1228.1764964640001</v>
      </c>
      <c r="R285" s="305">
        <v>1228.1764964640001</v>
      </c>
      <c r="S285" s="305"/>
      <c r="T285" s="305"/>
      <c r="U285" s="305"/>
      <c r="V285" s="273"/>
      <c r="W285" s="273"/>
      <c r="X285" s="273"/>
      <c r="Y285" s="273"/>
    </row>
    <row r="286" spans="1:25" ht="12.75">
      <c r="A286" s="304">
        <v>924</v>
      </c>
      <c r="B286" s="262" t="s">
        <v>417</v>
      </c>
      <c r="C286" s="260">
        <v>16</v>
      </c>
      <c r="D286" s="305">
        <v>9036.78793</v>
      </c>
      <c r="E286" s="305">
        <v>9135.081443762238</v>
      </c>
      <c r="F286" s="274">
        <v>9447.12211645787</v>
      </c>
      <c r="G286" s="305">
        <v>5242.504326459961</v>
      </c>
      <c r="H286" s="305">
        <v>5175.483383480618</v>
      </c>
      <c r="I286" s="305">
        <v>808.6484499999999</v>
      </c>
      <c r="J286" s="305">
        <v>620.165604</v>
      </c>
      <c r="K286" s="305">
        <v>672.518312</v>
      </c>
      <c r="L286" s="305">
        <v>519.0796680000001</v>
      </c>
      <c r="M286" s="305">
        <v>525.6089720000001</v>
      </c>
      <c r="N286" s="305">
        <v>672.13589</v>
      </c>
      <c r="O286" s="305">
        <v>693.4011771119999</v>
      </c>
      <c r="P286" s="305">
        <v>693.4011771119999</v>
      </c>
      <c r="Q286" s="305">
        <v>693.4011771119999</v>
      </c>
      <c r="R286" s="305">
        <v>693.4011771119999</v>
      </c>
      <c r="S286" s="305"/>
      <c r="T286" s="305"/>
      <c r="U286" s="305"/>
      <c r="V286" s="273"/>
      <c r="W286" s="273"/>
      <c r="X286" s="273"/>
      <c r="Y286" s="273"/>
    </row>
    <row r="287" spans="1:25" ht="12.75">
      <c r="A287" s="304">
        <v>925</v>
      </c>
      <c r="B287" s="262" t="s">
        <v>418</v>
      </c>
      <c r="C287" s="260">
        <v>11</v>
      </c>
      <c r="D287" s="305">
        <v>9562.72252</v>
      </c>
      <c r="E287" s="305">
        <v>9503.150571010981</v>
      </c>
      <c r="F287" s="274">
        <v>9905.004244576132</v>
      </c>
      <c r="G287" s="305">
        <v>5250.059896369394</v>
      </c>
      <c r="H287" s="305">
        <v>5151.289383269303</v>
      </c>
      <c r="I287" s="305">
        <v>3015.84124</v>
      </c>
      <c r="J287" s="305">
        <v>3268.401321</v>
      </c>
      <c r="K287" s="305">
        <v>3552.562288</v>
      </c>
      <c r="L287" s="305">
        <v>2742.0262319999997</v>
      </c>
      <c r="M287" s="305">
        <v>2776.517128</v>
      </c>
      <c r="N287" s="305">
        <v>814.5853199999999</v>
      </c>
      <c r="O287" s="305">
        <v>880.0509283080002</v>
      </c>
      <c r="P287" s="305">
        <v>880.0509283080002</v>
      </c>
      <c r="Q287" s="305">
        <v>880.0509283080002</v>
      </c>
      <c r="R287" s="305">
        <v>880.0509283080002</v>
      </c>
      <c r="S287" s="305"/>
      <c r="T287" s="305"/>
      <c r="U287" s="305"/>
      <c r="V287" s="273"/>
      <c r="W287" s="273"/>
      <c r="X287" s="273"/>
      <c r="Y287" s="273"/>
    </row>
    <row r="288" spans="1:25" ht="12.75">
      <c r="A288" s="304">
        <v>927</v>
      </c>
      <c r="B288" s="262" t="s">
        <v>419</v>
      </c>
      <c r="C288" s="260">
        <v>1</v>
      </c>
      <c r="D288" s="305">
        <v>114643.58417</v>
      </c>
      <c r="E288" s="305">
        <v>116674.85024337958</v>
      </c>
      <c r="F288" s="274">
        <v>122607.53259533989</v>
      </c>
      <c r="G288" s="305">
        <v>62466.63296219293</v>
      </c>
      <c r="H288" s="305">
        <v>60370.02341588654</v>
      </c>
      <c r="I288" s="305">
        <v>3710.3828900000003</v>
      </c>
      <c r="J288" s="305">
        <v>3700.244059</v>
      </c>
      <c r="K288" s="305">
        <v>4001.394882</v>
      </c>
      <c r="L288" s="305">
        <v>3088.455273</v>
      </c>
      <c r="M288" s="305">
        <v>3127.3037669999994</v>
      </c>
      <c r="N288" s="305">
        <v>7451.69427</v>
      </c>
      <c r="O288" s="305">
        <v>7134.938557896</v>
      </c>
      <c r="P288" s="305">
        <v>7134.938557896</v>
      </c>
      <c r="Q288" s="305">
        <v>7134.938557896</v>
      </c>
      <c r="R288" s="305">
        <v>7134.938557896</v>
      </c>
      <c r="S288" s="305"/>
      <c r="T288" s="305"/>
      <c r="U288" s="305"/>
      <c r="V288" s="273"/>
      <c r="W288" s="273"/>
      <c r="X288" s="273"/>
      <c r="Y288" s="273"/>
    </row>
    <row r="289" spans="1:25" ht="12.75">
      <c r="A289" s="304">
        <v>931</v>
      </c>
      <c r="B289" s="262" t="s">
        <v>420</v>
      </c>
      <c r="C289" s="260">
        <v>13</v>
      </c>
      <c r="D289" s="305">
        <v>17401.74068</v>
      </c>
      <c r="E289" s="305">
        <v>16643.544942513003</v>
      </c>
      <c r="F289" s="274">
        <v>17689.115943942037</v>
      </c>
      <c r="G289" s="305">
        <v>9235.218741742487</v>
      </c>
      <c r="H289" s="305">
        <v>9076.445439624016</v>
      </c>
      <c r="I289" s="305">
        <v>2334.10477</v>
      </c>
      <c r="J289" s="305">
        <v>2289.764041</v>
      </c>
      <c r="K289" s="305">
        <v>2481.2646440000003</v>
      </c>
      <c r="L289" s="305">
        <v>1915.1508660000002</v>
      </c>
      <c r="M289" s="305">
        <v>1939.240814</v>
      </c>
      <c r="N289" s="305">
        <v>1898.18623</v>
      </c>
      <c r="O289" s="305">
        <v>1985.1330348672002</v>
      </c>
      <c r="P289" s="305">
        <v>1985.1330348672002</v>
      </c>
      <c r="Q289" s="305">
        <v>1985.1330348672002</v>
      </c>
      <c r="R289" s="305">
        <v>1985.1330348672002</v>
      </c>
      <c r="S289" s="305"/>
      <c r="T289" s="305"/>
      <c r="U289" s="305"/>
      <c r="V289" s="273"/>
      <c r="W289" s="273"/>
      <c r="X289" s="273"/>
      <c r="Y289" s="273"/>
    </row>
    <row r="290" spans="1:25" ht="12.75">
      <c r="A290" s="304">
        <v>934</v>
      </c>
      <c r="B290" s="262" t="s">
        <v>421</v>
      </c>
      <c r="C290" s="260">
        <v>14</v>
      </c>
      <c r="D290" s="305">
        <v>9088.370570000001</v>
      </c>
      <c r="E290" s="305">
        <v>9001.053178477683</v>
      </c>
      <c r="F290" s="274">
        <v>9425.762262586735</v>
      </c>
      <c r="G290" s="305">
        <v>5203.652903474216</v>
      </c>
      <c r="H290" s="305">
        <v>5134.6135200789395</v>
      </c>
      <c r="I290" s="305">
        <v>648.5434399999999</v>
      </c>
      <c r="J290" s="305">
        <v>606.897658</v>
      </c>
      <c r="K290" s="305">
        <v>652.91185</v>
      </c>
      <c r="L290" s="305">
        <v>503.946525</v>
      </c>
      <c r="M290" s="305">
        <v>510.28547499999996</v>
      </c>
      <c r="N290" s="305">
        <v>905.38962</v>
      </c>
      <c r="O290" s="305">
        <v>798.464782308</v>
      </c>
      <c r="P290" s="305">
        <v>798.464782308</v>
      </c>
      <c r="Q290" s="305">
        <v>798.464782308</v>
      </c>
      <c r="R290" s="305">
        <v>798.464782308</v>
      </c>
      <c r="S290" s="305"/>
      <c r="T290" s="305"/>
      <c r="U290" s="305"/>
      <c r="V290" s="273"/>
      <c r="W290" s="273"/>
      <c r="X290" s="273"/>
      <c r="Y290" s="273"/>
    </row>
    <row r="291" spans="1:25" ht="12.75">
      <c r="A291" s="304">
        <v>935</v>
      </c>
      <c r="B291" s="262" t="s">
        <v>422</v>
      </c>
      <c r="C291" s="260">
        <v>8</v>
      </c>
      <c r="D291" s="305">
        <v>8399.91419</v>
      </c>
      <c r="E291" s="305">
        <v>8248.784875008</v>
      </c>
      <c r="F291" s="274">
        <v>8709.472028168746</v>
      </c>
      <c r="G291" s="305">
        <v>4304.9020374010815</v>
      </c>
      <c r="H291" s="305">
        <v>4205.320125835031</v>
      </c>
      <c r="I291" s="305">
        <v>1172.43724</v>
      </c>
      <c r="J291" s="305">
        <v>999.7528540000001</v>
      </c>
      <c r="K291" s="305">
        <v>1083.503968</v>
      </c>
      <c r="L291" s="305">
        <v>836.296752</v>
      </c>
      <c r="M291" s="305">
        <v>846.816208</v>
      </c>
      <c r="N291" s="305">
        <v>1405.59746</v>
      </c>
      <c r="O291" s="305">
        <v>1694.56156836</v>
      </c>
      <c r="P291" s="305">
        <v>1694.56156836</v>
      </c>
      <c r="Q291" s="305">
        <v>1694.56156836</v>
      </c>
      <c r="R291" s="305">
        <v>1694.56156836</v>
      </c>
      <c r="S291" s="305"/>
      <c r="T291" s="305"/>
      <c r="U291" s="305"/>
      <c r="V291" s="273"/>
      <c r="W291" s="273"/>
      <c r="X291" s="273"/>
      <c r="Y291" s="273"/>
    </row>
    <row r="292" spans="1:25" ht="12.75">
      <c r="A292" s="304">
        <v>936</v>
      </c>
      <c r="B292" s="262" t="s">
        <v>423</v>
      </c>
      <c r="C292" s="260">
        <v>6</v>
      </c>
      <c r="D292" s="305">
        <v>18134.48256</v>
      </c>
      <c r="E292" s="305">
        <v>18485.519126310188</v>
      </c>
      <c r="F292" s="274">
        <v>18843.576686931305</v>
      </c>
      <c r="G292" s="305">
        <v>9754.679059011985</v>
      </c>
      <c r="H292" s="305">
        <v>9593.75511698277</v>
      </c>
      <c r="I292" s="305">
        <v>2413.69396</v>
      </c>
      <c r="J292" s="305">
        <v>2367.9087949999994</v>
      </c>
      <c r="K292" s="305">
        <v>2566.597672</v>
      </c>
      <c r="L292" s="305">
        <v>1981.014708</v>
      </c>
      <c r="M292" s="305">
        <v>2005.933132</v>
      </c>
      <c r="N292" s="305">
        <v>1879.9746100000002</v>
      </c>
      <c r="O292" s="305">
        <v>1890.5328028224</v>
      </c>
      <c r="P292" s="305">
        <v>1890.5328028224</v>
      </c>
      <c r="Q292" s="305">
        <v>1890.5328028224</v>
      </c>
      <c r="R292" s="305">
        <v>1890.5328028224</v>
      </c>
      <c r="S292" s="305"/>
      <c r="T292" s="305"/>
      <c r="U292" s="305"/>
      <c r="V292" s="273"/>
      <c r="W292" s="273"/>
      <c r="X292" s="273"/>
      <c r="Y292" s="273"/>
    </row>
    <row r="293" spans="1:25" ht="12.75">
      <c r="A293" s="304">
        <v>946</v>
      </c>
      <c r="B293" s="262" t="s">
        <v>137</v>
      </c>
      <c r="C293" s="260">
        <v>15</v>
      </c>
      <c r="D293" s="305">
        <v>18913.14878</v>
      </c>
      <c r="E293" s="305">
        <v>18843.212696346032</v>
      </c>
      <c r="F293" s="274">
        <v>20078.898726617746</v>
      </c>
      <c r="G293" s="305">
        <v>10620.104787538385</v>
      </c>
      <c r="H293" s="305">
        <v>10405.846725404304</v>
      </c>
      <c r="I293" s="305">
        <v>2283.88297</v>
      </c>
      <c r="J293" s="305">
        <v>1889.6977460000003</v>
      </c>
      <c r="K293" s="305">
        <v>2045.068502</v>
      </c>
      <c r="L293" s="305">
        <v>1578.4752030000002</v>
      </c>
      <c r="M293" s="305">
        <v>1598.330237</v>
      </c>
      <c r="N293" s="305">
        <v>1792.16236</v>
      </c>
      <c r="O293" s="305">
        <v>1755.2013118704003</v>
      </c>
      <c r="P293" s="305">
        <v>1755.2013118704003</v>
      </c>
      <c r="Q293" s="305">
        <v>1755.2013118704003</v>
      </c>
      <c r="R293" s="305">
        <v>1755.2013118704003</v>
      </c>
      <c r="S293" s="305"/>
      <c r="T293" s="305"/>
      <c r="U293" s="305"/>
      <c r="V293" s="273"/>
      <c r="W293" s="273"/>
      <c r="X293" s="273"/>
      <c r="Y293" s="273"/>
    </row>
    <row r="294" spans="1:25" ht="12.75">
      <c r="A294" s="304">
        <v>976</v>
      </c>
      <c r="B294" s="262" t="s">
        <v>424</v>
      </c>
      <c r="C294" s="260">
        <v>19</v>
      </c>
      <c r="D294" s="305">
        <v>10451.582400000001</v>
      </c>
      <c r="E294" s="305">
        <v>11106.443588974907</v>
      </c>
      <c r="F294" s="274">
        <v>11340.052457833333</v>
      </c>
      <c r="G294" s="305">
        <v>5665.319347108614</v>
      </c>
      <c r="H294" s="305">
        <v>5525.637385484675</v>
      </c>
      <c r="I294" s="305">
        <v>762.09906</v>
      </c>
      <c r="J294" s="305">
        <v>710.025259</v>
      </c>
      <c r="K294" s="305">
        <v>767.42931</v>
      </c>
      <c r="L294" s="305">
        <v>592.3362149999999</v>
      </c>
      <c r="M294" s="305">
        <v>599.7869850000001</v>
      </c>
      <c r="N294" s="305">
        <v>1068.2768899999999</v>
      </c>
      <c r="O294" s="305">
        <v>1229.0985389040002</v>
      </c>
      <c r="P294" s="305">
        <v>1229.0985389040002</v>
      </c>
      <c r="Q294" s="305">
        <v>1229.0985389040002</v>
      </c>
      <c r="R294" s="305">
        <v>1229.0985389040002</v>
      </c>
      <c r="S294" s="305"/>
      <c r="T294" s="305"/>
      <c r="U294" s="305"/>
      <c r="V294" s="273"/>
      <c r="W294" s="273"/>
      <c r="X294" s="273"/>
      <c r="Y294" s="273"/>
    </row>
    <row r="295" spans="1:25" ht="12.75">
      <c r="A295" s="304">
        <v>977</v>
      </c>
      <c r="B295" s="262" t="s">
        <v>425</v>
      </c>
      <c r="C295" s="260">
        <v>17</v>
      </c>
      <c r="D295" s="305">
        <v>45779.7978</v>
      </c>
      <c r="E295" s="305">
        <v>47095.40491780132</v>
      </c>
      <c r="F295" s="274">
        <v>49823.56973427113</v>
      </c>
      <c r="G295" s="305">
        <v>27117.380860311492</v>
      </c>
      <c r="H295" s="305">
        <v>26523.486374127326</v>
      </c>
      <c r="I295" s="305">
        <v>3933.97892</v>
      </c>
      <c r="J295" s="305">
        <v>3343.121776</v>
      </c>
      <c r="K295" s="305">
        <v>3620.272222</v>
      </c>
      <c r="L295" s="305">
        <v>2794.2877829999998</v>
      </c>
      <c r="M295" s="305">
        <v>2829.436057</v>
      </c>
      <c r="N295" s="305">
        <v>4866.17979</v>
      </c>
      <c r="O295" s="305">
        <v>4958.074800551999</v>
      </c>
      <c r="P295" s="305">
        <v>4958.074800551999</v>
      </c>
      <c r="Q295" s="305">
        <v>4958.074800551999</v>
      </c>
      <c r="R295" s="305">
        <v>4958.074800551999</v>
      </c>
      <c r="S295" s="305"/>
      <c r="T295" s="305"/>
      <c r="U295" s="305"/>
      <c r="V295" s="273"/>
      <c r="W295" s="273"/>
      <c r="X295" s="273"/>
      <c r="Y295" s="273"/>
    </row>
    <row r="296" spans="1:25" ht="12.75">
      <c r="A296" s="304">
        <v>980</v>
      </c>
      <c r="B296" s="262" t="s">
        <v>426</v>
      </c>
      <c r="C296" s="260">
        <v>6</v>
      </c>
      <c r="D296" s="305">
        <v>112635.23678</v>
      </c>
      <c r="E296" s="305">
        <v>115365.582208219</v>
      </c>
      <c r="F296" s="274">
        <v>121355.3812812828</v>
      </c>
      <c r="G296" s="305">
        <v>62028.72225565327</v>
      </c>
      <c r="H296" s="305">
        <v>60076.29011883359</v>
      </c>
      <c r="I296" s="305">
        <v>6037.45513</v>
      </c>
      <c r="J296" s="305">
        <v>5907.650142</v>
      </c>
      <c r="K296" s="305">
        <v>6403.794898</v>
      </c>
      <c r="L296" s="305">
        <v>4942.734896999999</v>
      </c>
      <c r="M296" s="305">
        <v>5004.907663</v>
      </c>
      <c r="N296" s="305">
        <v>7521.21588</v>
      </c>
      <c r="O296" s="305">
        <v>7501.6174984008</v>
      </c>
      <c r="P296" s="305">
        <v>7501.6174984008</v>
      </c>
      <c r="Q296" s="305">
        <v>7501.6174984008</v>
      </c>
      <c r="R296" s="305">
        <v>7501.6174984008</v>
      </c>
      <c r="S296" s="305"/>
      <c r="T296" s="305"/>
      <c r="U296" s="305"/>
      <c r="V296" s="273"/>
      <c r="W296" s="273"/>
      <c r="X296" s="273"/>
      <c r="Y296" s="273"/>
    </row>
    <row r="297" spans="1:25" ht="12.75">
      <c r="A297" s="304">
        <v>981</v>
      </c>
      <c r="B297" s="310" t="s">
        <v>427</v>
      </c>
      <c r="C297" s="260">
        <v>5</v>
      </c>
      <c r="D297" s="305">
        <v>7096.13627</v>
      </c>
      <c r="E297" s="305">
        <v>7209.194346616429</v>
      </c>
      <c r="F297" s="274">
        <v>7367.071198269156</v>
      </c>
      <c r="G297" s="305">
        <v>4036.719687784247</v>
      </c>
      <c r="H297" s="305">
        <v>3946.98674241533</v>
      </c>
      <c r="I297" s="305">
        <v>362.05789</v>
      </c>
      <c r="J297" s="305">
        <v>286.896483</v>
      </c>
      <c r="K297" s="305">
        <v>310.959678</v>
      </c>
      <c r="L297" s="305">
        <v>240.01256699999996</v>
      </c>
      <c r="M297" s="305">
        <v>243.03159299999996</v>
      </c>
      <c r="N297" s="305">
        <v>510.0303</v>
      </c>
      <c r="O297" s="305">
        <v>523.1019925439998</v>
      </c>
      <c r="P297" s="305">
        <v>523.1019925439998</v>
      </c>
      <c r="Q297" s="305">
        <v>523.1019925439998</v>
      </c>
      <c r="R297" s="305">
        <v>523.1019925439998</v>
      </c>
      <c r="S297" s="305"/>
      <c r="T297" s="305"/>
      <c r="U297" s="305"/>
      <c r="V297" s="273"/>
      <c r="W297" s="273"/>
      <c r="X297" s="273"/>
      <c r="Y297" s="273"/>
    </row>
    <row r="298" spans="1:25" ht="12.75">
      <c r="A298" s="304">
        <v>989</v>
      </c>
      <c r="B298" s="262" t="s">
        <v>428</v>
      </c>
      <c r="C298" s="260">
        <v>14</v>
      </c>
      <c r="D298" s="305">
        <v>17738.10068</v>
      </c>
      <c r="E298" s="305">
        <v>17652.692332487986</v>
      </c>
      <c r="F298" s="274">
        <v>18125.42761609335</v>
      </c>
      <c r="G298" s="305">
        <v>9915.1582690198</v>
      </c>
      <c r="H298" s="305">
        <v>9826.053017386372</v>
      </c>
      <c r="I298" s="305">
        <v>1472.85115</v>
      </c>
      <c r="J298" s="305">
        <v>1559.5890689999999</v>
      </c>
      <c r="K298" s="305">
        <v>1690.464016</v>
      </c>
      <c r="L298" s="305">
        <v>1304.775624</v>
      </c>
      <c r="M298" s="305">
        <v>1321.1878959999997</v>
      </c>
      <c r="N298" s="305">
        <v>2028.0361699999999</v>
      </c>
      <c r="O298" s="305">
        <v>2068.852144728</v>
      </c>
      <c r="P298" s="305">
        <v>2068.852144728</v>
      </c>
      <c r="Q298" s="305">
        <v>2068.852144728</v>
      </c>
      <c r="R298" s="305">
        <v>2068.852144728</v>
      </c>
      <c r="S298" s="305"/>
      <c r="T298" s="305"/>
      <c r="U298" s="305"/>
      <c r="V298" s="273"/>
      <c r="W298" s="273"/>
      <c r="X298" s="273"/>
      <c r="Y298" s="273"/>
    </row>
    <row r="299" spans="1:25" ht="12.75">
      <c r="A299" s="261">
        <v>992</v>
      </c>
      <c r="B299" s="310" t="s">
        <v>429</v>
      </c>
      <c r="C299" s="260">
        <v>13</v>
      </c>
      <c r="D299" s="305">
        <v>62983.82449</v>
      </c>
      <c r="E299" s="305">
        <v>64807.28480193967</v>
      </c>
      <c r="F299" s="274">
        <v>65952.30566656076</v>
      </c>
      <c r="G299" s="305">
        <v>34893.532380234574</v>
      </c>
      <c r="H299" s="305">
        <v>34419.82827204429</v>
      </c>
      <c r="I299" s="305">
        <v>8989.79206</v>
      </c>
      <c r="J299" s="305">
        <v>9459.781047</v>
      </c>
      <c r="K299" s="305">
        <v>10286.032788</v>
      </c>
      <c r="L299" s="305">
        <v>7939.219482</v>
      </c>
      <c r="M299" s="305">
        <v>8039.083878</v>
      </c>
      <c r="N299" s="305">
        <v>4722.43065</v>
      </c>
      <c r="O299" s="305">
        <v>4833.787934699999</v>
      </c>
      <c r="P299" s="305">
        <v>4833.787934699999</v>
      </c>
      <c r="Q299" s="305">
        <v>4833.787934699999</v>
      </c>
      <c r="R299" s="305">
        <v>4833.787934699999</v>
      </c>
      <c r="S299" s="305"/>
      <c r="T299" s="305"/>
      <c r="U299" s="305"/>
      <c r="V299" s="273"/>
      <c r="W299" s="273"/>
      <c r="X299" s="273"/>
      <c r="Y299" s="273"/>
    </row>
    <row r="300" spans="1:25" ht="12.75">
      <c r="A300" s="261"/>
      <c r="B300" s="262" t="s">
        <v>611</v>
      </c>
      <c r="C300" s="273"/>
      <c r="D300" s="274">
        <f>SUM(D5:D299)</f>
        <v>18806462.939319998</v>
      </c>
      <c r="E300" s="274">
        <f aca="true" t="shared" si="0" ref="E300:O300">SUM(E5:E299)</f>
        <v>19142849.980151705</v>
      </c>
      <c r="F300" s="274">
        <f t="shared" si="0"/>
        <v>19999819.090904366</v>
      </c>
      <c r="G300" s="274">
        <f t="shared" si="0"/>
        <v>9865134.778012617</v>
      </c>
      <c r="H300" s="274">
        <f t="shared" si="0"/>
        <v>9527777.486148765</v>
      </c>
      <c r="I300" s="274">
        <f t="shared" si="0"/>
        <v>1856939.4837299979</v>
      </c>
      <c r="J300" s="274">
        <f t="shared" si="0"/>
        <v>1899925.3447260002</v>
      </c>
      <c r="K300" s="274">
        <f t="shared" si="0"/>
        <v>2060000.0000000002</v>
      </c>
      <c r="L300" s="274">
        <f t="shared" si="0"/>
        <v>1590000.000000001</v>
      </c>
      <c r="M300" s="274">
        <f t="shared" si="0"/>
        <v>1610000.0000000002</v>
      </c>
      <c r="N300" s="274">
        <f t="shared" si="0"/>
        <v>1770811.8996300003</v>
      </c>
      <c r="O300" s="274">
        <f t="shared" si="0"/>
        <v>1820184.7181128897</v>
      </c>
      <c r="P300" s="274">
        <f>SUM(P5:P299)</f>
        <v>1820184.7181128897</v>
      </c>
      <c r="Q300" s="274">
        <f>SUM(Q5:Q299)</f>
        <v>1820184.7181128897</v>
      </c>
      <c r="R300" s="274">
        <f>SUM(R5:R299)</f>
        <v>1820184.7181128897</v>
      </c>
      <c r="S300" s="274"/>
      <c r="T300" s="274"/>
      <c r="U300" s="274"/>
      <c r="V300" s="273"/>
      <c r="W300" s="273"/>
      <c r="X300" s="273"/>
      <c r="Y300" s="273"/>
    </row>
  </sheetData>
  <sheetProtection password="C9BA" sheet="1" objects="1" scenarios="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Pukin perhe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Jakoavain - uusi työkalu maakuntauudistuksen vaikutuksista</dc:title>
  <dc:subject/>
  <dc:creator>Mehtonen Mikko;PUKKI HEIKKI</dc:creator>
  <cp:keywords/>
  <dc:description/>
  <cp:lastModifiedBy>Mehtonen Mikko</cp:lastModifiedBy>
  <cp:lastPrinted>2017-02-24T12:08:37Z</cp:lastPrinted>
  <dcterms:created xsi:type="dcterms:W3CDTF">1999-06-12T09:52:58Z</dcterms:created>
  <dcterms:modified xsi:type="dcterms:W3CDTF">2020-10-22T11:14:54Z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0x010100FB67A0028CB54352919050D117ADD96100710A1A8FEBEDEE45AE907C3B8C4F8D4F</vt:lpwstr>
  </property>
  <property fmtid="{D5CDD505-2E9C-101B-9397-08002B2CF9AE}" pid="3" name="_dlc_DocIdItemGuid">
    <vt:lpwstr>34d8ddd3-e612-4d0f-8197-f8875860191e</vt:lpwstr>
  </property>
  <property fmtid="{D5CDD505-2E9C-101B-9397-08002B2CF9AE}" pid="4" name="KN2Keywords">
    <vt:lpwstr/>
  </property>
  <property fmtid="{D5CDD505-2E9C-101B-9397-08002B2CF9AE}" pid="5" name="Theme">
    <vt:lpwstr/>
  </property>
  <property fmtid="{D5CDD505-2E9C-101B-9397-08002B2CF9AE}" pid="6" name="KN2Language">
    <vt:lpwstr/>
  </property>
  <property fmtid="{D5CDD505-2E9C-101B-9397-08002B2CF9AE}" pid="7" name="Municipality">
    <vt:lpwstr/>
  </property>
  <property fmtid="{D5CDD505-2E9C-101B-9397-08002B2CF9AE}" pid="8" name="ExpertService">
    <vt:lpwstr>7;#Kuntatalous|f60f4e25-53fd-466c-b326-d92406949689</vt:lpwstr>
  </property>
  <property fmtid="{D5CDD505-2E9C-101B-9397-08002B2CF9AE}" pid="9" name="MunicipalityTaxHTField0">
    <vt:lpwstr/>
  </property>
  <property fmtid="{D5CDD505-2E9C-101B-9397-08002B2CF9AE}" pid="10" name="ExpertServiceTaxHTField0">
    <vt:lpwstr>Kuntatalous|f60f4e25-53fd-466c-b326-d92406949689</vt:lpwstr>
  </property>
  <property fmtid="{D5CDD505-2E9C-101B-9397-08002B2CF9AE}" pid="11" name="KN2KeywordsTaxHTField0">
    <vt:lpwstr/>
  </property>
  <property fmtid="{D5CDD505-2E9C-101B-9397-08002B2CF9AE}" pid="12" name="KN2LanguageTaxHTField0">
    <vt:lpwstr/>
  </property>
  <property fmtid="{D5CDD505-2E9C-101B-9397-08002B2CF9AE}" pid="13" name="KN2ArticleDateTime">
    <vt:lpwstr>2017-02-24T15:06:00Z</vt:lpwstr>
  </property>
  <property fmtid="{D5CDD505-2E9C-101B-9397-08002B2CF9AE}" pid="14" name="KN2Description">
    <vt:lpwstr>Excel-tiedosto *-xlsm-markoversio</vt:lpwstr>
  </property>
  <property fmtid="{D5CDD505-2E9C-101B-9397-08002B2CF9AE}" pid="15" name="ThemeTaxHTField0">
    <vt:lpwstr/>
  </property>
  <property fmtid="{D5CDD505-2E9C-101B-9397-08002B2CF9AE}" pid="16" name="TaxCatchAll">
    <vt:lpwstr>7;#</vt:lpwstr>
  </property>
  <property fmtid="{D5CDD505-2E9C-101B-9397-08002B2CF9AE}" pid="17" name="_dlc_DocId">
    <vt:lpwstr>G94TWSLYV3F3-13212-20</vt:lpwstr>
  </property>
  <property fmtid="{D5CDD505-2E9C-101B-9397-08002B2CF9AE}" pid="18" name="_dlc_DocIdUrl">
    <vt:lpwstr>http://www.kunnat.net/fi/asiantuntijapalvelut/kuntatalous/budjetointi-taloussuunnittelu/kuntatalouden-2019-jakoavain/_layouts/DocIdRedir.aspx?ID=G94TWSLYV3F3-13212-20, G94TWSLYV3F3-13212-20</vt:lpwstr>
  </property>
  <property fmtid="{D5CDD505-2E9C-101B-9397-08002B2CF9AE}" pid="19" name="Workbook id">
    <vt:lpwstr>104b7bbb-6345-48d0-b88d-bc22bddb4390</vt:lpwstr>
  </property>
  <property fmtid="{D5CDD505-2E9C-101B-9397-08002B2CF9AE}" pid="20" name="Workbook type">
    <vt:lpwstr>Custom</vt:lpwstr>
  </property>
  <property fmtid="{D5CDD505-2E9C-101B-9397-08002B2CF9AE}" pid="21" name="Workbook version">
    <vt:lpwstr>Custom</vt:lpwstr>
  </property>
</Properties>
</file>