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ämäTyökirja"/>
  <bookViews>
    <workbookView xWindow="32767" yWindow="32767" windowWidth="23040" windowHeight="11628" tabRatio="698" activeTab="1"/>
  </bookViews>
  <sheets>
    <sheet name="Kuviot" sheetId="1" r:id="rId1"/>
    <sheet name="Tuloslaskelma" sheetId="2" r:id="rId2"/>
    <sheet name="Muutosrajoitin" sheetId="3" r:id="rId3"/>
    <sheet name="Rahoituslaskelma" sheetId="4" state="hidden" r:id="rId4"/>
    <sheet name="Tase" sheetId="5" state="hidden" r:id="rId5"/>
    <sheet name="VMn tiedot (12_5_2021)" sheetId="6" r:id="rId6"/>
    <sheet name="Painelaskelmat" sheetId="7" state="hidden" r:id="rId7"/>
    <sheet name="Väestötiedot" sheetId="8" state="hidden" r:id="rId8"/>
    <sheet name="Tilitykset" sheetId="9" state="hidden" r:id="rId9"/>
    <sheet name="Tausta1" sheetId="10" state="hidden" r:id="rId10"/>
  </sheets>
  <definedNames>
    <definedName name="_xlfn._FV" hidden="1">#NAME?</definedName>
    <definedName name="alue1">#REF!</definedName>
    <definedName name="alue2">#REF!</definedName>
    <definedName name="alue3">#REF!</definedName>
    <definedName name="alue4">#REF!</definedName>
    <definedName name="alue5">'VMn tiedot (12_5_2021)'!$B$18:$BL$330</definedName>
    <definedName name="kunnat">'VMn tiedot (12_5_2021)'!$B$18:$B$312</definedName>
    <definedName name="linkki">'Tuloslaskelma'!$A$8</definedName>
    <definedName name="Lähtötaso">#REF!</definedName>
    <definedName name="painelaskelmat">'Tuloslaskelma'!$A$107:$A$108</definedName>
    <definedName name="paineprosentit">'Painelaskelmat'!$A$4:$L$299</definedName>
    <definedName name="po1">#REF!</definedName>
    <definedName name="TPA17">#REF!</definedName>
    <definedName name="_xlnm.Print_Area" localSheetId="1">'Tuloslaskelma'!$A$1:$B$74</definedName>
    <definedName name="vero1">#REF!</definedName>
    <definedName name="vero2">'Tuloslaskelma'!$A$110:$A$111</definedName>
    <definedName name="vero3">#REF!</definedName>
    <definedName name="vero4">'Tilitykset'!$B$4:$Z$350</definedName>
    <definedName name="väestö">'Väestötiedot'!$A$5:$B$300</definedName>
    <definedName name="väestö2">'VMn tiedot (12_5_2021)'!$B$18:$D$312</definedName>
  </definedNames>
  <calcPr fullCalcOnLoad="1"/>
</workbook>
</file>

<file path=xl/sharedStrings.xml><?xml version="1.0" encoding="utf-8"?>
<sst xmlns="http://schemas.openxmlformats.org/spreadsheetml/2006/main" count="2095" uniqueCount="692">
  <si>
    <t>TOIMINTAKATE</t>
  </si>
  <si>
    <t>Verotulot</t>
  </si>
  <si>
    <t>Valtionosuudet</t>
  </si>
  <si>
    <t>VUOSIKATE</t>
  </si>
  <si>
    <t>Satunnaiset tuotot</t>
  </si>
  <si>
    <t>Satunnaiset kulut</t>
  </si>
  <si>
    <t>TILIKAUDEN TULOS</t>
  </si>
  <si>
    <t xml:space="preserve">  Vuosikate</t>
  </si>
  <si>
    <t xml:space="preserve">  Satunnaiset erät, netto</t>
  </si>
  <si>
    <t>Valmistus omaan käyttöön</t>
  </si>
  <si>
    <t>Poistot ja arvonalentumiset</t>
  </si>
  <si>
    <t>Antolainauksen muutokset</t>
  </si>
  <si>
    <t>Lainakannan muutokset</t>
  </si>
  <si>
    <t>Oman pääoman muutokset</t>
  </si>
  <si>
    <t>Muut maksuvalmiuden muutokset</t>
  </si>
  <si>
    <t xml:space="preserve">  Tulorahoituksen korjauserät</t>
  </si>
  <si>
    <t xml:space="preserve">  Investointimenot</t>
  </si>
  <si>
    <t>Rahavarojen muutos</t>
  </si>
  <si>
    <t>Toiminnan rahavirta</t>
  </si>
  <si>
    <t>Investointien rahavirta</t>
  </si>
  <si>
    <t xml:space="preserve">  Rahoitusosuudet investointimenoihin</t>
  </si>
  <si>
    <t xml:space="preserve">  Pysyvien vastaavien hyödykkeiden luovutustulot</t>
  </si>
  <si>
    <t>Rahoituksen rahavirta</t>
  </si>
  <si>
    <t>yhteensä</t>
  </si>
  <si>
    <t>Valmistevaraston muutos</t>
  </si>
  <si>
    <t>Poistoeron lisäys (-) tai vähennys (+)</t>
  </si>
  <si>
    <t>Varausten lisäys (-) tai vähennys (+)</t>
  </si>
  <si>
    <t>Toiminnan ja investointien rahavirta</t>
  </si>
  <si>
    <t>VASTAAVAA:</t>
  </si>
  <si>
    <t>VASTATTAVAA:</t>
  </si>
  <si>
    <t>PYSYVÄT VASTAAVAT</t>
  </si>
  <si>
    <t>OMA PÄÄOMA</t>
  </si>
  <si>
    <t xml:space="preserve">  Aineettomat hyödykkeet</t>
  </si>
  <si>
    <t xml:space="preserve">  Peruspääoma</t>
  </si>
  <si>
    <t xml:space="preserve">    Aineettomat oikeudet</t>
  </si>
  <si>
    <t xml:space="preserve">  Arvonkorotusrahasto</t>
  </si>
  <si>
    <t xml:space="preserve">    Muut pitkävaikuitteiset menot</t>
  </si>
  <si>
    <t xml:space="preserve">  Muut omat rahastot</t>
  </si>
  <si>
    <t xml:space="preserve">    Ennakkomaksut</t>
  </si>
  <si>
    <t xml:space="preserve">  Edell. tilikausien yli-/alijäämä</t>
  </si>
  <si>
    <t xml:space="preserve">  Tilikauden yli-/alijäämä</t>
  </si>
  <si>
    <t xml:space="preserve">  Aineelliset hyödykkeet</t>
  </si>
  <si>
    <t xml:space="preserve">    Maa- ja vesialueet</t>
  </si>
  <si>
    <t xml:space="preserve">    Rakennukset</t>
  </si>
  <si>
    <t xml:space="preserve">  Poistoero</t>
  </si>
  <si>
    <t xml:space="preserve">    Kiinteät rakenteet ja laitteet</t>
  </si>
  <si>
    <t xml:space="preserve">  Vapaaehtoiset varaukset</t>
  </si>
  <si>
    <t xml:space="preserve">    Koneet ja kalusto</t>
  </si>
  <si>
    <t xml:space="preserve">    Muut aineelliset hyödykkeet</t>
  </si>
  <si>
    <t>PAKOLLISET VARAUKSET</t>
  </si>
  <si>
    <t xml:space="preserve">    Ennakkomaksut ja keskener. hank.</t>
  </si>
  <si>
    <t xml:space="preserve">  Eläkevaraukset</t>
  </si>
  <si>
    <t xml:space="preserve">  Muut pakolliset varaukset</t>
  </si>
  <si>
    <t xml:space="preserve"> Sijoitukset</t>
  </si>
  <si>
    <t xml:space="preserve">    Osakkeet ja osuudet</t>
  </si>
  <si>
    <t>TOIMEKSIANTOJEN PÄÄOMAT</t>
  </si>
  <si>
    <t xml:space="preserve">    Joukkovelkakirjalainasaamiset</t>
  </si>
  <si>
    <t xml:space="preserve">  Valtion toimeksiannot</t>
  </si>
  <si>
    <t xml:space="preserve">    Muut lainasaamiset</t>
  </si>
  <si>
    <t xml:space="preserve">  Lahjoitusrahastojen pääomat</t>
  </si>
  <si>
    <t xml:space="preserve">    Muut saamiset</t>
  </si>
  <si>
    <t xml:space="preserve">  Muut toimeksiantojen pääomat</t>
  </si>
  <si>
    <t>VIERAS PÄÄOMA</t>
  </si>
  <si>
    <t>TOIMEKSIANTOJEN VARAT</t>
  </si>
  <si>
    <t xml:space="preserve">    Joukkovelkakirjalainat</t>
  </si>
  <si>
    <t xml:space="preserve">  Lahjoitusrahastojen erityiskatteet</t>
  </si>
  <si>
    <t xml:space="preserve">    Lainat rah.- ja vak.laitoksilta</t>
  </si>
  <si>
    <t xml:space="preserve">  Muut toimeksiantojen varat</t>
  </si>
  <si>
    <t xml:space="preserve">    Lainat julkisyhteisöiltä</t>
  </si>
  <si>
    <t xml:space="preserve">    Lainat muilta luotonantajilta</t>
  </si>
  <si>
    <t>VAIHTUVAT VASTAAVAT</t>
  </si>
  <si>
    <t xml:space="preserve">    Saadut ennakot</t>
  </si>
  <si>
    <t xml:space="preserve">  Vaihto-omaisuus</t>
  </si>
  <si>
    <t xml:space="preserve">    Ostovelat</t>
  </si>
  <si>
    <t xml:space="preserve">    Aineet ja tarvikkeet</t>
  </si>
  <si>
    <t xml:space="preserve">    Liittymismaksut ja muut velat</t>
  </si>
  <si>
    <t xml:space="preserve">    Keskeneräiset tuotteet</t>
  </si>
  <si>
    <t xml:space="preserve">    Siirtovelat</t>
  </si>
  <si>
    <t xml:space="preserve">    Valmiit tuotteet/tavarat</t>
  </si>
  <si>
    <t xml:space="preserve">    Muu vaihto-omaisuus</t>
  </si>
  <si>
    <t xml:space="preserve">  Lyhytaikainen</t>
  </si>
  <si>
    <t xml:space="preserve">  Saamiset</t>
  </si>
  <si>
    <t xml:space="preserve">    Pitkäaikaiset saamiset</t>
  </si>
  <si>
    <t xml:space="preserve">      Myyntisaamiset</t>
  </si>
  <si>
    <t xml:space="preserve">      Lainasaamiset</t>
  </si>
  <si>
    <t xml:space="preserve">      Muut saamiset</t>
  </si>
  <si>
    <t xml:space="preserve">      Siirtosaamiset</t>
  </si>
  <si>
    <t xml:space="preserve">    Lyhytaikaiset saamiset</t>
  </si>
  <si>
    <t>VASTATTAVAA YHTEENSÄ</t>
  </si>
  <si>
    <t xml:space="preserve">  Rahoitusarvopaperit</t>
  </si>
  <si>
    <t xml:space="preserve">    Sijoitukset rahamarkkinainstrum.</t>
  </si>
  <si>
    <t xml:space="preserve">    Muut arvopaperit</t>
  </si>
  <si>
    <t>Omavaraisuus-%</t>
  </si>
  <si>
    <t xml:space="preserve">Rahavarat: </t>
  </si>
  <si>
    <t xml:space="preserve">  Rahat ja pankkisaamiset</t>
  </si>
  <si>
    <t xml:space="preserve">                  euroa/asukas</t>
  </si>
  <si>
    <t>VASTAAVAA YHTEENSÄ</t>
  </si>
  <si>
    <t xml:space="preserve">Lainakanta: </t>
  </si>
  <si>
    <t xml:space="preserve">        Kuntayhtymäosuudet</t>
  </si>
  <si>
    <t xml:space="preserve">        Muut osakkeet ja osuudet</t>
  </si>
  <si>
    <t>POISTOERO JA VAPAAEHTOISET VARAUKSET</t>
  </si>
  <si>
    <t xml:space="preserve">  Pitkäaikainen vieras pääoma</t>
  </si>
  <si>
    <t>Lainanhoitokate</t>
  </si>
  <si>
    <t>Uusi</t>
  </si>
  <si>
    <t>kunta</t>
  </si>
  <si>
    <t>Muutoksen aiheuttaja</t>
  </si>
  <si>
    <t>= 100 * (Oma pääoma + Poistoero ja vapaaehtoiset varaukset) / (Koko pääoma - Saadut ennakot)</t>
  </si>
  <si>
    <t>= 100 * (Vieras pääoma - Saadut ennakot) / Käyttötulot</t>
  </si>
  <si>
    <t>Testamentin määräykset huomioiden varmistettava, miten käsitellään, jos liittyy siirtyvään toimintaan</t>
  </si>
  <si>
    <t>Rahastojen lisäys (-) tai vähennys (+)</t>
  </si>
  <si>
    <t>Siirtyvän toiminnan irtaimeen omaisuuteen kohdistuva poistoero purettava</t>
  </si>
  <si>
    <t>Siirtyviin toimintoihin liittyviä investointimenoja poistuu</t>
  </si>
  <si>
    <t xml:space="preserve">Poistuvien toimintojen investointeja varten ei tarvita uusia lainoja. </t>
  </si>
  <si>
    <t>Siirtyvien toimintojen (terveydenhuolto) vaihto-omaisuuden muutos poistuu</t>
  </si>
  <si>
    <t xml:space="preserve">Perusterveydenhuollon, erikoissairaanhoidon, sosiaalitoimen ja pelastustoimen käytössä oleva irtain omaisuus (sairaalatarvikevarastot) siirtyy  </t>
  </si>
  <si>
    <t>Siirtyvän toiminnan saamiset eivät lisäänny</t>
  </si>
  <si>
    <t>(Siirtyvät osakkeet ovat pysyvissä vastaavissa)</t>
  </si>
  <si>
    <t>Siirtyvään toimintaan liittyvä vapaaehtoinen investointivaraus purettava</t>
  </si>
  <si>
    <t>Jäsenkunnan osuus kuntayhtymän alijäämästä on todennäköisesti jo huomioitu aiemmin eli pakollisissa varauksissa ei sitä pitäisi enää olla</t>
  </si>
  <si>
    <t>Siirtyviin toimintoihin liittyvät ostovelat eivät lisäänny</t>
  </si>
  <si>
    <t>Siirtyviin toimintoihin liittyvät siirtovelat eivät lisäänny</t>
  </si>
  <si>
    <t>= (Vuosikate + Korkokulut) / (Korkokulut + Lainanlyhennykset)</t>
  </si>
  <si>
    <t>Kunta</t>
  </si>
  <si>
    <t>kno</t>
  </si>
  <si>
    <t>Kunnallis-</t>
  </si>
  <si>
    <t>€/as.</t>
  </si>
  <si>
    <t>tasaus</t>
  </si>
  <si>
    <t>Akaa</t>
  </si>
  <si>
    <t>Jämsä</t>
  </si>
  <si>
    <t>Kemiönsaari</t>
  </si>
  <si>
    <t>Parainen</t>
  </si>
  <si>
    <t>Pedersören kunta</t>
  </si>
  <si>
    <t>Pyhtää</t>
  </si>
  <si>
    <t>Pyhäjärvi</t>
  </si>
  <si>
    <t>Raasepori</t>
  </si>
  <si>
    <t>Sastamala</t>
  </si>
  <si>
    <t>Siikalatva</t>
  </si>
  <si>
    <t>Vöyri</t>
  </si>
  <si>
    <t>Maa-</t>
  </si>
  <si>
    <t>Toimintatuotot yhteensä</t>
  </si>
  <si>
    <t>Valmistevarastojen muutos</t>
  </si>
  <si>
    <t>Toimintakulut yhteensä</t>
  </si>
  <si>
    <t>Toimintakate</t>
  </si>
  <si>
    <t>Osuus yhteisöveron tuotosta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</si>
  <si>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</si>
  <si>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</si>
  <si>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</si>
  <si>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</si>
  <si>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</si>
  <si>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</si>
  <si>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</si>
  <si>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</si>
  <si>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</si>
  <si>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</si>
  <si>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</si>
  <si>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</si>
  <si>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</si>
  <si>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</si>
  <si>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</si>
  <si>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</si>
  <si>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</si>
  <si>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</si>
  <si>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</si>
  <si>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</si>
  <si>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</si>
  <si>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</si>
  <si>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</si>
  <si>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</si>
  <si>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</si>
  <si>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</si>
  <si>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</si>
  <si>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</si>
  <si>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</si>
  <si>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</si>
  <si>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</si>
  <si>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</si>
  <si>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</si>
  <si>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</si>
  <si>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</si>
  <si>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</si>
  <si>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</si>
  <si>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</si>
  <si>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</si>
  <si>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</si>
  <si>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</si>
  <si>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</si>
  <si>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</si>
  <si>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</si>
  <si>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</si>
  <si>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</si>
  <si>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</si>
  <si>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</si>
  <si>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</si>
  <si>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</si>
  <si>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</si>
  <si>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</si>
  <si>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Juankoski</t>
  </si>
  <si>
    <t>Juuka</t>
  </si>
  <si>
    <t>Juupajoki</t>
  </si>
  <si>
    <t>Juva</t>
  </si>
  <si>
    <t>Jyväskylä</t>
  </si>
  <si>
    <t>Jämijärvi</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</si>
  <si>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</si>
  <si>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</si>
  <si>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</si>
  <si>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</si>
  <si>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</si>
  <si>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</si>
  <si>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</si>
  <si>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</si>
  <si>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</si>
  <si>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</si>
  <si>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</si>
  <si>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</si>
  <si>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</si>
  <si>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</si>
  <si>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</si>
  <si>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</si>
  <si>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</si>
  <si>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</si>
  <si>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</si>
  <si>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</si>
  <si>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</si>
  <si>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</si>
  <si>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</si>
  <si>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</si>
  <si>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</si>
  <si>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</si>
  <si>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</si>
  <si>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</si>
  <si>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</si>
  <si>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</si>
  <si>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</si>
  <si>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</si>
  <si>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</si>
  <si>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</si>
  <si>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</si>
  <si>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</si>
  <si>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</si>
  <si>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</si>
  <si>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</si>
  <si>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</si>
  <si>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</si>
  <si>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</si>
  <si>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</si>
  <si>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</si>
  <si>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</si>
  <si>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</si>
  <si>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</si>
  <si>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</si>
  <si>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</si>
  <si>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</si>
  <si>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</si>
  <si>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</si>
  <si>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</si>
  <si>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</si>
  <si>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</si>
  <si>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</si>
  <si>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</si>
  <si>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</si>
  <si>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</si>
  <si>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</si>
  <si>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</si>
  <si>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</si>
  <si>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</si>
  <si>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</si>
  <si>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</si>
  <si>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</si>
  <si>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</si>
  <si>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</si>
  <si>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</si>
  <si>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</si>
  <si>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</si>
  <si>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</si>
  <si>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</si>
  <si>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</si>
  <si>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</si>
  <si>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</si>
  <si>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</si>
  <si>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</si>
  <si>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</si>
  <si>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Luvia</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</si>
  <si>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</si>
  <si>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</si>
  <si>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</si>
  <si>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</si>
  <si>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</si>
  <si>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</si>
  <si>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</si>
  <si>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</si>
  <si>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</si>
  <si>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</si>
  <si>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</si>
  <si>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</si>
  <si>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</si>
  <si>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</si>
  <si>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</si>
  <si>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</si>
  <si>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</si>
  <si>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</si>
  <si>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</si>
  <si>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</si>
  <si>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</si>
  <si>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</si>
  <si>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</si>
  <si>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</si>
  <si>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</si>
  <si>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</si>
  <si>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</si>
  <si>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</si>
  <si>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</si>
  <si>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</si>
  <si>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</si>
  <si>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</si>
  <si>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</si>
  <si>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</si>
  <si>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</si>
  <si>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</si>
  <si>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</si>
  <si>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</si>
  <si>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</si>
  <si>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</si>
  <si>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</si>
  <si>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</si>
  <si>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</si>
  <si>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</si>
  <si>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</si>
  <si>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</si>
  <si>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</si>
  <si>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</si>
  <si>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</si>
  <si>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</si>
  <si>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</si>
  <si>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</si>
  <si>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</si>
  <si>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</si>
  <si>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</si>
  <si>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</si>
  <si>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</si>
  <si>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Pyhäjoki</t>
  </si>
  <si>
    <t>Pyhäntä</t>
  </si>
  <si>
    <t>Pyhäranta</t>
  </si>
  <si>
    <t>Pälkäne</t>
  </si>
  <si>
    <t>Pöytyä</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</si>
  <si>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</si>
  <si>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</si>
  <si>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</si>
  <si>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</si>
  <si>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</si>
  <si>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</si>
  <si>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</si>
  <si>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</si>
  <si>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</si>
  <si>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</si>
  <si>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</si>
  <si>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</si>
  <si>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</si>
  <si>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</si>
  <si>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</si>
  <si>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</si>
  <si>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</si>
  <si>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</si>
  <si>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</si>
  <si>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</si>
  <si>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</si>
  <si>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</si>
  <si>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</si>
  <si>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</si>
  <si>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</si>
  <si>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</si>
  <si>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</si>
  <si>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</si>
  <si>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</si>
  <si>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</si>
  <si>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</si>
  <si>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</si>
  <si>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</si>
  <si>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</si>
  <si>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</si>
  <si>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</si>
  <si>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</si>
  <si>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</si>
  <si>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</si>
  <si>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</si>
  <si>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</si>
  <si>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</si>
  <si>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</si>
  <si>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</si>
  <si>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</si>
  <si>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</si>
  <si>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</si>
  <si>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</si>
  <si>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</si>
  <si>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</si>
  <si>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</si>
  <si>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</si>
  <si>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</si>
  <si>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</si>
  <si>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</si>
  <si>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</si>
  <si>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</si>
  <si>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</si>
  <si>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</si>
  <si>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</si>
  <si>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</si>
  <si>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</si>
  <si>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</si>
  <si>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</si>
  <si>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</si>
  <si>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</si>
  <si>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</si>
  <si>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</si>
  <si>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</si>
  <si>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</si>
  <si>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</si>
  <si>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</si>
  <si>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</si>
  <si>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</si>
  <si>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</si>
  <si>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</si>
  <si>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</si>
  <si>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</si>
  <si>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</si>
  <si>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</si>
  <si>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Ylitornio</t>
  </si>
  <si>
    <t>Ylivieska</t>
  </si>
  <si>
    <t>Ylöjärvi</t>
  </si>
  <si>
    <t>Ypäjä</t>
  </si>
  <si>
    <t>Ähtäri</t>
  </si>
  <si>
    <t>Äänekoski</t>
  </si>
  <si>
    <t>(Luvut 1000 euroina)</t>
  </si>
  <si>
    <t>Siirtyvät</t>
  </si>
  <si>
    <t>siitä: Maksutuotot</t>
  </si>
  <si>
    <t>siitä: Myyntituotot</t>
  </si>
  <si>
    <t>siitä: Tuet ja avustukset</t>
  </si>
  <si>
    <t>siitä: Muut toimintatuotot</t>
  </si>
  <si>
    <t>siitä: Palkat ja palkkiot</t>
  </si>
  <si>
    <t>siitä: Henkilösivukulut</t>
  </si>
  <si>
    <t>siitä: Palvelujen ostot</t>
  </si>
  <si>
    <t>siitä: Aineet, tarvikkeet, tavarat</t>
  </si>
  <si>
    <t>siitä: Avustukset</t>
  </si>
  <si>
    <t>siitä: Muut toimintakulut</t>
  </si>
  <si>
    <t>Yhteisövero</t>
  </si>
  <si>
    <t xml:space="preserve">      siitä: Kunnan tulovero</t>
  </si>
  <si>
    <t xml:space="preserve">      siitä: Osuus yhteisöveron tuotosta</t>
  </si>
  <si>
    <t>Valitse kunta:</t>
  </si>
  <si>
    <t>siirtyvät</t>
  </si>
  <si>
    <t>Lakisääteisten kuntayhtymien jäsenkunnat ja maakunta voivat sopia, että osa kuntayhtymän maaomaisuudesta jää jäsenkunnille. Kuntien maaomaisuuteen mahdollista lisäystä taseen pysyviin vastaaviin, jos esim. kunta joutuu lunastamaan muiden jäsenkuntien osuudet esimerkiksi rajojensa sisäpuolella olevasta maa-alueesta.</t>
  </si>
  <si>
    <t>Perusterveydenhuollon, erikoissairaanhoidon, sosiaalitoimen ja pelastustoimen käytössä oleva irtain omaisuus siirtyy. Maakunnalle ei siirry sellainen kunnan omistama irtaimisto tai osakkeet, jota kunta käyttää työterveyshuoltolain mukaisessa toiminnassa. Kunta ja maakunta voivat sopia irtaimen omaisuuden siirtymisestä myös toisin kuin lakiehdotuksessa todetaan.</t>
  </si>
  <si>
    <t>Vanha</t>
  </si>
  <si>
    <t>siitä: Toimeksiantojen varojen ja pääomien muutos</t>
  </si>
  <si>
    <t>siitä: Vaihto-omaisuuden muutos</t>
  </si>
  <si>
    <t>siitä: Saamisten muutos</t>
  </si>
  <si>
    <t>siitä: Korottomien velkojen muutos</t>
  </si>
  <si>
    <t>siitä: Pitkäaikaisten lainojen lisäys</t>
  </si>
  <si>
    <t>siitä: Pitkäaikaisten lainojen vähennys</t>
  </si>
  <si>
    <t>siitä: Lyhytaikaisten lainojen muutos</t>
  </si>
  <si>
    <t>siitä: Antolainasaamisten lisäykset</t>
  </si>
  <si>
    <t>siitä: Antolainasaamisten vähennykset</t>
  </si>
  <si>
    <t>Sote-tehtävien toteutattamiseksi testamentatut pääomat?</t>
  </si>
  <si>
    <t>Lainanhoitokate kertoo kunnan/konsernin tulorahoituksen riittävyyden vieraan pääoman korkojen ja lyhennysten maksuun.</t>
  </si>
  <si>
    <t>kun tunnusluvun arvo on yli 2, niin lainanhoitokyky on hyvä</t>
  </si>
  <si>
    <t>kun tunnusluku on 1 – 2 lainahoitokyky on tyydyttävä</t>
  </si>
  <si>
    <t>kun tunnusluvun arvo on 1 tai suurempi, niin tulorahoitus riittää lainojen hoitoon</t>
  </si>
  <si>
    <t>kun tunnusluvun arvo jää alle yhden lainahoitokyky on heikko, joudutaan vieraan pääoman hoitoon ottamaan lisälainaa, realisoimaan kunnan/konserni-yhteisöjen omaisuutta tai vähentämään rahavaroja.</t>
  </si>
  <si>
    <t>Siirtyviin toimintoihin liittyviä rahoitusosuuksia poistuu</t>
  </si>
  <si>
    <t>(luvut 1000€), vaihda kuntaa tuloslaskelmasta</t>
  </si>
  <si>
    <t>(Luvut 1000€), vaihda kuntaa tuloslaskelmasta</t>
  </si>
  <si>
    <t>= Vieras pääoma - (Saadut ennakot + Ostovelat + Siirtovelat + Muut velat)</t>
  </si>
  <si>
    <t xml:space="preserve">                  1000  euroa</t>
  </si>
  <si>
    <t xml:space="preserve">Perusterveydenhuollon, erikoissairaanhoidon, sosiaalitoimen ja pelastustoimen käytössä olevat immateriaaliset oikeudet ja luvat siirtyvät maakunnalle.  </t>
  </si>
  <si>
    <t xml:space="preserve">Käyttötarkoituksettomaksi jäävät sote-/pelastustoimen kiinteistöt poistettava kolmen vuoden kuluessa. Maakunnalle ei siirry sellaiset toimitilaa koskevat vuokrasopimukset, joissa kunta on sitoutunut lunastamaan kyseisen tilan omistukseensa sopimuskauden päätyttyä, jolleivät maakunta ja kunta toisin sovi. </t>
  </si>
  <si>
    <t>Perusterveydenhuollon, erikoissairaanhoidon, sosiaalitoimen ja pelastustoimen käytössä oleva irtain omaisuus siirtyy maakunnalle.</t>
  </si>
  <si>
    <t>Shp:n, erityishuoltopiirien ja maakuntien liittojen kuntayhtymäosuudet poistuvat (huom. jos ollut muuta kuin lakisääteistä tehtävää, järjesteltävä uudelleen). Kirjataan peruspääomaa vastaan.</t>
  </si>
  <si>
    <t>Pienenee siirtyvän omaisuuden verran (ky-osuudet, irtain omaisuus)</t>
  </si>
  <si>
    <t>Jos siirtyviin osakkeisiin ja osuuksiin on tehty arvonkorotus, se pitää purkaa.</t>
  </si>
  <si>
    <t xml:space="preserve">Kuntien lainat eivät siirry. </t>
  </si>
  <si>
    <t>Investointien tulorahoitus %</t>
  </si>
  <si>
    <t>euroa</t>
  </si>
  <si>
    <t>Kunnan omistamat sellaisen oy:n osakkeet, jotka kunta omistaa sosiaali- ja terveydenhuollon palvelujen järjestämistä tai tuottamista varten,päätoimiala on sote-palvelujen tuottaminen, on kunnan tytäryhteisö, omistusyhteysyritys tai osakkuusyritys tai jossa kuntien yhteenlaskettu omistusosuus muodostaa tässä tarkoitetun omistusosuuden ja jonka kanssa kunnalla on sopimus 2019 sote-palveluista - poistuvat. Poistaminen kirjataan peruspääomaa vastaan. Maakuntaan ei siirry sellainen kunnan omistama irtaimisto tai osakkeet, jotka kunta omistaa työterveyshuoltolaissa säädettyjen velvoitteidensa täyttämiseksi.</t>
  </si>
  <si>
    <t>Testamentin määräykset huomioiden varmistettava, miten käsitellään, jos liittyy siirtyvään toimintaan.</t>
  </si>
  <si>
    <t>Siirtymätasaukset ja pysyvä järjestelmämuutoksen</t>
  </si>
  <si>
    <t>(pysyvä)</t>
  </si>
  <si>
    <t>Toimintakate +</t>
  </si>
  <si>
    <t>Kunnallisvero</t>
  </si>
  <si>
    <t>Kiinteistö-</t>
  </si>
  <si>
    <t>VOS</t>
  </si>
  <si>
    <t>Rahoitus-</t>
  </si>
  <si>
    <t>Verotus-</t>
  </si>
  <si>
    <t>1. vuosi</t>
  </si>
  <si>
    <t>2. vuosi</t>
  </si>
  <si>
    <t>3. vuosi</t>
  </si>
  <si>
    <t>4. vuosi</t>
  </si>
  <si>
    <t>5. vuosi</t>
  </si>
  <si>
    <t>As.luku</t>
  </si>
  <si>
    <t>maksuunpano</t>
  </si>
  <si>
    <t>vero</t>
  </si>
  <si>
    <t>VM</t>
  </si>
  <si>
    <t>muutosraj.</t>
  </si>
  <si>
    <t>kust.</t>
  </si>
  <si>
    <t>siirtymä</t>
  </si>
  <si>
    <t>(ennakko)</t>
  </si>
  <si>
    <t>alenema</t>
  </si>
  <si>
    <t>nro</t>
  </si>
  <si>
    <t>Alue</t>
  </si>
  <si>
    <t>€/as</t>
  </si>
  <si>
    <t xml:space="preserve"> +/- 25 €</t>
  </si>
  <si>
    <t xml:space="preserve"> +/- 50 €</t>
  </si>
  <si>
    <t xml:space="preserve"> +/- 75 €</t>
  </si>
  <si>
    <t xml:space="preserve"> +/-100 €</t>
  </si>
  <si>
    <t>Koski tl</t>
  </si>
  <si>
    <t>Uusi kunta</t>
  </si>
  <si>
    <t>Kiinteistövero</t>
  </si>
  <si>
    <t>Mahdolliset omaisuuden myynnit.</t>
  </si>
  <si>
    <t>toimintakate</t>
  </si>
  <si>
    <t>(vaihda kuntaa tuloslaskelma -välilehdeltä)</t>
  </si>
  <si>
    <t>poistuvat</t>
  </si>
  <si>
    <t>poistot</t>
  </si>
  <si>
    <t>Kuvio1. Toimintakatteen, poistojen ja rahoituksen muutos.</t>
  </si>
  <si>
    <t>Nykyinen tasapaino</t>
  </si>
  <si>
    <t>Uusi tasapaino</t>
  </si>
  <si>
    <t>Toimintatuotot (sis. Sisäiset)</t>
  </si>
  <si>
    <t>Toimintakulut (sis. Sisäiset)</t>
  </si>
  <si>
    <t>Vyörytystuotot</t>
  </si>
  <si>
    <t>Jalasjärvi</t>
  </si>
  <si>
    <t>Hämeenkoski</t>
  </si>
  <si>
    <t>Köyliö</t>
  </si>
  <si>
    <t>Nastola</t>
  </si>
  <si>
    <t>20161104 09:00</t>
  </si>
  <si>
    <t>Tilastokeskus</t>
  </si>
  <si>
    <t>&lt;A HREF=http://tilastokeskus.fi/til/kta/index.html TARGET=_blank&gt;Tilaston kotisivu&lt;/A&gt;</t>
  </si>
  <si>
    <t>&lt;A HREF=http://tilastokeskus.fi/til/kta/yht.html TARGET=_blank&gt;Lisätietoja&lt;/A&gt;</t>
  </si>
  <si>
    <t>1 000 euroa</t>
  </si>
  <si>
    <t>kta</t>
  </si>
  <si>
    <t>Vuoden 2015 kuntajako</t>
  </si>
  <si>
    <t>Työllistymistä tukevat palvelut</t>
  </si>
  <si>
    <t>Sosiaali- ja terveystoiminta yhteensä</t>
  </si>
  <si>
    <t>Palo- ja pelastustoiminta</t>
  </si>
  <si>
    <t>Vyörytyskulut</t>
  </si>
  <si>
    <t>käyttötalous yhteensä</t>
  </si>
  <si>
    <t>TP15 vuoden 2015 jaolla</t>
  </si>
  <si>
    <t>siitä: Henkilöstökulut (summaa alla olevat)</t>
  </si>
  <si>
    <t>Siirtyvä</t>
  </si>
  <si>
    <t>Vaikutus tuloslaskelman kautta (ei hae automaattisesti tuloslaskelma -välilehdeltä!)</t>
  </si>
  <si>
    <t>Jäljelle</t>
  </si>
  <si>
    <t>VOS,</t>
  </si>
  <si>
    <t>Muut</t>
  </si>
  <si>
    <t>Nykyinen</t>
  </si>
  <si>
    <t>jäävien teht.</t>
  </si>
  <si>
    <t>poistot ja arvonal.</t>
  </si>
  <si>
    <t>tulot</t>
  </si>
  <si>
    <t>nettokust.</t>
  </si>
  <si>
    <t>(tuja-malli)</t>
  </si>
  <si>
    <t>(40 %:n oma-</t>
  </si>
  <si>
    <t>(nykyverojärj.)</t>
  </si>
  <si>
    <t>(ei muutu)</t>
  </si>
  <si>
    <t>vastuu)</t>
  </si>
  <si>
    <t>(hyöty)</t>
  </si>
  <si>
    <t>Poistot</t>
  </si>
  <si>
    <t>siitä: Osinkotuotot</t>
  </si>
  <si>
    <t>siitä: Korkotuotot</t>
  </si>
  <si>
    <t>siitä: Muut rahoitustuotot</t>
  </si>
  <si>
    <t>siitä: Korkokulut</t>
  </si>
  <si>
    <t>siitä: Muut rahoituskulut</t>
  </si>
  <si>
    <t>Ylijäämä €/asukas</t>
  </si>
  <si>
    <t xml:space="preserve">      siitä: Kiinteistövero</t>
  </si>
  <si>
    <t>Rahoituserät</t>
  </si>
  <si>
    <t>Siirtymätasaus</t>
  </si>
  <si>
    <t>Vuonna 2023</t>
  </si>
  <si>
    <t xml:space="preserve">Nro </t>
  </si>
  <si>
    <t>2018**</t>
  </si>
  <si>
    <t>2019**</t>
  </si>
  <si>
    <t>2020**</t>
  </si>
  <si>
    <t>Maksuunpantu kunnallisvero</t>
  </si>
  <si>
    <t>Valitse verotulot:</t>
  </si>
  <si>
    <t>Nykykunta</t>
  </si>
  <si>
    <t>Jakoavain on kuntien tueksi laadittu apuväline. Lähtötiedot on tarkoitettu taloussuunnittelun ja laskennan pohjaksi, ne ovat suuntaa antavia.</t>
  </si>
  <si>
    <t>Vanha kunta</t>
  </si>
  <si>
    <t>kunta (2023)</t>
  </si>
  <si>
    <t>kunta (2024)</t>
  </si>
  <si>
    <t>Yksityiskohtainen erittely nykyisen ja uuden rahoituksen muodostumisesta</t>
  </si>
  <si>
    <t>Kuntiin jäävien tehtävien ja niiden rahoituksen osalta (sote-tehtävien siirron jälkeen)</t>
  </si>
  <si>
    <t xml:space="preserve">HUOM! Tässä ei ole huomiotu uutta siirtymätasausta, joka jää pysyväksi siten, että tasapainon muutos </t>
  </si>
  <si>
    <t>UUSI TULOSLASKELMA:</t>
  </si>
  <si>
    <t>NYKYINEN TULOSLASKELMA:</t>
  </si>
  <si>
    <t>Tasapainon</t>
  </si>
  <si>
    <t>Tasapaino</t>
  </si>
  <si>
    <t>muutos</t>
  </si>
  <si>
    <t>pl. siirtymätasaus</t>
  </si>
  <si>
    <t>Kristiinankaup.</t>
  </si>
  <si>
    <t>Pedersören k.</t>
  </si>
  <si>
    <t>€</t>
  </si>
  <si>
    <t>Vuonna 2024</t>
  </si>
  <si>
    <t>Koko kunta</t>
  </si>
  <si>
    <t>Sote</t>
  </si>
  <si>
    <t>P&amp;P</t>
  </si>
  <si>
    <t>TILITYKSET</t>
  </si>
  <si>
    <t>Kunnan rahoituslaskelma ja skenaario vuodesta 2020</t>
  </si>
  <si>
    <t>Lähde: Kuntien tilinpäätösarvio (TPA17), Tilastokeskus</t>
  </si>
  <si>
    <t>Vuoden 2017 tilinpäätösarvioista ei ole saatavilla kaikkia rahoituslaskelman eriä.</t>
  </si>
  <si>
    <t>Kunnan tase 31.12.2017</t>
  </si>
  <si>
    <t>Suhteellinen velkaantuneisuus, %</t>
  </si>
  <si>
    <t>Lähde: Kuntien tilinpäätösarviot 2017, Tilastokeskus</t>
  </si>
  <si>
    <t>TPA2017</t>
  </si>
  <si>
    <t>…tämä suoraan tuloslaskelmasta (huom. 2019 tasoiset tiedot)</t>
  </si>
  <si>
    <t>toimintakatteen painelaskelma: ei käytössä</t>
  </si>
  <si>
    <t>manner-suomi</t>
  </si>
  <si>
    <t>linkki VM sivuille</t>
  </si>
  <si>
    <t>Toimintakatteen painelaskelmat. Lähde: VM</t>
  </si>
  <si>
    <t>Tarkempi aineistokuvaus</t>
  </si>
  <si>
    <r>
      <t>(</t>
    </r>
    <r>
      <rPr>
        <sz val="9"/>
        <rFont val="Calibri"/>
        <family val="2"/>
      </rPr>
      <t>©)</t>
    </r>
    <r>
      <rPr>
        <sz val="9"/>
        <rFont val="Arial"/>
        <family val="2"/>
      </rPr>
      <t xml:space="preserve"> Suomen Kuntaliitto 2018</t>
    </r>
  </si>
  <si>
    <t>Manner-Suomi</t>
  </si>
  <si>
    <r>
      <t>(</t>
    </r>
    <r>
      <rPr>
        <i/>
        <sz val="9"/>
        <rFont val="Calibri"/>
        <family val="2"/>
      </rPr>
      <t>©)</t>
    </r>
    <r>
      <rPr>
        <i/>
        <sz val="9"/>
        <rFont val="Arial"/>
        <family val="2"/>
      </rPr>
      <t xml:space="preserve"> Suomen Kuntaliitto 2018</t>
    </r>
  </si>
  <si>
    <t>VOS VM</t>
  </si>
  <si>
    <t>siitä: Muutosrajoitin</t>
  </si>
  <si>
    <t>siitä: Siirtymätasaus (jaksotettu)</t>
  </si>
  <si>
    <t>(ml. Poistot)</t>
  </si>
  <si>
    <t>sisältää: verotuskustannusten alenema</t>
  </si>
  <si>
    <t>TILIKAUDEN YLIJÄÄMÄ (ALIJÄÄMÄ)</t>
  </si>
  <si>
    <t>2021**</t>
  </si>
  <si>
    <t>**2021</t>
  </si>
  <si>
    <t>Siirtyvät kulut yhteensä</t>
  </si>
  <si>
    <t>Siirtyvät tuotot yhteensä</t>
  </si>
  <si>
    <t>Erotus</t>
  </si>
  <si>
    <t>Sote vos</t>
  </si>
  <si>
    <t>Muutosrajoitin</t>
  </si>
  <si>
    <t>Siirrettävä</t>
  </si>
  <si>
    <t>(vain se)</t>
  </si>
  <si>
    <t>(vaihda kunta tuloslaskelma -välilehdeltä)</t>
  </si>
  <si>
    <t>Verotuloihin perustuvan</t>
  </si>
  <si>
    <t>tasauksen</t>
  </si>
  <si>
    <t>Verotuloihin perustuvan tasauksen muutos</t>
  </si>
  <si>
    <t>SIIRTYVÄT KUSTANNUKSET</t>
  </si>
  <si>
    <t>SIIRTYVÄT TUOTOT</t>
  </si>
  <si>
    <t>Huomioita:</t>
  </si>
  <si>
    <t>Verotuskustannusten alenema</t>
  </si>
  <si>
    <t>Jakoavain hakee tuloslaskelma -välilehdeltä siirtyvän toimintakatteen ja käy viemässä muutosrajoittimen arvon takaisin.</t>
  </si>
  <si>
    <t>Jos sotekustannukset (siirtyvät toimintakate) pienenevät, kasvaa muutosrajoittimen arvo.</t>
  </si>
  <si>
    <t>Ks. Kaavaviittaukset.</t>
  </si>
  <si>
    <t>Muutosrajoitin lasketaan siirtyvistä kustannuksista ja tuotoista toisin kuin siirtymätasaus.</t>
  </si>
  <si>
    <t>Muutosrajoitin lasketaan maksuunpannuista verotuloista, vaikka tuloslaskelma -välilehdellä valitsisi tilitetyt verotulot laskee Jakoavain muutosrajoittimen maksuunpantujen verotulojen mukaan.</t>
  </si>
  <si>
    <t>Verotuloihin perustuva tasauksen muutos ei muutu tässä vaikka tietoja muutetaan.</t>
  </si>
  <si>
    <t xml:space="preserve"> 31.12.2018</t>
  </si>
  <si>
    <t xml:space="preserve"> (toim.kate+poistot)</t>
  </si>
  <si>
    <t>Verotulomenetysten</t>
  </si>
  <si>
    <t>kompensaatiot</t>
  </si>
  <si>
    <t>OKM, 2020</t>
  </si>
  <si>
    <t>huom. ILMAN SIIRTYMÄTASAUSTA</t>
  </si>
  <si>
    <t>Vuonna 2025</t>
  </si>
  <si>
    <t>Vuonna 2026</t>
  </si>
  <si>
    <t>Vuonna 2027</t>
  </si>
  <si>
    <t>kompensaatio</t>
  </si>
  <si>
    <t>Siirtymätasaukset (€):</t>
  </si>
  <si>
    <t>Verotulomenetysten kompensaatiot</t>
  </si>
  <si>
    <t>ml.neutralisointi</t>
  </si>
  <si>
    <t>1000 €</t>
  </si>
  <si>
    <t>maksuunpannut verot (VM:n siirtolaskelman mukaan)</t>
  </si>
  <si>
    <t>siitä: Opetus- ja kulttuuritoimen muut valtionosuudet</t>
  </si>
  <si>
    <t>siitä: Kunnan peruspalvelujen valtionosuus</t>
  </si>
  <si>
    <t>siitä: Verotulomenetysten kompensaatiot</t>
  </si>
  <si>
    <t>kunta (2025)</t>
  </si>
  <si>
    <t>kunta (2026)</t>
  </si>
  <si>
    <t>kunta (2027)</t>
  </si>
  <si>
    <t>Kunnan tuloslaskelma ja skenaario vuodesta 2023 eteenpäin</t>
  </si>
  <si>
    <t>Sote-kulujen muutoksen simulointi:</t>
  </si>
  <si>
    <t>(suhteessa näiden laskelmien pohjatietoihin)</t>
  </si>
  <si>
    <t>ilman</t>
  </si>
  <si>
    <t>siirtymätasausta</t>
  </si>
  <si>
    <t>(tuloslaskelmasta)</t>
  </si>
  <si>
    <t>Vain valitun kunnan tiedot</t>
  </si>
  <si>
    <t>Muutos</t>
  </si>
  <si>
    <r>
      <t xml:space="preserve">Esimerkiksi: </t>
    </r>
    <r>
      <rPr>
        <i/>
        <sz val="10"/>
        <color indexed="36"/>
        <rFont val="Arial"/>
        <family val="2"/>
      </rPr>
      <t>+1000</t>
    </r>
    <r>
      <rPr>
        <i/>
        <sz val="10"/>
        <rFont val="Arial"/>
        <family val="2"/>
      </rPr>
      <t xml:space="preserve"> -&gt; sote-kulut </t>
    </r>
    <r>
      <rPr>
        <b/>
        <i/>
        <sz val="10"/>
        <color indexed="36"/>
        <rFont val="Arial"/>
        <family val="2"/>
      </rPr>
      <t>kasvavat</t>
    </r>
    <r>
      <rPr>
        <i/>
        <sz val="10"/>
        <rFont val="Arial"/>
        <family val="2"/>
      </rPr>
      <t xml:space="preserve"> ennen sote-uudistusta miljoonalla eurolla</t>
    </r>
  </si>
  <si>
    <r>
      <t xml:space="preserve">Esimerkiksi: </t>
    </r>
    <r>
      <rPr>
        <i/>
        <sz val="10"/>
        <color indexed="53"/>
        <rFont val="Arial"/>
        <family val="2"/>
      </rPr>
      <t>-1000</t>
    </r>
    <r>
      <rPr>
        <i/>
        <sz val="10"/>
        <rFont val="Arial"/>
        <family val="2"/>
      </rPr>
      <t xml:space="preserve"> -&gt; sote-kulut </t>
    </r>
    <r>
      <rPr>
        <b/>
        <i/>
        <sz val="10"/>
        <color indexed="53"/>
        <rFont val="Arial"/>
        <family val="2"/>
      </rPr>
      <t>laskevat</t>
    </r>
    <r>
      <rPr>
        <i/>
        <sz val="10"/>
        <rFont val="Arial"/>
        <family val="2"/>
      </rPr>
      <t xml:space="preserve"> ennen sote-uudistusta miljoonalla eurolla</t>
    </r>
  </si>
  <si>
    <t>Jakoavain pohjautuu talousarviokyselyn pohjalta laskettuihin VM:n siirtolaskelmiin, kuntien tilinpäätöstietoihin sekä tilastokeskuksen väestötietoihin.</t>
  </si>
  <si>
    <t>Kuntaan jäävien kulujen muutoksen simulointi:</t>
  </si>
  <si>
    <t>&lt;- Täytä tähän vastaavalla logiikalla kuntaan jäävien palveluiden toimintakatemuutos</t>
  </si>
  <si>
    <t>&lt;- Simuloi (täytä) tähän sote-kulujen (toimintakatteen) muutos tuhansina euroina (1000 €)</t>
  </si>
  <si>
    <t>huom. Tasapaino muuttuu vielä järjestelmätasauksen porrastuksen takia, tasauksen pysyvä taso saavutetaan viimeistään vuonna 2027.</t>
  </si>
  <si>
    <t>Lähde: Tilastokeskus(tp- ja väestötiedot), VM(siirtolaskelma kesäkuu 2020) ja Kuntaliitto(muut laskelmat)</t>
  </si>
  <si>
    <t>Verotuskustannusten alenema vähennetään erotuksesta (ei oteta huomioon muutosrajoittimen laskennassa).</t>
  </si>
  <si>
    <t>TP19</t>
  </si>
  <si>
    <t>Uuden kunnan</t>
  </si>
  <si>
    <t>(&lt;- Jos miinus: tasaus paranee euromääräisesti)</t>
  </si>
  <si>
    <t>erät (netto)</t>
  </si>
  <si>
    <t>tasaus (ml. Koko maan nettomäärän neutralisointi):</t>
  </si>
  <si>
    <t>Muutosrajoittimen laskennassa huomioidaan kunta-valtionsuhteen neutraalisointi joka on noin 0,5 €/asukas</t>
  </si>
  <si>
    <t>rajataan enimmillään +/- 60 euroon asukasta kohden 5. vuoden jälkeen</t>
  </si>
  <si>
    <r>
      <t>(</t>
    </r>
    <r>
      <rPr>
        <sz val="9"/>
        <rFont val="Calibri"/>
        <family val="2"/>
      </rPr>
      <t>©)</t>
    </r>
    <r>
      <rPr>
        <sz val="9"/>
        <rFont val="Arial"/>
        <family val="2"/>
      </rPr>
      <t xml:space="preserve"> Suomen Kuntaliitto 2021</t>
    </r>
  </si>
  <si>
    <t xml:space="preserve"> 31.12.2020</t>
  </si>
  <si>
    <t>Asukasluku 31.12.2020:</t>
  </si>
  <si>
    <t>TP19 tietojen mukaan (taloustilasto)</t>
  </si>
  <si>
    <t>Versio: tiedot 12.5 (22.6 korjattu siirtyvät verokompensaatiot)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</si>
</sst>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_);\(#,##0\)"/>
    <numFmt numFmtId="169" formatCode="#,##0_ ;[Red]\-#,##0\ "/>
    <numFmt numFmtId="170" formatCode="#,##0.00_ ;[Red]\-#,##0.00\ "/>
    <numFmt numFmtId="171" formatCode="0;0;"/>
    <numFmt numFmtId="172" formatCode="0.0000"/>
    <numFmt numFmtId="173" formatCode="#,##0.000"/>
    <numFmt numFmtId="174" formatCode="#\ ###\ ###\ ##0"/>
    <numFmt numFmtId="175" formatCode="General_)"/>
    <numFmt numFmtId="176" formatCode="0.0000000"/>
    <numFmt numFmtId="177" formatCode="0.000000"/>
    <numFmt numFmtId="178" formatCode="0.00000"/>
    <numFmt numFmtId="179" formatCode="0.000"/>
    <numFmt numFmtId="180" formatCode="&quot;Kyllä&quot;;&quot;Kyllä&quot;;&quot;Ei&quot;"/>
    <numFmt numFmtId="181" formatCode="&quot;Tosi&quot;;&quot;Tosi&quot;;&quot;Epätosi&quot;"/>
    <numFmt numFmtId="182" formatCode="&quot;Käytössä&quot;;&quot;Käytössä&quot;;&quot;Ei käytössä&quot;"/>
    <numFmt numFmtId="183" formatCode="[$€-2]\ #\ ##,000_);[Red]\([$€-2]\ #\ ##,000\)"/>
    <numFmt numFmtId="184" formatCode="#,##0.0000"/>
    <numFmt numFmtId="185" formatCode="#,##0.0_ ;[Red]\-#,##0.0\ "/>
    <numFmt numFmtId="186" formatCode="0.00000000"/>
    <numFmt numFmtId="187" formatCode="#,##0.000_ ;[Red]\-#,##0.000\ "/>
  </numFmts>
  <fonts count="152">
    <font>
      <sz val="10"/>
      <name val="Arial"/>
      <family val="0"/>
    </font>
    <font>
      <sz val="11"/>
      <color indexed="8"/>
      <name val="Calibri"/>
      <family val="2"/>
    </font>
    <font>
      <b/>
      <sz val="10"/>
      <name val="Arial"/>
      <family val="2"/>
    </font>
    <font>
      <sz val="9"/>
      <name val="Arial"/>
      <family val="2"/>
    </font>
    <font>
      <sz val="8"/>
      <name val="Arial"/>
      <family val="2"/>
    </font>
    <font>
      <sz val="8"/>
      <name val="Arial Narrow"/>
      <family val="2"/>
    </font>
    <font>
      <sz val="10"/>
      <name val="Arial Narrow"/>
      <family val="2"/>
    </font>
    <font>
      <b/>
      <sz val="12"/>
      <name val="Arial"/>
      <family val="2"/>
    </font>
    <font>
      <i/>
      <sz val="10"/>
      <name val="Arial"/>
      <family val="2"/>
    </font>
    <font>
      <i/>
      <sz val="10"/>
      <name val="Arial Narrow"/>
      <family val="2"/>
    </font>
    <font>
      <sz val="11"/>
      <name val="Calibri"/>
      <family val="2"/>
    </font>
    <font>
      <b/>
      <sz val="8"/>
      <name val="Arial"/>
      <family val="2"/>
    </font>
    <font>
      <u val="single"/>
      <sz val="10"/>
      <name val="Arial"/>
      <family val="2"/>
    </font>
    <font>
      <i/>
      <sz val="8"/>
      <name val="Arial"/>
      <family val="2"/>
    </font>
    <font>
      <b/>
      <u val="single"/>
      <sz val="8"/>
      <name val="Arial"/>
      <family val="2"/>
    </font>
    <font>
      <sz val="9"/>
      <name val="Calibri"/>
      <family val="2"/>
    </font>
    <font>
      <b/>
      <sz val="14"/>
      <name val="Arial"/>
      <family val="2"/>
    </font>
    <font>
      <b/>
      <sz val="9"/>
      <name val="Arial"/>
      <family val="2"/>
    </font>
    <font>
      <i/>
      <sz val="9"/>
      <name val="Arial"/>
      <family val="2"/>
    </font>
    <font>
      <b/>
      <sz val="10"/>
      <name val="Arial Narrow"/>
      <family val="2"/>
    </font>
    <font>
      <i/>
      <sz val="9"/>
      <name val="Calibri"/>
      <family val="2"/>
    </font>
    <font>
      <sz val="11"/>
      <name val="Arial"/>
      <family val="2"/>
    </font>
    <font>
      <sz val="12"/>
      <name val="Arial"/>
      <family val="2"/>
    </font>
    <font>
      <u val="single"/>
      <sz val="11"/>
      <name val="Arial"/>
      <family val="2"/>
    </font>
    <font>
      <i/>
      <sz val="10"/>
      <color indexed="53"/>
      <name val="Arial"/>
      <family val="2"/>
    </font>
    <font>
      <i/>
      <sz val="10"/>
      <color indexed="36"/>
      <name val="Arial"/>
      <family val="2"/>
    </font>
    <font>
      <b/>
      <i/>
      <sz val="10"/>
      <color indexed="36"/>
      <name val="Arial"/>
      <family val="2"/>
    </font>
    <font>
      <b/>
      <i/>
      <sz val="10"/>
      <color indexed="53"/>
      <name val="Arial"/>
      <family val="2"/>
    </font>
    <font>
      <sz val="10"/>
      <color indexed="8"/>
      <name val="Calibri"/>
      <family val="2"/>
    </font>
    <font>
      <sz val="9"/>
      <color indexed="8"/>
      <name val="Calibri"/>
      <family val="2"/>
    </font>
    <font>
      <sz val="8"/>
      <color indexed="8"/>
      <name val="Calibri"/>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0"/>
      <color indexed="8"/>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9"/>
      <color indexed="8"/>
      <name val="Arial"/>
      <family val="2"/>
    </font>
    <font>
      <sz val="10"/>
      <color indexed="8"/>
      <name val="Arial"/>
      <family val="2"/>
    </font>
    <font>
      <b/>
      <sz val="10"/>
      <color indexed="8"/>
      <name val="Arial"/>
      <family val="2"/>
    </font>
    <font>
      <sz val="10"/>
      <color indexed="10"/>
      <name val="Arial"/>
      <family val="2"/>
    </font>
    <font>
      <i/>
      <sz val="10"/>
      <color indexed="8"/>
      <name val="Arial"/>
      <family val="2"/>
    </font>
    <font>
      <b/>
      <i/>
      <sz val="10"/>
      <color indexed="10"/>
      <name val="Arial"/>
      <family val="2"/>
    </font>
    <font>
      <b/>
      <sz val="10"/>
      <color indexed="10"/>
      <name val="Arial"/>
      <family val="2"/>
    </font>
    <font>
      <i/>
      <sz val="10"/>
      <color indexed="23"/>
      <name val="Arial"/>
      <family val="2"/>
    </font>
    <font>
      <sz val="8"/>
      <color indexed="8"/>
      <name val="Arial"/>
      <family val="2"/>
    </font>
    <font>
      <b/>
      <sz val="8"/>
      <color indexed="8"/>
      <name val="Arial"/>
      <family val="2"/>
    </font>
    <font>
      <b/>
      <sz val="8"/>
      <color indexed="17"/>
      <name val="Arial"/>
      <family val="2"/>
    </font>
    <font>
      <b/>
      <sz val="10"/>
      <color indexed="30"/>
      <name val="Arial"/>
      <family val="2"/>
    </font>
    <font>
      <b/>
      <sz val="11"/>
      <color indexed="10"/>
      <name val="Calibri"/>
      <family val="2"/>
    </font>
    <font>
      <b/>
      <sz val="8"/>
      <color indexed="10"/>
      <name val="Arial"/>
      <family val="2"/>
    </font>
    <font>
      <b/>
      <u val="single"/>
      <sz val="11"/>
      <color indexed="8"/>
      <name val="Arial"/>
      <family val="2"/>
    </font>
    <font>
      <sz val="8"/>
      <color indexed="10"/>
      <name val="Arial"/>
      <family val="2"/>
    </font>
    <font>
      <i/>
      <sz val="8"/>
      <color indexed="8"/>
      <name val="Arial"/>
      <family val="2"/>
    </font>
    <font>
      <b/>
      <sz val="12"/>
      <color indexed="10"/>
      <name val="Arial"/>
      <family val="2"/>
    </font>
    <font>
      <b/>
      <sz val="10"/>
      <color indexed="17"/>
      <name val="Arial"/>
      <family val="2"/>
    </font>
    <font>
      <i/>
      <sz val="10"/>
      <color indexed="55"/>
      <name val="Arial"/>
      <family val="2"/>
    </font>
    <font>
      <sz val="9"/>
      <color indexed="10"/>
      <name val="Arial"/>
      <family val="2"/>
    </font>
    <font>
      <b/>
      <i/>
      <sz val="10"/>
      <color indexed="8"/>
      <name val="Arial"/>
      <family val="2"/>
    </font>
    <font>
      <b/>
      <sz val="14"/>
      <color indexed="8"/>
      <name val="Calibri"/>
      <family val="2"/>
    </font>
    <font>
      <b/>
      <sz val="14"/>
      <color indexed="8"/>
      <name val="Arial"/>
      <family val="2"/>
    </font>
    <font>
      <b/>
      <sz val="11"/>
      <color indexed="8"/>
      <name val="Arial"/>
      <family val="2"/>
    </font>
    <font>
      <b/>
      <u val="single"/>
      <sz val="8"/>
      <color indexed="8"/>
      <name val="Arial"/>
      <family val="2"/>
    </font>
    <font>
      <b/>
      <sz val="10"/>
      <color indexed="36"/>
      <name val="Arial"/>
      <family val="2"/>
    </font>
    <font>
      <b/>
      <sz val="8"/>
      <color indexed="9"/>
      <name val="Calibri"/>
      <family val="2"/>
    </font>
    <font>
      <sz val="8"/>
      <color indexed="9"/>
      <name val="Calibri"/>
      <family val="2"/>
    </font>
    <font>
      <b/>
      <sz val="9"/>
      <color indexed="9"/>
      <name val="Calibri"/>
      <family val="2"/>
    </font>
    <font>
      <sz val="10"/>
      <color indexed="9"/>
      <name val="Calibri"/>
      <family val="2"/>
    </font>
    <font>
      <sz val="9"/>
      <color indexed="9"/>
      <name val="Calibri"/>
      <family val="2"/>
    </font>
    <font>
      <sz val="10"/>
      <color indexed="9"/>
      <name val="Arial"/>
      <family val="2"/>
    </font>
    <font>
      <b/>
      <sz val="9"/>
      <color indexed="10"/>
      <name val="Arial"/>
      <family val="2"/>
    </font>
    <font>
      <sz val="10"/>
      <color indexed="10"/>
      <name val="Arial Narrow"/>
      <family val="2"/>
    </font>
    <font>
      <b/>
      <i/>
      <sz val="9"/>
      <color indexed="62"/>
      <name val="Arial"/>
      <family val="2"/>
    </font>
    <font>
      <b/>
      <i/>
      <sz val="10"/>
      <color indexed="62"/>
      <name val="Arial"/>
      <family val="2"/>
    </font>
    <font>
      <b/>
      <i/>
      <sz val="9"/>
      <color indexed="55"/>
      <name val="Arial"/>
      <family val="2"/>
    </font>
    <font>
      <b/>
      <i/>
      <sz val="10"/>
      <color indexed="55"/>
      <name val="Arial"/>
      <family val="2"/>
    </font>
    <font>
      <sz val="10"/>
      <color indexed="55"/>
      <name val="Arial"/>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0"/>
      <color theme="1"/>
      <name val="Verdana"/>
      <family val="2"/>
    </font>
    <font>
      <sz val="11"/>
      <color rgb="FF0000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9"/>
      <color theme="1"/>
      <name val="Arial"/>
      <family val="2"/>
    </font>
    <font>
      <sz val="10"/>
      <color theme="1"/>
      <name val="Arial"/>
      <family val="2"/>
    </font>
    <font>
      <b/>
      <sz val="10"/>
      <color theme="1"/>
      <name val="Arial"/>
      <family val="2"/>
    </font>
    <font>
      <sz val="10"/>
      <color rgb="FFFF0000"/>
      <name val="Arial"/>
      <family val="2"/>
    </font>
    <font>
      <i/>
      <sz val="10"/>
      <color theme="1"/>
      <name val="Arial"/>
      <family val="2"/>
    </font>
    <font>
      <b/>
      <i/>
      <sz val="10"/>
      <color rgb="FFFF0000"/>
      <name val="Arial"/>
      <family val="2"/>
    </font>
    <font>
      <b/>
      <sz val="10"/>
      <color rgb="FFFF0000"/>
      <name val="Arial"/>
      <family val="2"/>
    </font>
    <font>
      <i/>
      <sz val="10"/>
      <color theme="0" tint="-0.4999699890613556"/>
      <name val="Arial"/>
      <family val="2"/>
    </font>
    <font>
      <sz val="8"/>
      <color theme="1"/>
      <name val="Arial"/>
      <family val="2"/>
    </font>
    <font>
      <b/>
      <sz val="8"/>
      <color theme="1"/>
      <name val="Arial"/>
      <family val="2"/>
    </font>
    <font>
      <b/>
      <sz val="8"/>
      <color rgb="FF00B050"/>
      <name val="Arial"/>
      <family val="2"/>
    </font>
    <font>
      <b/>
      <sz val="10"/>
      <color rgb="FF0070C0"/>
      <name val="Arial"/>
      <family val="2"/>
    </font>
    <font>
      <b/>
      <sz val="11"/>
      <color rgb="FF000000"/>
      <name val="Calibri"/>
      <family val="2"/>
    </font>
    <font>
      <b/>
      <sz val="11"/>
      <color rgb="FFFF0000"/>
      <name val="Calibri"/>
      <family val="2"/>
    </font>
    <font>
      <b/>
      <sz val="8"/>
      <color rgb="FFFF0000"/>
      <name val="Arial"/>
      <family val="2"/>
    </font>
    <font>
      <b/>
      <u val="single"/>
      <sz val="11"/>
      <color theme="1"/>
      <name val="Arial"/>
      <family val="2"/>
    </font>
    <font>
      <sz val="8"/>
      <color rgb="FFFF0000"/>
      <name val="Arial"/>
      <family val="2"/>
    </font>
    <font>
      <i/>
      <sz val="8"/>
      <color theme="1"/>
      <name val="Arial"/>
      <family val="2"/>
    </font>
    <font>
      <b/>
      <sz val="12"/>
      <color rgb="FFFF0000"/>
      <name val="Arial"/>
      <family val="2"/>
    </font>
    <font>
      <b/>
      <sz val="10"/>
      <color rgb="FF00B050"/>
      <name val="Arial"/>
      <family val="2"/>
    </font>
    <font>
      <i/>
      <sz val="10"/>
      <color theme="0" tint="-0.24997000396251678"/>
      <name val="Arial"/>
      <family val="2"/>
    </font>
    <font>
      <sz val="9"/>
      <color rgb="FFFF0000"/>
      <name val="Arial"/>
      <family val="2"/>
    </font>
    <font>
      <b/>
      <i/>
      <sz val="10"/>
      <color theme="1"/>
      <name val="Arial"/>
      <family val="2"/>
    </font>
    <font>
      <b/>
      <sz val="14"/>
      <color rgb="FF000000"/>
      <name val="Calibri"/>
      <family val="2"/>
    </font>
    <font>
      <b/>
      <sz val="14"/>
      <color theme="1"/>
      <name val="Arial"/>
      <family val="2"/>
    </font>
    <font>
      <b/>
      <sz val="11"/>
      <color theme="1"/>
      <name val="Arial"/>
      <family val="2"/>
    </font>
    <font>
      <b/>
      <u val="single"/>
      <sz val="8"/>
      <color theme="1"/>
      <name val="Arial"/>
      <family val="2"/>
    </font>
    <font>
      <b/>
      <sz val="10"/>
      <color rgb="FF7030A0"/>
      <name val="Arial"/>
      <family val="2"/>
    </font>
    <font>
      <b/>
      <sz val="8"/>
      <color theme="0"/>
      <name val="Calibri"/>
      <family val="2"/>
    </font>
    <font>
      <sz val="8"/>
      <color theme="0"/>
      <name val="Calibri"/>
      <family val="2"/>
    </font>
    <font>
      <b/>
      <sz val="9"/>
      <color theme="0"/>
      <name val="Calibri"/>
      <family val="2"/>
    </font>
    <font>
      <sz val="10"/>
      <color theme="0"/>
      <name val="Calibri"/>
      <family val="2"/>
    </font>
    <font>
      <sz val="9"/>
      <color theme="0"/>
      <name val="Calibri"/>
      <family val="2"/>
    </font>
    <font>
      <sz val="10"/>
      <color theme="0"/>
      <name val="Arial"/>
      <family val="2"/>
    </font>
    <font>
      <b/>
      <sz val="9"/>
      <color rgb="FFFF0000"/>
      <name val="Arial"/>
      <family val="2"/>
    </font>
    <font>
      <sz val="10"/>
      <color rgb="FFFF0000"/>
      <name val="Arial Narrow"/>
      <family val="2"/>
    </font>
    <font>
      <b/>
      <i/>
      <sz val="9"/>
      <color theme="4"/>
      <name val="Arial"/>
      <family val="2"/>
    </font>
    <font>
      <b/>
      <i/>
      <sz val="10"/>
      <color theme="4"/>
      <name val="Arial"/>
      <family val="2"/>
    </font>
    <font>
      <b/>
      <i/>
      <sz val="9"/>
      <color theme="0" tint="-0.3499799966812134"/>
      <name val="Arial"/>
      <family val="2"/>
    </font>
    <font>
      <b/>
      <i/>
      <sz val="10"/>
      <color theme="0" tint="-0.3499799966812134"/>
      <name val="Arial"/>
      <family val="2"/>
    </font>
    <font>
      <sz val="10"/>
      <color theme="0" tint="-0.349979996681213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EBE657"/>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1"/>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hair"/>
      <top style="hair"/>
      <bottom style="hair"/>
    </border>
    <border>
      <left style="thin"/>
      <right style="hair"/>
      <top style="hair"/>
      <bottom style="thin"/>
    </border>
    <border>
      <left style="thin"/>
      <right style="hair"/>
      <top style="thin"/>
      <bottom/>
    </border>
    <border>
      <left style="thin"/>
      <right style="hair"/>
      <top style="thin"/>
      <bottom style="hair"/>
    </border>
    <border>
      <left style="thin"/>
      <right style="hair"/>
      <top/>
      <bottom/>
    </border>
    <border>
      <left style="thin"/>
      <right style="thin"/>
      <top/>
      <bottom style="thin"/>
    </border>
    <border>
      <left style="thin"/>
      <right style="thin"/>
      <top/>
      <bottom/>
    </border>
    <border>
      <left style="thin"/>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hair"/>
      <right style="thin"/>
      <top style="thin"/>
      <bottom/>
    </border>
    <border>
      <left/>
      <right/>
      <top style="thin"/>
      <bottom/>
    </border>
    <border>
      <left/>
      <right style="thin"/>
      <top style="thin"/>
      <bottom/>
    </border>
    <border>
      <left/>
      <right/>
      <top style="thin"/>
      <bottom style="thin"/>
    </border>
    <border>
      <left style="hair"/>
      <right style="thin"/>
      <top style="hair"/>
      <bottom style="hair"/>
    </border>
    <border>
      <left style="hair"/>
      <right style="thin"/>
      <top style="hair"/>
      <bottom/>
    </border>
    <border>
      <left/>
      <right style="thin"/>
      <top/>
      <bottom style="hair"/>
    </border>
    <border>
      <left style="hair"/>
      <right style="thin"/>
      <top style="hair"/>
      <bottom style="thin"/>
    </border>
    <border>
      <left/>
      <right style="thin"/>
      <top style="hair"/>
      <bottom style="thin"/>
    </border>
    <border>
      <left/>
      <right style="thin"/>
      <top style="thin"/>
      <bottom style="thin"/>
    </border>
    <border>
      <left style="thin"/>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0" fillId="26" borderId="1" applyNumberFormat="0" applyFont="0" applyAlignment="0" applyProtection="0"/>
    <xf numFmtId="0" fontId="93" fillId="27" borderId="0" applyNumberFormat="0" applyBorder="0" applyAlignment="0" applyProtection="0"/>
    <xf numFmtId="0" fontId="94" fillId="0" borderId="0" applyNumberFormat="0" applyFill="0" applyBorder="0" applyAlignment="0" applyProtection="0"/>
    <xf numFmtId="0" fontId="95" fillId="28" borderId="0" applyNumberFormat="0" applyBorder="0" applyAlignment="0" applyProtection="0"/>
    <xf numFmtId="0" fontId="96" fillId="29" borderId="2" applyNumberFormat="0" applyAlignment="0" applyProtection="0"/>
    <xf numFmtId="0" fontId="97" fillId="0" borderId="3" applyNumberFormat="0" applyFill="0" applyAlignment="0" applyProtection="0"/>
    <xf numFmtId="0" fontId="98" fillId="30" borderId="0" applyNumberFormat="0" applyBorder="0" applyAlignment="0" applyProtection="0"/>
    <xf numFmtId="0" fontId="90" fillId="0" borderId="0">
      <alignment/>
      <protection/>
    </xf>
    <xf numFmtId="0" fontId="99" fillId="0" borderId="0">
      <alignment/>
      <protection/>
    </xf>
    <xf numFmtId="0" fontId="100" fillId="0" borderId="0" applyNumberFormat="0" applyBorder="0" applyAlignment="0">
      <protection/>
    </xf>
    <xf numFmtId="0" fontId="90" fillId="0" borderId="0">
      <alignment/>
      <protection/>
    </xf>
    <xf numFmtId="0" fontId="101" fillId="0" borderId="0" applyNumberFormat="0" applyFill="0" applyBorder="0" applyAlignment="0" applyProtection="0"/>
    <xf numFmtId="0" fontId="102" fillId="0" borderId="4"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7" applyNumberFormat="0" applyFill="0" applyAlignment="0" applyProtection="0"/>
    <xf numFmtId="0" fontId="107" fillId="31" borderId="2" applyNumberFormat="0" applyAlignment="0" applyProtection="0"/>
    <xf numFmtId="0" fontId="108" fillId="32" borderId="8" applyNumberFormat="0" applyAlignment="0" applyProtection="0"/>
    <xf numFmtId="0" fontId="10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0" borderId="0" applyNumberFormat="0" applyFill="0" applyBorder="0" applyAlignment="0" applyProtection="0"/>
  </cellStyleXfs>
  <cellXfs count="449">
    <xf numFmtId="0" fontId="0" fillId="0" borderId="0" xfId="0" applyAlignment="1">
      <alignment/>
    </xf>
    <xf numFmtId="0" fontId="3" fillId="0" borderId="0" xfId="0" applyFont="1" applyAlignment="1">
      <alignment/>
    </xf>
    <xf numFmtId="0" fontId="2" fillId="0" borderId="0" xfId="0" applyFont="1" applyAlignment="1">
      <alignment/>
    </xf>
    <xf numFmtId="0" fontId="0" fillId="0" borderId="0" xfId="0" applyFont="1" applyAlignment="1">
      <alignment/>
    </xf>
    <xf numFmtId="14" fontId="111" fillId="0" borderId="0" xfId="0" applyNumberFormat="1" applyFont="1" applyAlignment="1">
      <alignment horizontal="left"/>
    </xf>
    <xf numFmtId="0" fontId="112" fillId="0" borderId="0" xfId="0" applyFont="1" applyAlignment="1">
      <alignment/>
    </xf>
    <xf numFmtId="3" fontId="112" fillId="0" borderId="0" xfId="0" applyNumberFormat="1" applyFont="1" applyAlignment="1">
      <alignment/>
    </xf>
    <xf numFmtId="0" fontId="113" fillId="0" borderId="0" xfId="0" applyFont="1" applyAlignment="1">
      <alignment/>
    </xf>
    <xf numFmtId="0" fontId="112" fillId="0" borderId="0" xfId="0" applyFont="1" applyAlignment="1">
      <alignment horizontal="center"/>
    </xf>
    <xf numFmtId="14" fontId="5" fillId="0" borderId="0" xfId="0" applyNumberFormat="1" applyFont="1" applyAlignment="1" applyProtection="1">
      <alignment horizontal="left"/>
      <protection/>
    </xf>
    <xf numFmtId="0" fontId="6" fillId="0" borderId="0" xfId="0" applyFont="1" applyAlignment="1">
      <alignment/>
    </xf>
    <xf numFmtId="0" fontId="7" fillId="2" borderId="10" xfId="0" applyFont="1" applyFill="1" applyBorder="1" applyAlignment="1" applyProtection="1">
      <alignment horizontal="left"/>
      <protection/>
    </xf>
    <xf numFmtId="49" fontId="2" fillId="2" borderId="10" xfId="0" applyNumberFormat="1" applyFont="1" applyFill="1" applyBorder="1" applyAlignment="1" applyProtection="1">
      <alignment horizontal="center"/>
      <protection/>
    </xf>
    <xf numFmtId="0" fontId="7" fillId="2" borderId="11" xfId="0" applyFont="1" applyFill="1" applyBorder="1" applyAlignment="1" applyProtection="1">
      <alignment horizontal="left"/>
      <protection/>
    </xf>
    <xf numFmtId="0" fontId="2" fillId="0" borderId="12" xfId="0" applyFont="1" applyBorder="1" applyAlignment="1" applyProtection="1">
      <alignment horizontal="left"/>
      <protection/>
    </xf>
    <xf numFmtId="0" fontId="0" fillId="0" borderId="12" xfId="0" applyFont="1" applyBorder="1" applyAlignment="1" applyProtection="1">
      <alignment horizontal="left"/>
      <protection/>
    </xf>
    <xf numFmtId="0" fontId="3" fillId="0" borderId="12" xfId="0" applyFont="1" applyBorder="1" applyAlignment="1" applyProtection="1">
      <alignment horizontal="left"/>
      <protection/>
    </xf>
    <xf numFmtId="0" fontId="0" fillId="0" borderId="12" xfId="0" applyFont="1" applyBorder="1" applyAlignment="1">
      <alignment/>
    </xf>
    <xf numFmtId="0" fontId="4" fillId="0" borderId="12" xfId="0" applyFont="1" applyBorder="1" applyAlignment="1">
      <alignment/>
    </xf>
    <xf numFmtId="0" fontId="2" fillId="0" borderId="12" xfId="0" applyFont="1" applyBorder="1" applyAlignment="1">
      <alignment/>
    </xf>
    <xf numFmtId="168" fontId="2" fillId="0" borderId="12" xfId="0" applyNumberFormat="1" applyFont="1" applyBorder="1" applyAlignment="1" applyProtection="1">
      <alignment horizontal="left"/>
      <protection/>
    </xf>
    <xf numFmtId="0" fontId="2" fillId="0" borderId="13" xfId="0" applyFont="1" applyBorder="1" applyAlignment="1" applyProtection="1">
      <alignment horizontal="left"/>
      <protection/>
    </xf>
    <xf numFmtId="0" fontId="0" fillId="0" borderId="14" xfId="0" applyFont="1" applyBorder="1" applyAlignment="1">
      <alignment/>
    </xf>
    <xf numFmtId="0" fontId="2" fillId="0" borderId="15" xfId="0" applyFont="1" applyBorder="1" applyAlignment="1" applyProtection="1">
      <alignment horizontal="left"/>
      <protection/>
    </xf>
    <xf numFmtId="0" fontId="0" fillId="0" borderId="16" xfId="0" applyFont="1" applyBorder="1" applyAlignment="1">
      <alignment/>
    </xf>
    <xf numFmtId="0" fontId="112" fillId="0" borderId="12" xfId="0" applyFont="1" applyBorder="1" applyAlignment="1">
      <alignment/>
    </xf>
    <xf numFmtId="0" fontId="113" fillId="0" borderId="13" xfId="0" applyFont="1" applyBorder="1" applyAlignment="1">
      <alignment/>
    </xf>
    <xf numFmtId="0" fontId="112" fillId="0" borderId="0" xfId="0" applyFont="1" applyAlignment="1">
      <alignment wrapText="1"/>
    </xf>
    <xf numFmtId="0" fontId="6" fillId="0" borderId="0" xfId="0" applyFont="1" applyAlignment="1">
      <alignment wrapText="1"/>
    </xf>
    <xf numFmtId="49" fontId="112" fillId="0" borderId="0" xfId="0" applyNumberFormat="1" applyFont="1" applyAlignment="1">
      <alignment wrapText="1"/>
    </xf>
    <xf numFmtId="0" fontId="114" fillId="0" borderId="0" xfId="0" applyFont="1" applyAlignment="1">
      <alignment/>
    </xf>
    <xf numFmtId="0" fontId="112" fillId="0" borderId="0" xfId="0" applyFont="1" applyAlignment="1">
      <alignment horizontal="left" indent="3"/>
    </xf>
    <xf numFmtId="0" fontId="112" fillId="0" borderId="0" xfId="0" applyFont="1" applyFill="1" applyAlignment="1">
      <alignment/>
    </xf>
    <xf numFmtId="0" fontId="112" fillId="33" borderId="0" xfId="0" applyFont="1" applyFill="1" applyAlignment="1">
      <alignment/>
    </xf>
    <xf numFmtId="0" fontId="113" fillId="33" borderId="0" xfId="0" applyFont="1" applyFill="1" applyAlignment="1">
      <alignment wrapText="1"/>
    </xf>
    <xf numFmtId="0" fontId="113" fillId="33" borderId="0" xfId="0" applyFont="1" applyFill="1" applyAlignment="1">
      <alignment horizontal="center"/>
    </xf>
    <xf numFmtId="0" fontId="115" fillId="33" borderId="0" xfId="0" applyFont="1" applyFill="1" applyAlignment="1">
      <alignment/>
    </xf>
    <xf numFmtId="0" fontId="8" fillId="33" borderId="0" xfId="0" applyFont="1" applyFill="1" applyAlignment="1">
      <alignment/>
    </xf>
    <xf numFmtId="166" fontId="116" fillId="0" borderId="0" xfId="0" applyNumberFormat="1" applyFont="1" applyFill="1" applyAlignment="1">
      <alignment/>
    </xf>
    <xf numFmtId="14" fontId="111" fillId="34" borderId="0" xfId="0" applyNumberFormat="1" applyFont="1" applyFill="1" applyAlignment="1">
      <alignment horizontal="left"/>
    </xf>
    <xf numFmtId="0" fontId="112" fillId="34" borderId="0" xfId="0" applyFont="1" applyFill="1" applyAlignment="1">
      <alignment/>
    </xf>
    <xf numFmtId="0" fontId="112" fillId="34" borderId="0" xfId="0" applyFont="1" applyFill="1" applyAlignment="1">
      <alignment wrapText="1"/>
    </xf>
    <xf numFmtId="0" fontId="117" fillId="34" borderId="0" xfId="0" applyFont="1" applyFill="1" applyAlignment="1">
      <alignment/>
    </xf>
    <xf numFmtId="0" fontId="114" fillId="34" borderId="0" xfId="0" applyFont="1" applyFill="1" applyAlignment="1">
      <alignment/>
    </xf>
    <xf numFmtId="9" fontId="114" fillId="34" borderId="0" xfId="0" applyNumberFormat="1" applyFont="1" applyFill="1" applyAlignment="1">
      <alignment horizontal="left"/>
    </xf>
    <xf numFmtId="3" fontId="0" fillId="0" borderId="0" xfId="0" applyNumberFormat="1" applyFont="1" applyAlignment="1">
      <alignment/>
    </xf>
    <xf numFmtId="0" fontId="115" fillId="33" borderId="0" xfId="0" applyFont="1" applyFill="1" applyAlignment="1">
      <alignment horizontal="center"/>
    </xf>
    <xf numFmtId="0" fontId="112" fillId="33" borderId="0" xfId="0" applyFont="1" applyFill="1" applyAlignment="1">
      <alignment wrapText="1"/>
    </xf>
    <xf numFmtId="49" fontId="113" fillId="33" borderId="0" xfId="0" applyNumberFormat="1" applyFont="1" applyFill="1" applyAlignment="1">
      <alignment wrapText="1"/>
    </xf>
    <xf numFmtId="0" fontId="113" fillId="0" borderId="0" xfId="0" applyFont="1" applyAlignment="1">
      <alignment horizontal="left"/>
    </xf>
    <xf numFmtId="0" fontId="112" fillId="33" borderId="0" xfId="0" applyFont="1" applyFill="1" applyAlignment="1">
      <alignment horizontal="left" wrapText="1" indent="3"/>
    </xf>
    <xf numFmtId="3" fontId="0" fillId="33" borderId="0" xfId="0" applyNumberFormat="1" applyFont="1" applyFill="1" applyAlignment="1">
      <alignment horizontal="center"/>
    </xf>
    <xf numFmtId="3" fontId="112" fillId="0" borderId="0" xfId="0" applyNumberFormat="1" applyFont="1" applyAlignment="1">
      <alignment horizontal="center"/>
    </xf>
    <xf numFmtId="3" fontId="114" fillId="0" borderId="0" xfId="0" applyNumberFormat="1" applyFont="1" applyAlignment="1">
      <alignment horizontal="center"/>
    </xf>
    <xf numFmtId="3" fontId="114" fillId="0" borderId="0" xfId="0" applyNumberFormat="1" applyFont="1" applyFill="1" applyAlignment="1">
      <alignment horizontal="center"/>
    </xf>
    <xf numFmtId="3" fontId="2" fillId="33" borderId="0" xfId="0" applyNumberFormat="1" applyFont="1" applyFill="1" applyAlignment="1">
      <alignment horizontal="center"/>
    </xf>
    <xf numFmtId="9" fontId="118" fillId="0" borderId="0" xfId="0" applyNumberFormat="1" applyFont="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112" fillId="0" borderId="0" xfId="0" applyFont="1" applyAlignment="1">
      <alignment horizontal="left" indent="5"/>
    </xf>
    <xf numFmtId="0" fontId="3" fillId="0" borderId="12" xfId="0" applyFont="1" applyBorder="1" applyAlignment="1" applyProtection="1">
      <alignment horizontal="left" indent="1"/>
      <protection/>
    </xf>
    <xf numFmtId="0" fontId="3" fillId="0" borderId="12" xfId="0" applyFont="1" applyBorder="1" applyAlignment="1" applyProtection="1">
      <alignment horizontal="left" indent="2"/>
      <protection/>
    </xf>
    <xf numFmtId="0" fontId="111" fillId="0" borderId="12" xfId="0" applyFont="1" applyBorder="1" applyAlignment="1">
      <alignment horizontal="left" indent="3"/>
    </xf>
    <xf numFmtId="0" fontId="0" fillId="0" borderId="12" xfId="0" applyFont="1" applyBorder="1" applyAlignment="1">
      <alignment horizontal="left" indent="1"/>
    </xf>
    <xf numFmtId="0" fontId="3" fillId="0" borderId="12" xfId="0" applyFont="1" applyBorder="1" applyAlignment="1">
      <alignment horizontal="left" indent="2"/>
    </xf>
    <xf numFmtId="0" fontId="0" fillId="0" borderId="12" xfId="0" applyFont="1" applyBorder="1" applyAlignment="1" applyProtection="1">
      <alignment horizontal="left" indent="1"/>
      <protection/>
    </xf>
    <xf numFmtId="0" fontId="9" fillId="0" borderId="0" xfId="0" applyFont="1" applyAlignment="1">
      <alignment horizontal="left"/>
    </xf>
    <xf numFmtId="0" fontId="113" fillId="2" borderId="10" xfId="0" applyFont="1" applyFill="1" applyBorder="1" applyAlignment="1">
      <alignment horizontal="center"/>
    </xf>
    <xf numFmtId="22" fontId="112" fillId="0" borderId="0" xfId="0" applyNumberFormat="1" applyFont="1" applyAlignment="1">
      <alignment/>
    </xf>
    <xf numFmtId="22" fontId="117" fillId="34" borderId="0" xfId="0" applyNumberFormat="1" applyFont="1" applyFill="1" applyAlignment="1">
      <alignment horizontal="left" wrapText="1"/>
    </xf>
    <xf numFmtId="0" fontId="114" fillId="33" borderId="0" xfId="0" applyFont="1" applyFill="1" applyAlignment="1">
      <alignment wrapText="1"/>
    </xf>
    <xf numFmtId="0" fontId="114" fillId="0" borderId="0" xfId="0" applyFont="1" applyAlignment="1">
      <alignment horizontal="left" indent="2"/>
    </xf>
    <xf numFmtId="0" fontId="2" fillId="0" borderId="10" xfId="0" applyFont="1" applyBorder="1" applyAlignment="1">
      <alignment horizontal="center"/>
    </xf>
    <xf numFmtId="0" fontId="112" fillId="35" borderId="11" xfId="0" applyFont="1" applyFill="1" applyBorder="1" applyAlignment="1">
      <alignment/>
    </xf>
    <xf numFmtId="0" fontId="112" fillId="35" borderId="17" xfId="0" applyFont="1" applyFill="1" applyBorder="1" applyAlignment="1">
      <alignment horizontal="center"/>
    </xf>
    <xf numFmtId="0" fontId="112" fillId="35" borderId="18" xfId="0" applyFont="1" applyFill="1" applyBorder="1" applyAlignment="1">
      <alignment horizontal="center"/>
    </xf>
    <xf numFmtId="0" fontId="0" fillId="35" borderId="17" xfId="0" applyFont="1" applyFill="1" applyBorder="1" applyAlignment="1">
      <alignment horizontal="center"/>
    </xf>
    <xf numFmtId="3" fontId="112" fillId="35" borderId="18" xfId="0" applyNumberFormat="1" applyFont="1" applyFill="1" applyBorder="1" applyAlignment="1">
      <alignment horizontal="center"/>
    </xf>
    <xf numFmtId="0" fontId="112" fillId="0" borderId="0" xfId="0" applyFont="1" applyAlignment="1">
      <alignment horizontal="left" vertical="top" wrapText="1"/>
    </xf>
    <xf numFmtId="0" fontId="112" fillId="0" borderId="0" xfId="0" applyFont="1" applyAlignment="1">
      <alignment vertical="top" wrapText="1"/>
    </xf>
    <xf numFmtId="0" fontId="10" fillId="0" borderId="0" xfId="0" applyFont="1" applyAlignment="1">
      <alignment vertical="top"/>
    </xf>
    <xf numFmtId="169" fontId="119" fillId="0" borderId="0" xfId="0" applyNumberFormat="1" applyFont="1" applyAlignment="1">
      <alignment/>
    </xf>
    <xf numFmtId="169" fontId="4" fillId="0" borderId="0" xfId="0" applyNumberFormat="1" applyFont="1" applyAlignment="1">
      <alignment/>
    </xf>
    <xf numFmtId="169" fontId="120" fillId="0" borderId="0" xfId="0" applyNumberFormat="1" applyFont="1" applyFill="1" applyAlignment="1">
      <alignment/>
    </xf>
    <xf numFmtId="169" fontId="4" fillId="0" borderId="0" xfId="0" applyNumberFormat="1" applyFont="1" applyFill="1" applyAlignment="1">
      <alignment/>
    </xf>
    <xf numFmtId="0" fontId="119" fillId="0" borderId="0" xfId="0" applyFont="1" applyAlignment="1">
      <alignment/>
    </xf>
    <xf numFmtId="0" fontId="120" fillId="0" borderId="0" xfId="0" applyFont="1" applyAlignment="1">
      <alignment/>
    </xf>
    <xf numFmtId="169" fontId="117" fillId="36" borderId="19" xfId="0" applyNumberFormat="1" applyFont="1" applyFill="1" applyBorder="1" applyAlignment="1">
      <alignment/>
    </xf>
    <xf numFmtId="0" fontId="117" fillId="36" borderId="20" xfId="0" applyFont="1" applyFill="1" applyBorder="1" applyAlignment="1">
      <alignment/>
    </xf>
    <xf numFmtId="169" fontId="117" fillId="36" borderId="21" xfId="0" applyNumberFormat="1" applyFont="1" applyFill="1" applyBorder="1" applyAlignment="1">
      <alignment/>
    </xf>
    <xf numFmtId="0" fontId="117" fillId="36" borderId="21" xfId="0" applyFont="1" applyFill="1" applyBorder="1" applyAlignment="1">
      <alignment/>
    </xf>
    <xf numFmtId="169" fontId="117" fillId="36" borderId="22" xfId="0" applyNumberFormat="1" applyFont="1" applyFill="1" applyBorder="1" applyAlignment="1">
      <alignment/>
    </xf>
    <xf numFmtId="169" fontId="4" fillId="0" borderId="0" xfId="0" applyNumberFormat="1" applyFont="1" applyFill="1" applyAlignment="1">
      <alignment horizontal="right"/>
    </xf>
    <xf numFmtId="169" fontId="120" fillId="0" borderId="0" xfId="0" applyNumberFormat="1" applyFont="1" applyAlignment="1">
      <alignment/>
    </xf>
    <xf numFmtId="169" fontId="120" fillId="36" borderId="23" xfId="0" applyNumberFormat="1" applyFont="1" applyFill="1" applyBorder="1" applyAlignment="1">
      <alignment/>
    </xf>
    <xf numFmtId="169" fontId="4" fillId="0" borderId="0" xfId="0" applyNumberFormat="1" applyFont="1" applyAlignment="1">
      <alignment horizontal="right"/>
    </xf>
    <xf numFmtId="169" fontId="11" fillId="0" borderId="23" xfId="0" applyNumberFormat="1" applyFont="1" applyBorder="1" applyAlignment="1">
      <alignment horizontal="right"/>
    </xf>
    <xf numFmtId="169" fontId="11" fillId="0" borderId="0" xfId="0" applyNumberFormat="1" applyFont="1" applyFill="1" applyAlignment="1">
      <alignment horizontal="right"/>
    </xf>
    <xf numFmtId="169" fontId="11" fillId="0" borderId="0" xfId="0" applyNumberFormat="1" applyFont="1" applyAlignment="1">
      <alignment horizontal="right"/>
    </xf>
    <xf numFmtId="169" fontId="4" fillId="0" borderId="23" xfId="0" applyNumberFormat="1" applyFont="1" applyBorder="1" applyAlignment="1">
      <alignment/>
    </xf>
    <xf numFmtId="169" fontId="119" fillId="0" borderId="23" xfId="0" applyNumberFormat="1" applyFont="1" applyBorder="1" applyAlignment="1">
      <alignment/>
    </xf>
    <xf numFmtId="169" fontId="120" fillId="0" borderId="23" xfId="0" applyNumberFormat="1" applyFont="1" applyBorder="1" applyAlignment="1">
      <alignment/>
    </xf>
    <xf numFmtId="169" fontId="119" fillId="36" borderId="23" xfId="0" applyNumberFormat="1" applyFont="1" applyFill="1" applyBorder="1" applyAlignment="1">
      <alignment/>
    </xf>
    <xf numFmtId="169" fontId="121" fillId="33" borderId="0" xfId="0" applyNumberFormat="1" applyFont="1" applyFill="1" applyAlignment="1">
      <alignment horizontal="center"/>
    </xf>
    <xf numFmtId="0" fontId="113" fillId="0" borderId="0" xfId="0" applyFont="1" applyAlignment="1">
      <alignment vertical="top"/>
    </xf>
    <xf numFmtId="0" fontId="119" fillId="0" borderId="0" xfId="0" applyFont="1" applyFill="1" applyAlignment="1">
      <alignment/>
    </xf>
    <xf numFmtId="0" fontId="111" fillId="34" borderId="0" xfId="0" applyFont="1" applyFill="1" applyAlignment="1">
      <alignment vertical="top"/>
    </xf>
    <xf numFmtId="166" fontId="114" fillId="0" borderId="0" xfId="0" applyNumberFormat="1" applyFont="1" applyAlignment="1">
      <alignment horizontal="center"/>
    </xf>
    <xf numFmtId="0" fontId="0" fillId="37" borderId="0" xfId="0" applyFill="1" applyAlignment="1">
      <alignment/>
    </xf>
    <xf numFmtId="3" fontId="0" fillId="0" borderId="0" xfId="0" applyNumberFormat="1" applyAlignment="1">
      <alignment/>
    </xf>
    <xf numFmtId="3" fontId="0" fillId="37" borderId="0" xfId="0" applyNumberFormat="1" applyFill="1" applyAlignment="1">
      <alignment/>
    </xf>
    <xf numFmtId="0" fontId="12" fillId="0" borderId="0" xfId="0" applyFont="1" applyAlignment="1">
      <alignment/>
    </xf>
    <xf numFmtId="0" fontId="13" fillId="0" borderId="0" xfId="0" applyFont="1" applyAlignment="1">
      <alignment vertical="top"/>
    </xf>
    <xf numFmtId="3" fontId="0" fillId="37" borderId="0" xfId="0" applyNumberFormat="1" applyFont="1" applyFill="1" applyAlignment="1">
      <alignment/>
    </xf>
    <xf numFmtId="1" fontId="0" fillId="0" borderId="0" xfId="0" applyNumberFormat="1" applyAlignment="1">
      <alignment/>
    </xf>
    <xf numFmtId="0" fontId="122" fillId="0" borderId="0" xfId="0" applyFont="1" applyAlignment="1">
      <alignment/>
    </xf>
    <xf numFmtId="0" fontId="0" fillId="37" borderId="0" xfId="0" applyFont="1" applyFill="1" applyAlignment="1">
      <alignment/>
    </xf>
    <xf numFmtId="3" fontId="3" fillId="0" borderId="0" xfId="0" applyNumberFormat="1" applyFont="1" applyAlignment="1">
      <alignment/>
    </xf>
    <xf numFmtId="0" fontId="4" fillId="0" borderId="0" xfId="0" applyFont="1" applyAlignment="1">
      <alignment/>
    </xf>
    <xf numFmtId="0" fontId="0" fillId="35" borderId="10" xfId="0" applyNumberFormat="1" applyFont="1" applyFill="1" applyBorder="1" applyAlignment="1">
      <alignment horizontal="center"/>
    </xf>
    <xf numFmtId="0" fontId="100" fillId="0" borderId="0" xfId="52" applyFill="1" applyAlignment="1" applyProtection="1">
      <alignment/>
      <protection/>
    </xf>
    <xf numFmtId="0" fontId="123" fillId="0" borderId="0" xfId="52" applyFont="1" applyFill="1" applyAlignment="1" applyProtection="1">
      <alignment/>
      <protection/>
    </xf>
    <xf numFmtId="0" fontId="123" fillId="38" borderId="0" xfId="52" applyFont="1" applyFill="1" applyAlignment="1" applyProtection="1">
      <alignment/>
      <protection/>
    </xf>
    <xf numFmtId="0" fontId="100" fillId="0" borderId="0" xfId="52" applyFill="1" applyAlignment="1" applyProtection="1">
      <alignment/>
      <protection/>
    </xf>
    <xf numFmtId="0" fontId="123" fillId="39" borderId="0" xfId="52" applyFont="1" applyFill="1" applyAlignment="1" applyProtection="1">
      <alignment/>
      <protection/>
    </xf>
    <xf numFmtId="0" fontId="0" fillId="0" borderId="0" xfId="0" applyFill="1" applyAlignment="1" applyProtection="1">
      <alignment/>
      <protection/>
    </xf>
    <xf numFmtId="0" fontId="123" fillId="40" borderId="0" xfId="0" applyFont="1" applyFill="1" applyAlignment="1" applyProtection="1">
      <alignment/>
      <protection/>
    </xf>
    <xf numFmtId="0" fontId="100" fillId="0" borderId="0" xfId="52" applyFill="1" applyAlignment="1" applyProtection="1">
      <alignment/>
      <protection/>
    </xf>
    <xf numFmtId="0" fontId="123" fillId="41" borderId="0" xfId="52" applyFont="1" applyFill="1" applyAlignment="1" applyProtection="1">
      <alignment/>
      <protection/>
    </xf>
    <xf numFmtId="0" fontId="100" fillId="0" borderId="0" xfId="52" applyFill="1" applyAlignment="1" applyProtection="1">
      <alignment/>
      <protection/>
    </xf>
    <xf numFmtId="0" fontId="123" fillId="4" borderId="0" xfId="52" applyFont="1" applyFill="1" applyAlignment="1" applyProtection="1">
      <alignment/>
      <protection/>
    </xf>
    <xf numFmtId="0" fontId="123" fillId="3" borderId="0" xfId="52" applyFont="1" applyFill="1" applyAlignment="1" applyProtection="1">
      <alignment/>
      <protection/>
    </xf>
    <xf numFmtId="0" fontId="123" fillId="2" borderId="0" xfId="52" applyFont="1" applyFill="1" applyAlignment="1" applyProtection="1">
      <alignment/>
      <protection/>
    </xf>
    <xf numFmtId="0" fontId="124" fillId="0" borderId="0" xfId="52" applyFont="1" applyFill="1" applyAlignment="1" applyProtection="1">
      <alignment/>
      <protection/>
    </xf>
    <xf numFmtId="0" fontId="123" fillId="3" borderId="0" xfId="0" applyFont="1" applyFill="1" applyAlignment="1" applyProtection="1">
      <alignment/>
      <protection/>
    </xf>
    <xf numFmtId="0" fontId="123" fillId="4" borderId="0" xfId="0" applyFont="1" applyFill="1" applyAlignment="1" applyProtection="1">
      <alignment/>
      <protection/>
    </xf>
    <xf numFmtId="0" fontId="100" fillId="0" borderId="0" xfId="52" applyFill="1" applyAlignment="1" applyProtection="1">
      <alignment/>
      <protection/>
    </xf>
    <xf numFmtId="0" fontId="100" fillId="0" borderId="0" xfId="52" applyFill="1" applyAlignment="1" applyProtection="1">
      <alignment/>
      <protection/>
    </xf>
    <xf numFmtId="0" fontId="123" fillId="5" borderId="0" xfId="52" applyFont="1" applyFill="1" applyAlignment="1" applyProtection="1">
      <alignment/>
      <protection/>
    </xf>
    <xf numFmtId="0" fontId="123" fillId="5" borderId="0" xfId="0" applyFont="1" applyFill="1" applyAlignment="1" applyProtection="1">
      <alignment/>
      <protection/>
    </xf>
    <xf numFmtId="0" fontId="123" fillId="6" borderId="0" xfId="52" applyFont="1" applyFill="1" applyAlignment="1" applyProtection="1">
      <alignment/>
      <protection/>
    </xf>
    <xf numFmtId="0" fontId="100" fillId="0" borderId="0" xfId="52" applyFill="1" applyAlignment="1" applyProtection="1">
      <alignment/>
      <protection/>
    </xf>
    <xf numFmtId="0" fontId="123" fillId="6" borderId="0" xfId="0" applyFont="1" applyFill="1" applyAlignment="1" applyProtection="1">
      <alignment/>
      <protection/>
    </xf>
    <xf numFmtId="0" fontId="125" fillId="0" borderId="0" xfId="0" applyFont="1" applyAlignment="1">
      <alignment/>
    </xf>
    <xf numFmtId="169" fontId="0" fillId="0" borderId="0" xfId="0" applyNumberFormat="1" applyAlignment="1">
      <alignment/>
    </xf>
    <xf numFmtId="0" fontId="0" fillId="33" borderId="0" xfId="0" applyFont="1" applyFill="1" applyAlignment="1">
      <alignment horizontal="center"/>
    </xf>
    <xf numFmtId="3" fontId="0" fillId="0" borderId="0" xfId="0" applyNumberFormat="1" applyFont="1" applyFill="1" applyAlignment="1">
      <alignment horizontal="center"/>
    </xf>
    <xf numFmtId="0" fontId="119" fillId="0" borderId="0" xfId="0" applyFont="1" applyFill="1" applyAlignment="1">
      <alignment horizontal="right"/>
    </xf>
    <xf numFmtId="0" fontId="126" fillId="0" borderId="0" xfId="0" applyFont="1" applyAlignment="1">
      <alignment/>
    </xf>
    <xf numFmtId="169" fontId="127" fillId="0" borderId="0" xfId="0" applyNumberFormat="1" applyFont="1" applyAlignment="1">
      <alignment/>
    </xf>
    <xf numFmtId="169" fontId="11" fillId="0" borderId="0" xfId="0" applyNumberFormat="1" applyFont="1" applyFill="1" applyBorder="1" applyAlignment="1">
      <alignment horizontal="right"/>
    </xf>
    <xf numFmtId="169" fontId="11" fillId="36" borderId="23" xfId="0" applyNumberFormat="1" applyFont="1" applyFill="1" applyBorder="1" applyAlignment="1">
      <alignment horizontal="right"/>
    </xf>
    <xf numFmtId="169" fontId="11" fillId="36" borderId="24" xfId="0" applyNumberFormat="1" applyFont="1" applyFill="1" applyBorder="1" applyAlignment="1">
      <alignment horizontal="right"/>
    </xf>
    <xf numFmtId="169" fontId="120" fillId="36" borderId="24" xfId="0" applyNumberFormat="1" applyFont="1" applyFill="1" applyBorder="1" applyAlignment="1">
      <alignment/>
    </xf>
    <xf numFmtId="169" fontId="128" fillId="0" borderId="0" xfId="0" applyNumberFormat="1" applyFont="1" applyAlignment="1">
      <alignment/>
    </xf>
    <xf numFmtId="169" fontId="128" fillId="0" borderId="23" xfId="0" applyNumberFormat="1" applyFont="1" applyBorder="1" applyAlignment="1">
      <alignment/>
    </xf>
    <xf numFmtId="169" fontId="119" fillId="0" borderId="0" xfId="0" applyNumberFormat="1" applyFont="1" applyFill="1" applyAlignment="1">
      <alignment/>
    </xf>
    <xf numFmtId="0" fontId="117" fillId="33" borderId="0" xfId="0" applyFont="1" applyFill="1" applyAlignment="1">
      <alignment horizontal="center"/>
    </xf>
    <xf numFmtId="3" fontId="0" fillId="33" borderId="0" xfId="0" applyNumberFormat="1" applyFont="1" applyFill="1" applyAlignment="1">
      <alignment horizontal="center" vertical="center"/>
    </xf>
    <xf numFmtId="0" fontId="129" fillId="34" borderId="0" xfId="0" applyFont="1" applyFill="1" applyAlignment="1">
      <alignment/>
    </xf>
    <xf numFmtId="0" fontId="117" fillId="0" borderId="0" xfId="0" applyFont="1" applyAlignment="1">
      <alignment/>
    </xf>
    <xf numFmtId="0" fontId="123" fillId="0" borderId="0" xfId="0" applyFont="1" applyFill="1" applyAlignment="1" applyProtection="1">
      <alignment/>
      <protection/>
    </xf>
    <xf numFmtId="0" fontId="130" fillId="33" borderId="0" xfId="0" applyFont="1" applyFill="1" applyAlignment="1">
      <alignment horizontal="center"/>
    </xf>
    <xf numFmtId="0" fontId="112" fillId="0" borderId="0" xfId="0" applyFont="1" applyAlignment="1">
      <alignment horizontal="left" indent="2"/>
    </xf>
    <xf numFmtId="9" fontId="117" fillId="34" borderId="0" xfId="0" applyNumberFormat="1" applyFont="1" applyFill="1" applyAlignment="1">
      <alignment horizontal="left"/>
    </xf>
    <xf numFmtId="0" fontId="115" fillId="0" borderId="0" xfId="0" applyFont="1" applyAlignment="1">
      <alignment horizontal="left" vertical="center"/>
    </xf>
    <xf numFmtId="0" fontId="113" fillId="0" borderId="0" xfId="0" applyFont="1" applyFill="1" applyAlignment="1">
      <alignment vertical="top"/>
    </xf>
    <xf numFmtId="3" fontId="2" fillId="0" borderId="0" xfId="0" applyNumberFormat="1" applyFont="1" applyFill="1" applyAlignment="1">
      <alignment horizontal="center" vertical="top"/>
    </xf>
    <xf numFmtId="9" fontId="131" fillId="0" borderId="0" xfId="0" applyNumberFormat="1" applyFont="1" applyFill="1" applyAlignment="1">
      <alignment horizontal="center"/>
    </xf>
    <xf numFmtId="0" fontId="117" fillId="0" borderId="0" xfId="0" applyFont="1" applyAlignment="1">
      <alignment horizontal="center"/>
    </xf>
    <xf numFmtId="0" fontId="114" fillId="33" borderId="0" xfId="0" applyFont="1" applyFill="1" applyAlignment="1">
      <alignment/>
    </xf>
    <xf numFmtId="0" fontId="117" fillId="33" borderId="0" xfId="0" applyFont="1" applyFill="1" applyAlignment="1">
      <alignment/>
    </xf>
    <xf numFmtId="0" fontId="112" fillId="0" borderId="0" xfId="0" applyFont="1" applyAlignment="1">
      <alignment horizontal="left" wrapText="1"/>
    </xf>
    <xf numFmtId="0" fontId="132" fillId="33" borderId="0" xfId="0" applyFont="1" applyFill="1" applyAlignment="1">
      <alignment vertical="top" wrapText="1"/>
    </xf>
    <xf numFmtId="0" fontId="117" fillId="0" borderId="0" xfId="0" applyFont="1" applyAlignment="1">
      <alignment wrapText="1"/>
    </xf>
    <xf numFmtId="0" fontId="133" fillId="33" borderId="0" xfId="0" applyFont="1" applyFill="1" applyAlignment="1">
      <alignment/>
    </xf>
    <xf numFmtId="0" fontId="117" fillId="0" borderId="0" xfId="0" applyFont="1" applyAlignment="1">
      <alignment horizontal="left"/>
    </xf>
    <xf numFmtId="0" fontId="11" fillId="0" borderId="0" xfId="0" applyFont="1" applyAlignment="1">
      <alignment/>
    </xf>
    <xf numFmtId="0" fontId="117" fillId="33" borderId="0" xfId="0" applyFont="1" applyFill="1" applyAlignment="1">
      <alignment wrapText="1"/>
    </xf>
    <xf numFmtId="0" fontId="132" fillId="33" borderId="0" xfId="0" applyFont="1" applyFill="1" applyAlignment="1">
      <alignment/>
    </xf>
    <xf numFmtId="0" fontId="132" fillId="33" borderId="0" xfId="0" applyFont="1" applyFill="1" applyAlignment="1">
      <alignment/>
    </xf>
    <xf numFmtId="3" fontId="114" fillId="33" borderId="0" xfId="0" applyNumberFormat="1" applyFont="1" applyFill="1" applyAlignment="1">
      <alignment horizontal="center" vertical="center"/>
    </xf>
    <xf numFmtId="0" fontId="134" fillId="0" borderId="0" xfId="0" applyFont="1" applyFill="1" applyAlignment="1" applyProtection="1">
      <alignment/>
      <protection/>
    </xf>
    <xf numFmtId="1" fontId="0" fillId="0" borderId="0" xfId="0" applyNumberFormat="1" applyFill="1" applyAlignment="1" applyProtection="1">
      <alignment/>
      <protection/>
    </xf>
    <xf numFmtId="0" fontId="0" fillId="0" borderId="0" xfId="0" applyFill="1" applyAlignment="1" applyProtection="1">
      <alignment wrapText="1"/>
      <protection/>
    </xf>
    <xf numFmtId="3" fontId="0" fillId="33" borderId="0" xfId="0" applyNumberFormat="1" applyFont="1" applyFill="1" applyAlignment="1">
      <alignment horizontal="left"/>
    </xf>
    <xf numFmtId="0" fontId="135" fillId="0" borderId="0" xfId="0" applyFont="1" applyAlignment="1">
      <alignment/>
    </xf>
    <xf numFmtId="3" fontId="119" fillId="0" borderId="0" xfId="0" applyNumberFormat="1" applyFont="1" applyAlignment="1">
      <alignment/>
    </xf>
    <xf numFmtId="0" fontId="136" fillId="0" borderId="0" xfId="0" applyFont="1" applyAlignment="1">
      <alignment/>
    </xf>
    <xf numFmtId="0" fontId="137" fillId="0" borderId="0" xfId="0" applyFont="1" applyAlignment="1">
      <alignment/>
    </xf>
    <xf numFmtId="3" fontId="120" fillId="0" borderId="0" xfId="0" applyNumberFormat="1" applyFont="1" applyAlignment="1">
      <alignment/>
    </xf>
    <xf numFmtId="0" fontId="120" fillId="0" borderId="0" xfId="0" applyFont="1" applyAlignment="1">
      <alignment horizontal="left"/>
    </xf>
    <xf numFmtId="179" fontId="119" fillId="0" borderId="0" xfId="0" applyNumberFormat="1" applyFont="1" applyFill="1" applyAlignment="1">
      <alignment/>
    </xf>
    <xf numFmtId="0" fontId="119" fillId="0" borderId="0" xfId="0" applyFont="1" applyAlignment="1">
      <alignment horizontal="left"/>
    </xf>
    <xf numFmtId="14" fontId="119" fillId="0" borderId="0" xfId="0" applyNumberFormat="1" applyFont="1" applyAlignment="1">
      <alignment/>
    </xf>
    <xf numFmtId="0" fontId="119" fillId="0" borderId="0" xfId="0" applyFont="1" applyAlignment="1">
      <alignment horizontal="center"/>
    </xf>
    <xf numFmtId="0" fontId="125" fillId="0" borderId="0" xfId="0" applyFont="1" applyFill="1" applyAlignment="1">
      <alignment horizontal="center"/>
    </xf>
    <xf numFmtId="0" fontId="14" fillId="34" borderId="23" xfId="0" applyFont="1" applyFill="1" applyBorder="1" applyAlignment="1">
      <alignment/>
    </xf>
    <xf numFmtId="0" fontId="113" fillId="34" borderId="0" xfId="0" applyFont="1" applyFill="1" applyBorder="1" applyAlignment="1">
      <alignment/>
    </xf>
    <xf numFmtId="0" fontId="120" fillId="34" borderId="0" xfId="0" applyFont="1" applyFill="1" applyBorder="1" applyAlignment="1">
      <alignment/>
    </xf>
    <xf numFmtId="3" fontId="11" fillId="41" borderId="23" xfId="0" applyNumberFormat="1" applyFont="1" applyFill="1" applyBorder="1" applyAlignment="1">
      <alignment horizontal="right"/>
    </xf>
    <xf numFmtId="3" fontId="11" fillId="41" borderId="24" xfId="0" applyNumberFormat="1" applyFont="1" applyFill="1" applyBorder="1" applyAlignment="1">
      <alignment horizontal="right"/>
    </xf>
    <xf numFmtId="169" fontId="11" fillId="41" borderId="23" xfId="0" applyNumberFormat="1" applyFont="1" applyFill="1" applyBorder="1" applyAlignment="1">
      <alignment horizontal="right"/>
    </xf>
    <xf numFmtId="169" fontId="11" fillId="41" borderId="24" xfId="0" applyNumberFormat="1" applyFont="1" applyFill="1" applyBorder="1" applyAlignment="1">
      <alignment horizontal="right"/>
    </xf>
    <xf numFmtId="0" fontId="11" fillId="34" borderId="23" xfId="0" applyFont="1" applyFill="1" applyBorder="1" applyAlignment="1">
      <alignment/>
    </xf>
    <xf numFmtId="0" fontId="120" fillId="34" borderId="0" xfId="0" applyFont="1" applyFill="1" applyBorder="1" applyAlignment="1">
      <alignment horizontal="right"/>
    </xf>
    <xf numFmtId="0" fontId="120" fillId="34" borderId="24" xfId="0" applyFont="1" applyFill="1" applyBorder="1" applyAlignment="1">
      <alignment horizontal="right"/>
    </xf>
    <xf numFmtId="169" fontId="11" fillId="34" borderId="23" xfId="0" applyNumberFormat="1" applyFont="1" applyFill="1" applyBorder="1" applyAlignment="1">
      <alignment horizontal="right"/>
    </xf>
    <xf numFmtId="169" fontId="11" fillId="34" borderId="0" xfId="0" applyNumberFormat="1" applyFont="1" applyFill="1" applyBorder="1" applyAlignment="1">
      <alignment horizontal="right"/>
    </xf>
    <xf numFmtId="169" fontId="11" fillId="34" borderId="24" xfId="0" applyNumberFormat="1" applyFont="1" applyFill="1" applyBorder="1" applyAlignment="1">
      <alignment horizontal="right"/>
    </xf>
    <xf numFmtId="169" fontId="11" fillId="36" borderId="23" xfId="0" applyNumberFormat="1" applyFont="1" applyFill="1" applyBorder="1" applyAlignment="1">
      <alignment horizontal="left"/>
    </xf>
    <xf numFmtId="1" fontId="11" fillId="34" borderId="23" xfId="0" applyNumberFormat="1" applyFont="1" applyFill="1" applyBorder="1" applyAlignment="1">
      <alignment horizontal="right"/>
    </xf>
    <xf numFmtId="1" fontId="11" fillId="34" borderId="0" xfId="0" applyNumberFormat="1" applyFont="1" applyFill="1" applyBorder="1" applyAlignment="1">
      <alignment horizontal="right"/>
    </xf>
    <xf numFmtId="1" fontId="11" fillId="34" borderId="24" xfId="0" applyNumberFormat="1" applyFont="1" applyFill="1" applyBorder="1" applyAlignment="1">
      <alignment horizontal="right"/>
    </xf>
    <xf numFmtId="169" fontId="120" fillId="41" borderId="23" xfId="0" applyNumberFormat="1" applyFont="1" applyFill="1" applyBorder="1" applyAlignment="1">
      <alignment/>
    </xf>
    <xf numFmtId="169" fontId="120" fillId="41" borderId="24" xfId="0" applyNumberFormat="1" applyFont="1" applyFill="1" applyBorder="1" applyAlignment="1">
      <alignment/>
    </xf>
    <xf numFmtId="169" fontId="11" fillId="34" borderId="23" xfId="0" applyNumberFormat="1" applyFont="1" applyFill="1" applyBorder="1" applyAlignment="1">
      <alignment/>
    </xf>
    <xf numFmtId="167" fontId="120" fillId="34" borderId="0" xfId="0" applyNumberFormat="1" applyFont="1" applyFill="1" applyBorder="1" applyAlignment="1">
      <alignment/>
    </xf>
    <xf numFmtId="167" fontId="120" fillId="34" borderId="24" xfId="0" applyNumberFormat="1" applyFont="1" applyFill="1" applyBorder="1" applyAlignment="1">
      <alignment/>
    </xf>
    <xf numFmtId="169" fontId="119" fillId="41" borderId="23" xfId="0" applyNumberFormat="1" applyFont="1" applyFill="1" applyBorder="1" applyAlignment="1">
      <alignment/>
    </xf>
    <xf numFmtId="185" fontId="120" fillId="34" borderId="0" xfId="0" applyNumberFormat="1" applyFont="1" applyFill="1" applyBorder="1" applyAlignment="1">
      <alignment/>
    </xf>
    <xf numFmtId="169" fontId="113" fillId="34" borderId="0" xfId="0" applyNumberFormat="1" applyFont="1" applyFill="1" applyBorder="1" applyAlignment="1">
      <alignment/>
    </xf>
    <xf numFmtId="0" fontId="120" fillId="34" borderId="24" xfId="0" applyFont="1" applyFill="1" applyBorder="1" applyAlignment="1">
      <alignment/>
    </xf>
    <xf numFmtId="169" fontId="119" fillId="0" borderId="23" xfId="0" applyNumberFormat="1" applyFont="1" applyFill="1" applyBorder="1" applyAlignment="1">
      <alignment/>
    </xf>
    <xf numFmtId="169" fontId="11" fillId="34" borderId="0" xfId="0" applyNumberFormat="1" applyFont="1" applyFill="1" applyBorder="1" applyAlignment="1">
      <alignment/>
    </xf>
    <xf numFmtId="169" fontId="11" fillId="34" borderId="24" xfId="0" applyNumberFormat="1" applyFont="1" applyFill="1" applyBorder="1" applyAlignment="1">
      <alignment/>
    </xf>
    <xf numFmtId="169" fontId="128" fillId="0" borderId="23" xfId="0" applyNumberFormat="1" applyFont="1" applyFill="1" applyBorder="1" applyAlignment="1">
      <alignment/>
    </xf>
    <xf numFmtId="169" fontId="128" fillId="0" borderId="0" xfId="0" applyNumberFormat="1" applyFont="1" applyFill="1" applyAlignment="1">
      <alignment/>
    </xf>
    <xf numFmtId="3" fontId="117" fillId="0" borderId="0" xfId="0" applyNumberFormat="1" applyFont="1" applyFill="1" applyAlignment="1">
      <alignment horizontal="center" vertical="top"/>
    </xf>
    <xf numFmtId="0" fontId="0" fillId="0" borderId="0" xfId="0" applyFont="1" applyFill="1" applyAlignment="1">
      <alignment/>
    </xf>
    <xf numFmtId="0" fontId="3" fillId="33" borderId="0" xfId="0" applyFont="1" applyFill="1" applyAlignment="1">
      <alignment vertical="top" wrapText="1"/>
    </xf>
    <xf numFmtId="167" fontId="112" fillId="0" borderId="0" xfId="0" applyNumberFormat="1" applyFont="1" applyAlignment="1">
      <alignment/>
    </xf>
    <xf numFmtId="0" fontId="2" fillId="33" borderId="0" xfId="0" applyFont="1" applyFill="1" applyAlignment="1">
      <alignment wrapText="1"/>
    </xf>
    <xf numFmtId="0" fontId="3" fillId="33" borderId="0" xfId="0" applyFont="1" applyFill="1" applyAlignment="1">
      <alignment wrapText="1"/>
    </xf>
    <xf numFmtId="0" fontId="3" fillId="33" borderId="0" xfId="0" applyFont="1" applyFill="1" applyBorder="1" applyAlignment="1">
      <alignment vertical="center"/>
    </xf>
    <xf numFmtId="3" fontId="117" fillId="33" borderId="18" xfId="0" applyNumberFormat="1" applyFont="1" applyFill="1" applyBorder="1" applyAlignment="1">
      <alignment horizontal="center"/>
    </xf>
    <xf numFmtId="0" fontId="112" fillId="0" borderId="0" xfId="0" applyFont="1" applyFill="1" applyAlignment="1">
      <alignment horizontal="left" indent="3"/>
    </xf>
    <xf numFmtId="0" fontId="138" fillId="0" borderId="25" xfId="0" applyFont="1" applyBorder="1" applyAlignment="1">
      <alignment horizontal="center"/>
    </xf>
    <xf numFmtId="0" fontId="2" fillId="0" borderId="11" xfId="0" applyFont="1" applyBorder="1" applyAlignment="1">
      <alignment horizontal="center"/>
    </xf>
    <xf numFmtId="0" fontId="3" fillId="33" borderId="0" xfId="0" applyFont="1" applyFill="1" applyAlignment="1">
      <alignment vertical="top" wrapText="1"/>
    </xf>
    <xf numFmtId="0" fontId="16" fillId="0" borderId="0" xfId="0" applyFont="1" applyAlignment="1">
      <alignment/>
    </xf>
    <xf numFmtId="179" fontId="0" fillId="0" borderId="0" xfId="0" applyNumberFormat="1" applyAlignment="1">
      <alignment/>
    </xf>
    <xf numFmtId="173" fontId="118" fillId="0" borderId="0" xfId="0" applyNumberFormat="1" applyFont="1" applyFill="1" applyAlignment="1">
      <alignment horizontal="center" vertical="top"/>
    </xf>
    <xf numFmtId="0" fontId="94" fillId="0" borderId="0" xfId="45" applyAlignment="1">
      <alignment/>
    </xf>
    <xf numFmtId="0" fontId="16" fillId="34" borderId="0" xfId="0" applyFont="1" applyFill="1" applyAlignment="1">
      <alignment/>
    </xf>
    <xf numFmtId="22" fontId="17" fillId="0" borderId="0" xfId="0" applyNumberFormat="1" applyFont="1" applyFill="1" applyAlignment="1">
      <alignment horizontal="left"/>
    </xf>
    <xf numFmtId="0" fontId="3" fillId="34" borderId="0" xfId="0" applyFont="1" applyFill="1" applyAlignment="1">
      <alignment/>
    </xf>
    <xf numFmtId="0" fontId="18" fillId="33" borderId="0" xfId="0" applyFont="1" applyFill="1" applyAlignment="1">
      <alignment/>
    </xf>
    <xf numFmtId="0" fontId="2" fillId="33" borderId="0" xfId="0" applyFont="1" applyFill="1" applyAlignment="1">
      <alignment horizontal="center"/>
    </xf>
    <xf numFmtId="0" fontId="8" fillId="33" borderId="0" xfId="0" applyFont="1" applyFill="1" applyAlignment="1">
      <alignment horizontal="center"/>
    </xf>
    <xf numFmtId="0" fontId="0" fillId="33" borderId="0" xfId="0" applyFont="1" applyFill="1" applyAlignment="1">
      <alignment/>
    </xf>
    <xf numFmtId="0" fontId="3" fillId="34" borderId="0" xfId="0" applyFont="1" applyFill="1" applyAlignment="1">
      <alignment vertical="top" wrapText="1"/>
    </xf>
    <xf numFmtId="0" fontId="3" fillId="33" borderId="0" xfId="0" applyFont="1" applyFill="1" applyBorder="1" applyAlignment="1">
      <alignment vertical="top"/>
    </xf>
    <xf numFmtId="0" fontId="2" fillId="33" borderId="0" xfId="0" applyFont="1" applyFill="1" applyAlignment="1">
      <alignment/>
    </xf>
    <xf numFmtId="0" fontId="16" fillId="33" borderId="0" xfId="0" applyFont="1" applyFill="1" applyAlignment="1">
      <alignment/>
    </xf>
    <xf numFmtId="3" fontId="0" fillId="33" borderId="0" xfId="0" applyNumberFormat="1" applyFont="1" applyFill="1" applyAlignment="1">
      <alignment/>
    </xf>
    <xf numFmtId="0" fontId="16" fillId="0" borderId="0" xfId="0" applyFont="1" applyAlignment="1" applyProtection="1">
      <alignment horizontal="left"/>
      <protection/>
    </xf>
    <xf numFmtId="0" fontId="19" fillId="0" borderId="0" xfId="0" applyFont="1" applyAlignment="1">
      <alignment/>
    </xf>
    <xf numFmtId="0" fontId="18" fillId="0" borderId="0" xfId="0" applyFont="1" applyFill="1" applyAlignment="1">
      <alignment/>
    </xf>
    <xf numFmtId="0" fontId="9" fillId="0" borderId="0" xfId="0" applyFont="1" applyAlignment="1" applyProtection="1">
      <alignment horizontal="left"/>
      <protection/>
    </xf>
    <xf numFmtId="1" fontId="139" fillId="0" borderId="0" xfId="0" applyNumberFormat="1" applyFont="1" applyFill="1" applyBorder="1" applyAlignment="1">
      <alignment horizontal="right" vertical="center"/>
    </xf>
    <xf numFmtId="1" fontId="140" fillId="0" borderId="0" xfId="0" applyNumberFormat="1" applyFont="1" applyFill="1" applyBorder="1" applyAlignment="1" applyProtection="1">
      <alignment/>
      <protection/>
    </xf>
    <xf numFmtId="0" fontId="140" fillId="0" borderId="0" xfId="0" applyFont="1" applyFill="1" applyBorder="1" applyAlignment="1" applyProtection="1">
      <alignment/>
      <protection/>
    </xf>
    <xf numFmtId="0" fontId="141" fillId="0" borderId="0" xfId="0" applyFont="1" applyFill="1" applyAlignment="1">
      <alignment/>
    </xf>
    <xf numFmtId="0" fontId="142" fillId="0" borderId="0" xfId="0" applyFont="1" applyFill="1" applyBorder="1" applyAlignment="1">
      <alignment horizontal="center"/>
    </xf>
    <xf numFmtId="1" fontId="141" fillId="0" borderId="0" xfId="0" applyNumberFormat="1" applyFont="1" applyFill="1" applyAlignment="1">
      <alignment/>
    </xf>
    <xf numFmtId="1" fontId="141" fillId="0" borderId="0" xfId="0" applyNumberFormat="1" applyFont="1" applyFill="1" applyBorder="1" applyAlignment="1">
      <alignment/>
    </xf>
    <xf numFmtId="0" fontId="143" fillId="0" borderId="0" xfId="0" applyFont="1" applyFill="1" applyBorder="1" applyAlignment="1">
      <alignment horizontal="center"/>
    </xf>
    <xf numFmtId="0" fontId="142" fillId="0" borderId="0" xfId="0" applyFont="1" applyFill="1" applyBorder="1" applyAlignment="1">
      <alignment/>
    </xf>
    <xf numFmtId="174" fontId="91" fillId="0" borderId="0" xfId="34" applyNumberFormat="1" applyFont="1" applyFill="1" applyBorder="1" applyAlignment="1">
      <alignment horizontal="center"/>
    </xf>
    <xf numFmtId="0" fontId="91" fillId="0" borderId="0" xfId="34" applyFont="1" applyFill="1" applyBorder="1" applyAlignment="1">
      <alignment horizontal="center"/>
    </xf>
    <xf numFmtId="0" fontId="91" fillId="0" borderId="0" xfId="35" applyFont="1" applyFill="1" applyBorder="1" applyAlignment="1">
      <alignment horizontal="center"/>
    </xf>
    <xf numFmtId="0" fontId="91" fillId="0" borderId="0" xfId="40" applyFont="1" applyFill="1" applyBorder="1" applyAlignment="1" quotePrefix="1">
      <alignment horizontal="center"/>
    </xf>
    <xf numFmtId="0" fontId="144" fillId="0" borderId="0" xfId="0" applyFont="1" applyFill="1" applyAlignment="1">
      <alignment/>
    </xf>
    <xf numFmtId="3" fontId="140" fillId="0" borderId="0" xfId="0" applyNumberFormat="1" applyFont="1" applyFill="1" applyBorder="1" applyAlignment="1" applyProtection="1">
      <alignment horizontal="center"/>
      <protection/>
    </xf>
    <xf numFmtId="1" fontId="139" fillId="0" borderId="0" xfId="0" applyNumberFormat="1" applyFont="1" applyFill="1" applyBorder="1" applyAlignment="1">
      <alignment horizontal="right"/>
    </xf>
    <xf numFmtId="0" fontId="3" fillId="33" borderId="0" xfId="0" applyFont="1" applyFill="1" applyAlignment="1">
      <alignment vertical="top" wrapText="1"/>
    </xf>
    <xf numFmtId="169" fontId="117" fillId="36" borderId="26" xfId="0" applyNumberFormat="1" applyFont="1" applyFill="1" applyBorder="1" applyAlignment="1">
      <alignment/>
    </xf>
    <xf numFmtId="0" fontId="117" fillId="36" borderId="26" xfId="0" applyFont="1" applyFill="1" applyBorder="1" applyAlignment="1">
      <alignment/>
    </xf>
    <xf numFmtId="169" fontId="117" fillId="36" borderId="27" xfId="0" applyNumberFormat="1" applyFont="1" applyFill="1" applyBorder="1" applyAlignment="1">
      <alignment/>
    </xf>
    <xf numFmtId="0" fontId="145" fillId="36" borderId="19" xfId="0" applyFont="1" applyFill="1" applyBorder="1" applyAlignment="1">
      <alignment/>
    </xf>
    <xf numFmtId="169" fontId="132" fillId="36" borderId="26" xfId="0" applyNumberFormat="1" applyFont="1" applyFill="1" applyBorder="1" applyAlignment="1">
      <alignment/>
    </xf>
    <xf numFmtId="169" fontId="132" fillId="36" borderId="27" xfId="0" applyNumberFormat="1" applyFont="1" applyFill="1" applyBorder="1" applyAlignment="1">
      <alignment/>
    </xf>
    <xf numFmtId="0" fontId="145" fillId="36" borderId="20" xfId="0" applyFont="1" applyFill="1" applyBorder="1" applyAlignment="1">
      <alignment/>
    </xf>
    <xf numFmtId="169" fontId="114" fillId="36" borderId="21" xfId="0" applyNumberFormat="1" applyFont="1" applyFill="1" applyBorder="1" applyAlignment="1">
      <alignment/>
    </xf>
    <xf numFmtId="169" fontId="114" fillId="36" borderId="22" xfId="0" applyNumberFormat="1" applyFont="1" applyFill="1" applyBorder="1" applyAlignment="1">
      <alignment/>
    </xf>
    <xf numFmtId="169" fontId="120" fillId="0" borderId="0" xfId="0" applyNumberFormat="1" applyFont="1" applyBorder="1" applyAlignment="1">
      <alignment/>
    </xf>
    <xf numFmtId="0" fontId="0" fillId="42" borderId="0" xfId="0" applyFill="1" applyAlignment="1">
      <alignment/>
    </xf>
    <xf numFmtId="0" fontId="0" fillId="0" borderId="0" xfId="0" applyAlignment="1">
      <alignment horizontal="left"/>
    </xf>
    <xf numFmtId="169" fontId="11" fillId="0" borderId="0" xfId="0" applyNumberFormat="1" applyFont="1" applyFill="1" applyBorder="1" applyAlignment="1">
      <alignment horizontal="left"/>
    </xf>
    <xf numFmtId="6" fontId="11" fillId="0" borderId="0" xfId="0" applyNumberFormat="1" applyFont="1" applyFill="1" applyBorder="1" applyAlignment="1">
      <alignment horizontal="left"/>
    </xf>
    <xf numFmtId="3" fontId="117" fillId="33" borderId="0" xfId="0" applyNumberFormat="1" applyFont="1" applyFill="1" applyAlignment="1">
      <alignment horizontal="center" vertical="top"/>
    </xf>
    <xf numFmtId="3" fontId="117" fillId="33" borderId="0" xfId="0" applyNumberFormat="1" applyFont="1" applyFill="1" applyAlignment="1">
      <alignment horizontal="center"/>
    </xf>
    <xf numFmtId="3" fontId="114" fillId="0" borderId="0" xfId="0" applyNumberFormat="1" applyFont="1" applyAlignment="1">
      <alignment/>
    </xf>
    <xf numFmtId="3" fontId="8" fillId="0" borderId="0" xfId="0" applyNumberFormat="1" applyFont="1" applyFill="1" applyAlignment="1">
      <alignment horizontal="center" vertical="top"/>
    </xf>
    <xf numFmtId="0" fontId="112" fillId="0" borderId="0" xfId="0" applyFont="1" applyAlignment="1">
      <alignment horizontal="left" vertical="top" indent="2"/>
    </xf>
    <xf numFmtId="3" fontId="114" fillId="0" borderId="0" xfId="0" applyNumberFormat="1" applyFont="1" applyAlignment="1" quotePrefix="1">
      <alignment/>
    </xf>
    <xf numFmtId="1" fontId="112" fillId="0" borderId="0" xfId="0" applyNumberFormat="1" applyFont="1" applyAlignment="1">
      <alignment horizontal="center"/>
    </xf>
    <xf numFmtId="1" fontId="139" fillId="0" borderId="24" xfId="0" applyNumberFormat="1" applyFont="1" applyFill="1" applyBorder="1" applyAlignment="1">
      <alignment horizontal="right" vertical="center"/>
    </xf>
    <xf numFmtId="0" fontId="142" fillId="0" borderId="0" xfId="0" applyFont="1" applyFill="1" applyAlignment="1">
      <alignment/>
    </xf>
    <xf numFmtId="174" fontId="141" fillId="0" borderId="21" xfId="0" applyNumberFormat="1" applyFont="1" applyFill="1" applyBorder="1" applyAlignment="1" quotePrefix="1">
      <alignment/>
    </xf>
    <xf numFmtId="174" fontId="141" fillId="0" borderId="21" xfId="0" applyNumberFormat="1" applyFont="1" applyFill="1" applyBorder="1" applyAlignment="1">
      <alignment/>
    </xf>
    <xf numFmtId="0" fontId="91" fillId="0" borderId="0" xfId="34" applyFont="1" applyFill="1" applyAlignment="1">
      <alignment horizontal="center"/>
    </xf>
    <xf numFmtId="0" fontId="91" fillId="0" borderId="0" xfId="34" applyFont="1" applyFill="1" applyAlignment="1">
      <alignment horizontal="left"/>
    </xf>
    <xf numFmtId="1" fontId="140" fillId="0" borderId="0" xfId="0" applyNumberFormat="1" applyFont="1" applyFill="1" applyAlignment="1" applyProtection="1">
      <alignment/>
      <protection/>
    </xf>
    <xf numFmtId="3" fontId="140" fillId="0" borderId="0" xfId="0" applyNumberFormat="1" applyFont="1" applyFill="1" applyAlignment="1" applyProtection="1">
      <alignment horizontal="center"/>
      <protection/>
    </xf>
    <xf numFmtId="0" fontId="140" fillId="0" borderId="0" xfId="0" applyFont="1" applyFill="1" applyBorder="1" applyAlignment="1" applyProtection="1" quotePrefix="1">
      <alignment/>
      <protection/>
    </xf>
    <xf numFmtId="1" fontId="140" fillId="0" borderId="0" xfId="0" applyNumberFormat="1" applyFont="1" applyFill="1" applyAlignment="1" applyProtection="1">
      <alignment horizontal="left"/>
      <protection/>
    </xf>
    <xf numFmtId="1" fontId="140" fillId="0" borderId="0" xfId="0" applyNumberFormat="1" applyFont="1" applyFill="1" applyBorder="1" applyAlignment="1" applyProtection="1">
      <alignment horizontal="center"/>
      <protection/>
    </xf>
    <xf numFmtId="175" fontId="140" fillId="0" borderId="0" xfId="0" applyNumberFormat="1" applyFont="1" applyFill="1" applyBorder="1" applyAlignment="1" applyProtection="1" quotePrefix="1">
      <alignment/>
      <protection/>
    </xf>
    <xf numFmtId="175" fontId="140" fillId="0" borderId="0" xfId="0" applyNumberFormat="1" applyFont="1" applyFill="1" applyBorder="1" applyAlignment="1" applyProtection="1">
      <alignment/>
      <protection/>
    </xf>
    <xf numFmtId="0" fontId="8" fillId="0" borderId="0" xfId="0" applyFont="1" applyAlignment="1">
      <alignment/>
    </xf>
    <xf numFmtId="0" fontId="7" fillId="0" borderId="0" xfId="0" applyFont="1" applyAlignment="1">
      <alignment/>
    </xf>
    <xf numFmtId="0" fontId="21" fillId="0" borderId="0" xfId="0" applyFont="1" applyAlignment="1">
      <alignment/>
    </xf>
    <xf numFmtId="0" fontId="0" fillId="0" borderId="0" xfId="0" applyFill="1" applyAlignment="1">
      <alignment/>
    </xf>
    <xf numFmtId="0" fontId="22" fillId="0" borderId="0" xfId="0" applyFont="1" applyAlignment="1">
      <alignment/>
    </xf>
    <xf numFmtId="0" fontId="23" fillId="0" borderId="0" xfId="0" applyFont="1" applyAlignment="1">
      <alignment/>
    </xf>
    <xf numFmtId="0" fontId="3" fillId="33" borderId="0" xfId="0" applyFont="1" applyFill="1" applyAlignment="1">
      <alignment vertical="top" wrapText="1"/>
    </xf>
    <xf numFmtId="3" fontId="114" fillId="33" borderId="10" xfId="0" applyNumberFormat="1" applyFont="1" applyFill="1" applyBorder="1" applyAlignment="1">
      <alignment horizontal="center"/>
    </xf>
    <xf numFmtId="3" fontId="114" fillId="33" borderId="18" xfId="0" applyNumberFormat="1" applyFont="1" applyFill="1" applyBorder="1" applyAlignment="1">
      <alignment horizontal="center"/>
    </xf>
    <xf numFmtId="0" fontId="114" fillId="35" borderId="11" xfId="0" applyFont="1" applyFill="1" applyBorder="1" applyAlignment="1">
      <alignment horizontal="center"/>
    </xf>
    <xf numFmtId="3" fontId="114" fillId="33" borderId="17" xfId="0" applyNumberFormat="1" applyFont="1" applyFill="1" applyBorder="1" applyAlignment="1">
      <alignment horizontal="center"/>
    </xf>
    <xf numFmtId="0" fontId="114" fillId="0" borderId="0" xfId="0" applyFont="1" applyAlignment="1">
      <alignment horizontal="center"/>
    </xf>
    <xf numFmtId="0" fontId="114" fillId="34" borderId="28" xfId="0" applyFont="1" applyFill="1" applyBorder="1" applyAlignment="1">
      <alignment horizontal="center"/>
    </xf>
    <xf numFmtId="0" fontId="114" fillId="35" borderId="26" xfId="0" applyFont="1" applyFill="1" applyBorder="1" applyAlignment="1">
      <alignment horizontal="center"/>
    </xf>
    <xf numFmtId="0" fontId="114" fillId="35" borderId="0" xfId="0" applyFont="1" applyFill="1" applyBorder="1" applyAlignment="1">
      <alignment horizontal="center"/>
    </xf>
    <xf numFmtId="0" fontId="114" fillId="35" borderId="21" xfId="0" applyFont="1" applyFill="1" applyBorder="1" applyAlignment="1">
      <alignment horizontal="center"/>
    </xf>
    <xf numFmtId="3" fontId="117" fillId="33" borderId="17" xfId="0" applyNumberFormat="1" applyFont="1" applyFill="1" applyBorder="1" applyAlignment="1">
      <alignment horizontal="center"/>
    </xf>
    <xf numFmtId="3" fontId="117" fillId="0" borderId="0" xfId="0" applyNumberFormat="1" applyFont="1" applyFill="1" applyBorder="1" applyAlignment="1">
      <alignment horizontal="center"/>
    </xf>
    <xf numFmtId="3" fontId="117" fillId="33" borderId="10" xfId="0" applyNumberFormat="1" applyFont="1" applyFill="1" applyBorder="1" applyAlignment="1">
      <alignment horizontal="center"/>
    </xf>
    <xf numFmtId="0" fontId="114" fillId="35" borderId="28" xfId="0" applyFont="1" applyFill="1" applyBorder="1" applyAlignment="1">
      <alignment horizontal="center"/>
    </xf>
    <xf numFmtId="3" fontId="117" fillId="0" borderId="0" xfId="0" applyNumberFormat="1" applyFont="1" applyFill="1" applyAlignment="1">
      <alignment horizontal="center"/>
    </xf>
    <xf numFmtId="0" fontId="117" fillId="0" borderId="0" xfId="0" applyFont="1" applyFill="1" applyAlignment="1">
      <alignment/>
    </xf>
    <xf numFmtId="0" fontId="114" fillId="0" borderId="0" xfId="0" applyFont="1" applyFill="1" applyAlignment="1">
      <alignment/>
    </xf>
    <xf numFmtId="166" fontId="117" fillId="37" borderId="0" xfId="0" applyNumberFormat="1" applyFont="1" applyFill="1" applyAlignment="1">
      <alignment horizontal="center"/>
    </xf>
    <xf numFmtId="0" fontId="146" fillId="0" borderId="0" xfId="0" applyFont="1" applyAlignment="1">
      <alignment/>
    </xf>
    <xf numFmtId="3" fontId="146" fillId="0" borderId="0" xfId="0" applyNumberFormat="1" applyFont="1" applyAlignment="1">
      <alignment/>
    </xf>
    <xf numFmtId="3" fontId="117" fillId="0" borderId="25" xfId="0" applyNumberFormat="1" applyFont="1" applyBorder="1" applyAlignment="1" applyProtection="1">
      <alignment horizontal="center"/>
      <protection/>
    </xf>
    <xf numFmtId="3" fontId="117" fillId="0" borderId="29" xfId="0" applyNumberFormat="1" applyFont="1" applyBorder="1" applyAlignment="1" applyProtection="1">
      <alignment horizontal="center"/>
      <protection/>
    </xf>
    <xf numFmtId="3" fontId="117" fillId="0" borderId="30" xfId="0" applyNumberFormat="1" applyFont="1" applyBorder="1" applyAlignment="1" applyProtection="1">
      <alignment horizontal="center"/>
      <protection/>
    </xf>
    <xf numFmtId="3" fontId="114" fillId="0" borderId="29" xfId="0" applyNumberFormat="1" applyFont="1" applyBorder="1" applyAlignment="1" applyProtection="1">
      <alignment horizontal="center"/>
      <protection/>
    </xf>
    <xf numFmtId="168" fontId="114" fillId="35" borderId="10" xfId="0" applyNumberFormat="1" applyFont="1" applyFill="1" applyBorder="1" applyAlignment="1" applyProtection="1">
      <alignment/>
      <protection/>
    </xf>
    <xf numFmtId="3" fontId="114" fillId="0" borderId="18" xfId="0" applyNumberFormat="1" applyFont="1" applyBorder="1" applyAlignment="1">
      <alignment horizontal="center"/>
    </xf>
    <xf numFmtId="168" fontId="114" fillId="35" borderId="18" xfId="0" applyNumberFormat="1" applyFont="1" applyFill="1" applyBorder="1" applyAlignment="1" applyProtection="1">
      <alignment/>
      <protection/>
    </xf>
    <xf numFmtId="168" fontId="114" fillId="35" borderId="17" xfId="0" applyNumberFormat="1" applyFont="1" applyFill="1" applyBorder="1" applyAlignment="1" applyProtection="1">
      <alignment/>
      <protection/>
    </xf>
    <xf numFmtId="0" fontId="114" fillId="0" borderId="24" xfId="0" applyFont="1" applyBorder="1" applyAlignment="1">
      <alignment horizontal="center"/>
    </xf>
    <xf numFmtId="168" fontId="114" fillId="0" borderId="0" xfId="0" applyNumberFormat="1" applyFont="1" applyAlignment="1" applyProtection="1">
      <alignment/>
      <protection/>
    </xf>
    <xf numFmtId="0" fontId="114" fillId="0" borderId="18" xfId="0" applyFont="1" applyBorder="1" applyAlignment="1">
      <alignment/>
    </xf>
    <xf numFmtId="0" fontId="114" fillId="0" borderId="24" xfId="0" applyFont="1" applyBorder="1" applyAlignment="1">
      <alignment/>
    </xf>
    <xf numFmtId="0" fontId="114" fillId="35" borderId="10" xfId="0" applyFont="1" applyFill="1" applyBorder="1" applyAlignment="1">
      <alignment/>
    </xf>
    <xf numFmtId="0" fontId="114" fillId="35" borderId="18" xfId="0" applyFont="1" applyFill="1" applyBorder="1" applyAlignment="1">
      <alignment/>
    </xf>
    <xf numFmtId="0" fontId="114" fillId="35" borderId="17" xfId="0" applyFont="1" applyFill="1" applyBorder="1" applyAlignment="1">
      <alignment/>
    </xf>
    <xf numFmtId="0" fontId="117" fillId="35" borderId="18" xfId="0" applyFont="1" applyFill="1" applyBorder="1" applyAlignment="1">
      <alignment/>
    </xf>
    <xf numFmtId="0" fontId="114" fillId="0" borderId="17" xfId="0" applyFont="1" applyFill="1" applyBorder="1" applyAlignment="1">
      <alignment/>
    </xf>
    <xf numFmtId="0" fontId="132" fillId="0" borderId="0" xfId="0" applyFont="1" applyAlignment="1">
      <alignment/>
    </xf>
    <xf numFmtId="3" fontId="114" fillId="0" borderId="24" xfId="0" applyNumberFormat="1" applyFont="1" applyBorder="1" applyAlignment="1">
      <alignment horizontal="center"/>
    </xf>
    <xf numFmtId="0" fontId="114" fillId="35" borderId="0" xfId="0" applyFont="1" applyFill="1" applyAlignment="1">
      <alignment/>
    </xf>
    <xf numFmtId="0" fontId="114" fillId="35" borderId="11" xfId="0" applyFont="1" applyFill="1" applyBorder="1" applyAlignment="1">
      <alignment/>
    </xf>
    <xf numFmtId="3" fontId="117" fillId="0" borderId="24" xfId="0" applyNumberFormat="1" applyFont="1" applyBorder="1" applyAlignment="1">
      <alignment horizontal="center"/>
    </xf>
    <xf numFmtId="167" fontId="117" fillId="0" borderId="24" xfId="0" applyNumberFormat="1" applyFont="1" applyBorder="1" applyAlignment="1">
      <alignment horizontal="center"/>
    </xf>
    <xf numFmtId="1" fontId="117" fillId="0" borderId="31" xfId="0" applyNumberFormat="1" applyFont="1" applyBorder="1" applyAlignment="1">
      <alignment horizontal="center"/>
    </xf>
    <xf numFmtId="3" fontId="114" fillId="0" borderId="29" xfId="0" applyNumberFormat="1" applyFont="1" applyBorder="1" applyAlignment="1">
      <alignment/>
    </xf>
    <xf numFmtId="0" fontId="114" fillId="0" borderId="18" xfId="0" applyFont="1" applyBorder="1" applyAlignment="1">
      <alignment horizontal="center"/>
    </xf>
    <xf numFmtId="167" fontId="117" fillId="2" borderId="32" xfId="0" applyNumberFormat="1" applyFont="1" applyFill="1" applyBorder="1" applyAlignment="1">
      <alignment horizontal="center"/>
    </xf>
    <xf numFmtId="167" fontId="117" fillId="2" borderId="33" xfId="0" applyNumberFormat="1" applyFont="1" applyFill="1" applyBorder="1" applyAlignment="1">
      <alignment horizontal="center"/>
    </xf>
    <xf numFmtId="169" fontId="4" fillId="0" borderId="23" xfId="0" applyNumberFormat="1" applyFont="1" applyBorder="1" applyAlignment="1">
      <alignment horizontal="right"/>
    </xf>
    <xf numFmtId="169" fontId="11" fillId="0" borderId="0" xfId="0" applyNumberFormat="1" applyFont="1" applyFill="1" applyAlignment="1">
      <alignment horizontal="left"/>
    </xf>
    <xf numFmtId="169" fontId="4" fillId="0" borderId="0" xfId="0" applyNumberFormat="1" applyFont="1" applyFill="1" applyAlignment="1">
      <alignment horizontal="left"/>
    </xf>
    <xf numFmtId="169" fontId="11" fillId="0" borderId="23" xfId="0" applyNumberFormat="1" applyFont="1" applyFill="1" applyBorder="1" applyAlignment="1">
      <alignment/>
    </xf>
    <xf numFmtId="169" fontId="11" fillId="0" borderId="0" xfId="0" applyNumberFormat="1" applyFont="1" applyFill="1" applyBorder="1" applyAlignment="1">
      <alignment/>
    </xf>
    <xf numFmtId="169" fontId="11" fillId="0" borderId="24" xfId="0" applyNumberFormat="1" applyFont="1" applyFill="1" applyBorder="1" applyAlignment="1">
      <alignment/>
    </xf>
    <xf numFmtId="0" fontId="119" fillId="0" borderId="0" xfId="0" applyFont="1" applyFill="1" applyAlignment="1">
      <alignment horizontal="left"/>
    </xf>
    <xf numFmtId="0" fontId="119" fillId="34" borderId="24" xfId="0" applyFont="1" applyFill="1" applyBorder="1" applyAlignment="1">
      <alignment horizontal="right"/>
    </xf>
    <xf numFmtId="3" fontId="2" fillId="33" borderId="0" xfId="0" applyNumberFormat="1" applyFont="1" applyFill="1" applyAlignment="1">
      <alignment horizontal="center" vertical="top"/>
    </xf>
    <xf numFmtId="0" fontId="3" fillId="33" borderId="0" xfId="0" applyFont="1" applyFill="1" applyAlignment="1">
      <alignment vertical="top" wrapText="1"/>
    </xf>
    <xf numFmtId="0" fontId="3" fillId="33" borderId="0" xfId="0" applyFont="1" applyFill="1" applyBorder="1" applyAlignment="1">
      <alignment vertical="top" wrapText="1"/>
    </xf>
    <xf numFmtId="0" fontId="0" fillId="0" borderId="0" xfId="0" applyFont="1" applyAlignment="1">
      <alignment vertical="top"/>
    </xf>
    <xf numFmtId="169" fontId="11" fillId="0" borderId="0" xfId="0" applyNumberFormat="1" applyFont="1" applyFill="1" applyBorder="1" applyAlignment="1" quotePrefix="1">
      <alignment horizontal="left"/>
    </xf>
    <xf numFmtId="3" fontId="0" fillId="0" borderId="0" xfId="0" applyNumberFormat="1" applyFill="1" applyAlignment="1">
      <alignment/>
    </xf>
    <xf numFmtId="3" fontId="0" fillId="0" borderId="0" xfId="0" applyNumberFormat="1" applyFont="1" applyAlignment="1">
      <alignment horizontal="right"/>
    </xf>
    <xf numFmtId="3" fontId="7" fillId="0" borderId="0" xfId="0" applyNumberFormat="1" applyFont="1" applyAlignment="1">
      <alignment/>
    </xf>
    <xf numFmtId="3" fontId="2" fillId="33" borderId="0" xfId="0" applyNumberFormat="1" applyFont="1" applyFill="1" applyAlignment="1">
      <alignment horizontal="center" vertical="center"/>
    </xf>
    <xf numFmtId="3" fontId="0" fillId="33" borderId="0" xfId="0" applyNumberFormat="1" applyFont="1" applyFill="1" applyAlignment="1">
      <alignment horizontal="center" vertical="top"/>
    </xf>
    <xf numFmtId="0" fontId="112" fillId="0" borderId="0" xfId="0" applyFont="1" applyAlignment="1">
      <alignment horizontal="left" indent="1"/>
    </xf>
    <xf numFmtId="0" fontId="112" fillId="0" borderId="0" xfId="0" applyFont="1" applyAlignment="1">
      <alignment horizontal="left" vertical="center" indent="1"/>
    </xf>
    <xf numFmtId="0" fontId="112" fillId="0" borderId="0" xfId="0" applyFont="1" applyAlignment="1">
      <alignment horizontal="left" wrapText="1" indent="1"/>
    </xf>
    <xf numFmtId="0" fontId="0" fillId="0" borderId="0" xfId="0" applyFont="1" applyFill="1" applyAlignment="1">
      <alignment horizontal="center"/>
    </xf>
    <xf numFmtId="3" fontId="2" fillId="33" borderId="0" xfId="0" applyNumberFormat="1" applyFont="1" applyFill="1" applyBorder="1" applyAlignment="1">
      <alignment horizontal="center"/>
    </xf>
    <xf numFmtId="14" fontId="147" fillId="0" borderId="0" xfId="0" applyNumberFormat="1" applyFont="1" applyAlignment="1">
      <alignment horizontal="left"/>
    </xf>
    <xf numFmtId="3" fontId="148" fillId="0" borderId="0" xfId="0" applyNumberFormat="1" applyFont="1" applyAlignment="1">
      <alignment horizontal="center"/>
    </xf>
    <xf numFmtId="0" fontId="132" fillId="34" borderId="0" xfId="0" applyFont="1" applyFill="1" applyAlignment="1">
      <alignment horizontal="left" vertical="top" wrapText="1"/>
    </xf>
    <xf numFmtId="3" fontId="0" fillId="0" borderId="0" xfId="0" applyNumberFormat="1" applyFont="1" applyFill="1" applyAlignment="1">
      <alignment horizontal="right" vertical="top"/>
    </xf>
    <xf numFmtId="3" fontId="0" fillId="34" borderId="19" xfId="0" applyNumberFormat="1" applyFont="1" applyFill="1" applyBorder="1" applyAlignment="1">
      <alignment horizontal="left" vertical="top"/>
    </xf>
    <xf numFmtId="3" fontId="8" fillId="34" borderId="26" xfId="0" applyNumberFormat="1" applyFont="1" applyFill="1" applyBorder="1" applyAlignment="1">
      <alignment horizontal="center" vertical="top"/>
    </xf>
    <xf numFmtId="3" fontId="8" fillId="34" borderId="27" xfId="0" applyNumberFormat="1" applyFont="1" applyFill="1" applyBorder="1" applyAlignment="1">
      <alignment horizontal="center" vertical="top"/>
    </xf>
    <xf numFmtId="3" fontId="8" fillId="34" borderId="23" xfId="0" applyNumberFormat="1" applyFont="1" applyFill="1" applyBorder="1" applyAlignment="1">
      <alignment horizontal="left" vertical="top"/>
    </xf>
    <xf numFmtId="3" fontId="8" fillId="34" borderId="0" xfId="0" applyNumberFormat="1" applyFont="1" applyFill="1" applyBorder="1" applyAlignment="1">
      <alignment horizontal="center" vertical="top"/>
    </xf>
    <xf numFmtId="3" fontId="8" fillId="34" borderId="24" xfId="0" applyNumberFormat="1" applyFont="1" applyFill="1" applyBorder="1" applyAlignment="1">
      <alignment horizontal="center" vertical="top"/>
    </xf>
    <xf numFmtId="3" fontId="8" fillId="34" borderId="20" xfId="0" applyNumberFormat="1" applyFont="1" applyFill="1" applyBorder="1" applyAlignment="1">
      <alignment horizontal="left" vertical="top"/>
    </xf>
    <xf numFmtId="3" fontId="8" fillId="34" borderId="21" xfId="0" applyNumberFormat="1" applyFont="1" applyFill="1" applyBorder="1" applyAlignment="1">
      <alignment horizontal="center" vertical="top"/>
    </xf>
    <xf numFmtId="3" fontId="8" fillId="34" borderId="22" xfId="0" applyNumberFormat="1" applyFont="1" applyFill="1" applyBorder="1" applyAlignment="1">
      <alignment horizontal="center" vertical="top"/>
    </xf>
    <xf numFmtId="3" fontId="8" fillId="0" borderId="0" xfId="0" applyNumberFormat="1" applyFont="1" applyFill="1" applyAlignment="1">
      <alignment horizontal="right" vertical="top"/>
    </xf>
    <xf numFmtId="1" fontId="114" fillId="0" borderId="0" xfId="0" applyNumberFormat="1" applyFont="1" applyAlignment="1">
      <alignment/>
    </xf>
    <xf numFmtId="0" fontId="3" fillId="33" borderId="0" xfId="0" applyFont="1" applyFill="1" applyAlignment="1">
      <alignment vertical="top" wrapText="1"/>
    </xf>
    <xf numFmtId="169" fontId="121" fillId="37" borderId="0" xfId="0" applyNumberFormat="1" applyFont="1" applyFill="1" applyAlignment="1">
      <alignment horizontal="center"/>
    </xf>
    <xf numFmtId="169" fontId="11" fillId="37" borderId="0" xfId="0" applyNumberFormat="1" applyFont="1" applyFill="1" applyBorder="1" applyAlignment="1">
      <alignment horizontal="left"/>
    </xf>
    <xf numFmtId="6" fontId="11" fillId="37" borderId="0" xfId="0" applyNumberFormat="1" applyFont="1" applyFill="1" applyBorder="1" applyAlignment="1">
      <alignment horizontal="left"/>
    </xf>
    <xf numFmtId="169" fontId="4" fillId="37" borderId="0" xfId="0" applyNumberFormat="1" applyFont="1" applyFill="1" applyAlignment="1">
      <alignment/>
    </xf>
    <xf numFmtId="169" fontId="119" fillId="37" borderId="0" xfId="0" applyNumberFormat="1" applyFont="1" applyFill="1" applyAlignment="1">
      <alignment/>
    </xf>
    <xf numFmtId="0" fontId="0" fillId="35" borderId="11" xfId="0" applyFont="1" applyFill="1" applyBorder="1" applyAlignment="1">
      <alignment/>
    </xf>
    <xf numFmtId="0" fontId="0" fillId="35" borderId="11" xfId="0" applyFont="1" applyFill="1" applyBorder="1" applyAlignment="1">
      <alignment horizontal="center"/>
    </xf>
    <xf numFmtId="3" fontId="8" fillId="34" borderId="28" xfId="0" applyNumberFormat="1" applyFont="1" applyFill="1" applyBorder="1" applyAlignment="1">
      <alignment horizontal="center" vertical="top"/>
    </xf>
    <xf numFmtId="3" fontId="8" fillId="34" borderId="34" xfId="0" applyNumberFormat="1" applyFont="1" applyFill="1" applyBorder="1" applyAlignment="1">
      <alignment horizontal="center" vertical="top"/>
    </xf>
    <xf numFmtId="3" fontId="0" fillId="34" borderId="35" xfId="0" applyNumberFormat="1" applyFont="1" applyFill="1" applyBorder="1" applyAlignment="1">
      <alignment horizontal="left" vertical="top"/>
    </xf>
    <xf numFmtId="0" fontId="3" fillId="33" borderId="0" xfId="0" applyFont="1" applyFill="1" applyAlignment="1">
      <alignment vertical="top" wrapText="1"/>
    </xf>
    <xf numFmtId="184" fontId="0" fillId="0" borderId="0" xfId="0" applyNumberFormat="1" applyFont="1" applyAlignment="1">
      <alignment horizontal="center"/>
    </xf>
    <xf numFmtId="3" fontId="2"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xf>
    <xf numFmtId="3" fontId="114" fillId="33" borderId="0" xfId="0" applyNumberFormat="1" applyFont="1" applyFill="1" applyBorder="1" applyAlignment="1">
      <alignment horizontal="center"/>
    </xf>
    <xf numFmtId="0" fontId="114" fillId="33" borderId="0" xfId="0" applyFont="1" applyFill="1" applyBorder="1" applyAlignment="1">
      <alignment horizontal="center"/>
    </xf>
    <xf numFmtId="0" fontId="0" fillId="0" borderId="0" xfId="0" applyFont="1" applyFill="1" applyBorder="1" applyAlignment="1">
      <alignment horizontal="center"/>
    </xf>
    <xf numFmtId="0" fontId="0" fillId="33" borderId="0" xfId="0" applyFont="1" applyFill="1" applyBorder="1" applyAlignment="1">
      <alignment horizontal="center"/>
    </xf>
    <xf numFmtId="0" fontId="2" fillId="0" borderId="0" xfId="0" applyFont="1" applyAlignment="1">
      <alignment horizontal="center" vertical="top"/>
    </xf>
    <xf numFmtId="3" fontId="0" fillId="35" borderId="35" xfId="0" applyNumberFormat="1" applyFont="1" applyFill="1" applyBorder="1" applyAlignment="1">
      <alignment horizontal="center"/>
    </xf>
    <xf numFmtId="14" fontId="149" fillId="0" borderId="0" xfId="0" applyNumberFormat="1" applyFont="1" applyAlignment="1">
      <alignment horizontal="left"/>
    </xf>
    <xf numFmtId="3" fontId="150" fillId="0" borderId="0" xfId="0" applyNumberFormat="1" applyFont="1" applyAlignment="1">
      <alignment horizontal="center"/>
    </xf>
    <xf numFmtId="0" fontId="151" fillId="0" borderId="0" xfId="0" applyFont="1" applyAlignment="1">
      <alignment/>
    </xf>
    <xf numFmtId="3" fontId="151" fillId="0" borderId="0" xfId="0" applyNumberFormat="1" applyFont="1" applyAlignment="1">
      <alignment horizontal="center"/>
    </xf>
    <xf numFmtId="0" fontId="119" fillId="37" borderId="0" xfId="0" applyFont="1" applyFill="1" applyAlignment="1">
      <alignment/>
    </xf>
    <xf numFmtId="187" fontId="4" fillId="0" borderId="0" xfId="0" applyNumberFormat="1" applyFont="1" applyAlignment="1">
      <alignment/>
    </xf>
    <xf numFmtId="0" fontId="3" fillId="33" borderId="0" xfId="0" applyFont="1" applyFill="1" applyAlignment="1">
      <alignment vertical="top" wrapText="1"/>
    </xf>
    <xf numFmtId="0" fontId="3" fillId="0" borderId="0" xfId="0" applyFont="1" applyAlignment="1">
      <alignment vertical="top"/>
    </xf>
    <xf numFmtId="0" fontId="3" fillId="33" borderId="0" xfId="0" applyFont="1" applyFill="1" applyBorder="1" applyAlignment="1">
      <alignment vertical="top" wrapText="1"/>
    </xf>
    <xf numFmtId="0" fontId="0" fillId="0" borderId="0" xfId="0" applyFont="1" applyAlignment="1">
      <alignment vertical="top"/>
    </xf>
    <xf numFmtId="0" fontId="3" fillId="33" borderId="0" xfId="0" applyFont="1" applyFill="1" applyAlignment="1">
      <alignment vertical="center" wrapText="1"/>
    </xf>
    <xf numFmtId="0" fontId="3" fillId="0" borderId="0" xfId="0" applyFont="1" applyAlignment="1">
      <alignment vertical="center"/>
    </xf>
    <xf numFmtId="0" fontId="132" fillId="33" borderId="0" xfId="0" applyFont="1" applyFill="1" applyAlignment="1">
      <alignment vertical="top" wrapText="1"/>
    </xf>
    <xf numFmtId="0" fontId="132" fillId="0" borderId="0" xfId="0" applyFont="1" applyAlignment="1">
      <alignment vertical="top"/>
    </xf>
    <xf numFmtId="172" fontId="3" fillId="33" borderId="0" xfId="0" applyNumberFormat="1" applyFont="1" applyFill="1" applyAlignment="1">
      <alignment horizontal="left" vertical="top" wrapText="1"/>
    </xf>
    <xf numFmtId="0" fontId="3" fillId="33" borderId="0" xfId="0" applyFont="1" applyFill="1" applyBorder="1" applyAlignment="1" quotePrefix="1">
      <alignment horizontal="left" vertical="top" wrapText="1"/>
    </xf>
    <xf numFmtId="0" fontId="0" fillId="0" borderId="0" xfId="0" applyFont="1" applyAlignment="1">
      <alignment horizontal="left" vertical="top" wrapText="1"/>
    </xf>
    <xf numFmtId="0" fontId="114" fillId="33" borderId="0" xfId="0" applyFont="1" applyFill="1" applyAlignment="1">
      <alignment vertical="top" wrapText="1"/>
    </xf>
    <xf numFmtId="0" fontId="114" fillId="0" borderId="0" xfId="0" applyFont="1" applyAlignment="1">
      <alignment vertical="top"/>
    </xf>
    <xf numFmtId="0" fontId="0" fillId="0" borderId="0" xfId="0" applyFont="1" applyAlignment="1">
      <alignment vertical="top" wrapText="1"/>
    </xf>
    <xf numFmtId="0" fontId="3" fillId="0" borderId="0" xfId="0" applyFont="1" applyAlignment="1">
      <alignment/>
    </xf>
    <xf numFmtId="0" fontId="3" fillId="33" borderId="0" xfId="0" applyFont="1" applyFill="1" applyAlignment="1">
      <alignment vertical="top"/>
    </xf>
    <xf numFmtId="0" fontId="3" fillId="33" borderId="0" xfId="0" applyFont="1" applyFill="1" applyAlignment="1">
      <alignment horizontal="left" vertical="top"/>
    </xf>
    <xf numFmtId="0" fontId="3" fillId="0" borderId="0" xfId="0" applyFont="1" applyAlignment="1">
      <alignment horizontal="left" vertical="top"/>
    </xf>
  </cellXfs>
  <cellStyles count="56">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1 2" xfId="34"/>
    <cellStyle name="Aksentti2" xfId="35"/>
    <cellStyle name="Aksentti3" xfId="36"/>
    <cellStyle name="Aksentti3 2" xfId="37"/>
    <cellStyle name="Aksentti4" xfId="38"/>
    <cellStyle name="Aksentti5" xfId="39"/>
    <cellStyle name="Aksentti6" xfId="40"/>
    <cellStyle name="Aksentti6 2" xfId="41"/>
    <cellStyle name="Followed Hyperlink" xfId="42"/>
    <cellStyle name="Huomautus" xfId="43"/>
    <cellStyle name="Huono" xfId="44"/>
    <cellStyle name="Hyperlink" xfId="45"/>
    <cellStyle name="Hyvä" xfId="46"/>
    <cellStyle name="Laskenta" xfId="47"/>
    <cellStyle name="Linkitetty solu" xfId="48"/>
    <cellStyle name="Neutraali" xfId="49"/>
    <cellStyle name="Normaali 2" xfId="50"/>
    <cellStyle name="Normaali 3" xfId="51"/>
    <cellStyle name="Normaali 4" xfId="52"/>
    <cellStyle name="Normaali 5" xfId="53"/>
    <cellStyle name="Otsikko" xfId="54"/>
    <cellStyle name="Otsikko 1" xfId="55"/>
    <cellStyle name="Otsikko 2" xfId="56"/>
    <cellStyle name="Otsikko 3" xfId="57"/>
    <cellStyle name="Otsikko 4" xfId="58"/>
    <cellStyle name="Comma" xfId="59"/>
    <cellStyle name="Comma [0]" xfId="60"/>
    <cellStyle name="Percent" xfId="61"/>
    <cellStyle name="Selittävä teksti" xfId="62"/>
    <cellStyle name="Summa" xfId="63"/>
    <cellStyle name="Syöttö" xfId="64"/>
    <cellStyle name="Tarkistussolu" xfId="65"/>
    <cellStyle name="Tulostus" xfId="66"/>
    <cellStyle name="Currency" xfId="67"/>
    <cellStyle name="Currency [0]" xfId="68"/>
    <cellStyle name="Varoitusteksti"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75"/>
          <c:y val="0.0235"/>
          <c:w val="0.95675"/>
          <c:h val="0.98725"/>
        </c:manualLayout>
      </c:layout>
      <c:barChart>
        <c:barDir val="col"/>
        <c:grouping val="stacked"/>
        <c:varyColors val="0"/>
        <c:ser>
          <c:idx val="0"/>
          <c:order val="0"/>
          <c:tx>
            <c:strRef>
              <c:f>Kuviot!$AR$6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Kuviot!$AS$6:$AT$6</c:f>
              <c:numCache/>
            </c:numRef>
          </c:val>
        </c:ser>
        <c:ser>
          <c:idx val="6"/>
          <c:order val="1"/>
          <c:tx>
            <c:strRef>
              <c:f>Kuviot!$AR$12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val>
            <c:numRef>
              <c:f>Kuviot!$AS$12:$AT$12</c:f>
              <c:numCache/>
            </c:numRef>
          </c:val>
        </c:ser>
        <c:ser>
          <c:idx val="1"/>
          <c:order val="2"/>
          <c:tx>
            <c:strRef>
              <c:f>Kuviot!$AR$7</c:f>
              <c:strCache>
                <c:ptCount val="1"/>
                <c:pt idx="0">
                  <c:v>kunnallisvero 59%</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Kuviot!$AS$7:$AT$7</c:f>
              <c:numCache/>
            </c:numRef>
          </c:val>
        </c:ser>
        <c:ser>
          <c:idx val="2"/>
          <c:order val="3"/>
          <c:tx>
            <c:strRef>
              <c:f>Kuviot!$AR$8</c:f>
              <c:strCache>
                <c:ptCount val="1"/>
                <c:pt idx="0">
                  <c:v>yhteisövero 6%</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Kuviot!$AS$8:$AT$8</c:f>
              <c:numCache/>
            </c:numRef>
          </c:val>
        </c:ser>
        <c:ser>
          <c:idx val="3"/>
          <c:order val="4"/>
          <c:tx>
            <c:strRef>
              <c:f>Kuviot!$AR$9</c:f>
              <c:strCache>
                <c:ptCount val="1"/>
                <c:pt idx="0">
                  <c:v>kiinteistövero 6%</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Kuviot!$AS$9:$AT$9</c:f>
              <c:numCache/>
            </c:numRef>
          </c:val>
        </c:ser>
        <c:ser>
          <c:idx val="4"/>
          <c:order val="5"/>
          <c:tx>
            <c:strRef>
              <c:f>Kuviot!$AR$10</c:f>
              <c:strCache>
                <c:ptCount val="1"/>
                <c:pt idx="0">
                  <c:v>vos 29%</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Kuviot!$AS$10:$AT$10</c:f>
              <c:numCache/>
            </c:numRef>
          </c:val>
        </c:ser>
        <c:ser>
          <c:idx val="5"/>
          <c:order val="6"/>
          <c:tx>
            <c:strRef>
              <c:f>Kuviot!$AR$11</c:f>
              <c:strCache>
                <c:ptCount val="1"/>
                <c:pt idx="0">
                  <c:v>rahoituserät (netto) 1%</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dLblPos val="inBase"/>
            <c:showLegendKey val="0"/>
            <c:showVal val="0"/>
            <c:showBubbleSize val="0"/>
            <c:showCatName val="0"/>
            <c:showSerName val="1"/>
            <c:showPercent val="0"/>
          </c:dLbls>
          <c:cat>
            <c:strRef>
              <c:f>Kuviot!$AS$5:$AT$5</c:f>
              <c:strCache/>
            </c:strRef>
          </c:cat>
          <c:val>
            <c:numRef>
              <c:f>Kuviot!$AS$11:$AT$11</c:f>
              <c:numCache/>
            </c:numRef>
          </c:val>
        </c:ser>
        <c:overlap val="100"/>
        <c:gapWidth val="40"/>
        <c:axId val="63200873"/>
        <c:axId val="31936946"/>
      </c:barChart>
      <c:catAx>
        <c:axId val="63200873"/>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31936946"/>
        <c:crossesAt val="0"/>
        <c:auto val="1"/>
        <c:lblOffset val="100"/>
        <c:tickLblSkip val="1"/>
        <c:noMultiLvlLbl val="0"/>
      </c:catAx>
      <c:valAx>
        <c:axId val="31936946"/>
        <c:scaling>
          <c:orientation val="minMax"/>
        </c:scaling>
        <c:axPos val="l"/>
        <c:majorGridlines>
          <c:spPr>
            <a:ln w="3175">
              <a:solidFill>
                <a:srgbClr val="C0C0C0"/>
              </a:solidFill>
              <a:prstDash val="dash"/>
            </a:ln>
          </c:spPr>
        </c:majorGridlines>
        <c:delete val="1"/>
        <c:majorTickMark val="out"/>
        <c:minorTickMark val="none"/>
        <c:tickLblPos val="nextTo"/>
        <c:crossAx val="63200873"/>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5"/>
          <c:y val="0.0255"/>
          <c:w val="0.95725"/>
          <c:h val="0.985"/>
        </c:manualLayout>
      </c:layout>
      <c:barChart>
        <c:barDir val="col"/>
        <c:grouping val="stacked"/>
        <c:varyColors val="0"/>
        <c:ser>
          <c:idx val="0"/>
          <c:order val="0"/>
          <c:tx>
            <c:strRef>
              <c:f>Kuviot!$AU$6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Kuviot!$AV$6:$AW$6</c:f>
              <c:numCache/>
            </c:numRef>
          </c:val>
        </c:ser>
        <c:ser>
          <c:idx val="1"/>
          <c:order val="1"/>
          <c:tx>
            <c:strRef>
              <c:f>Kuviot!$AU$7</c:f>
              <c:strCache>
                <c:ptCount val="1"/>
                <c:pt idx="0">
                  <c:v>kunnallisvero 54%</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Kuviot!$AV$7:$AW$7</c:f>
              <c:numCache/>
            </c:numRef>
          </c:val>
        </c:ser>
        <c:ser>
          <c:idx val="2"/>
          <c:order val="2"/>
          <c:tx>
            <c:strRef>
              <c:f>Kuviot!$AU$8</c:f>
              <c:strCache>
                <c:ptCount val="1"/>
                <c:pt idx="0">
                  <c:v>yhteisövero 9%</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Kuviot!$AV$8:$AW$8</c:f>
              <c:numCache/>
            </c:numRef>
          </c:val>
        </c:ser>
        <c:ser>
          <c:idx val="3"/>
          <c:order val="3"/>
          <c:tx>
            <c:strRef>
              <c:f>Kuviot!$AU$9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Kuviot!$AV$9:$AW$9</c:f>
              <c:numCache/>
            </c:numRef>
          </c:val>
        </c:ser>
        <c:ser>
          <c:idx val="7"/>
          <c:order val="4"/>
          <c:tx>
            <c:strRef>
              <c:f>Kuviot!$AU$12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val>
            <c:numRef>
              <c:f>Kuviot!$AV$12:$AW$12</c:f>
              <c:numCache/>
            </c:numRef>
          </c:val>
        </c:ser>
        <c:ser>
          <c:idx val="4"/>
          <c:order val="5"/>
          <c:tx>
            <c:strRef>
              <c:f>Kuviot!$AU$10</c:f>
              <c:strCache>
                <c:ptCount val="1"/>
                <c:pt idx="0">
                  <c:v>vos 21%</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Kuviot!$AV$10:$AW$10</c:f>
              <c:numCache/>
            </c:numRef>
          </c:val>
        </c:ser>
        <c:ser>
          <c:idx val="5"/>
          <c:order val="6"/>
          <c:tx>
            <c:strRef>
              <c:f>Kuviot!$AU$11</c:f>
              <c:strCache>
                <c:ptCount val="1"/>
                <c:pt idx="0">
                  <c:v>rahoituserät (netto) 2%</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dLblPos val="inBase"/>
            <c:showLegendKey val="0"/>
            <c:showVal val="0"/>
            <c:showBubbleSize val="0"/>
            <c:showCatName val="0"/>
            <c:showSerName val="1"/>
            <c:showPercent val="0"/>
          </c:dLbls>
          <c:cat>
            <c:strRef>
              <c:f>Kuviot!$AV$5:$AW$5</c:f>
              <c:strCache/>
            </c:strRef>
          </c:cat>
          <c:val>
            <c:numRef>
              <c:f>Kuviot!$AV$11:$AW$11</c:f>
              <c:numCache/>
            </c:numRef>
          </c:val>
        </c:ser>
        <c:ser>
          <c:idx val="6"/>
          <c:order val="7"/>
          <c:tx>
            <c:strRef>
              <c:f>Kuviot!$AU$14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val>
            <c:numRef>
              <c:f>Kuviot!$AV$14:$AW$14</c:f>
              <c:numCache/>
            </c:numRef>
          </c:val>
        </c:ser>
        <c:overlap val="100"/>
        <c:gapWidth val="40"/>
        <c:axId val="18997059"/>
        <c:axId val="36755804"/>
      </c:barChart>
      <c:catAx>
        <c:axId val="18997059"/>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36755804"/>
        <c:crosses val="autoZero"/>
        <c:auto val="1"/>
        <c:lblOffset val="100"/>
        <c:tickLblSkip val="1"/>
        <c:noMultiLvlLbl val="0"/>
      </c:catAx>
      <c:valAx>
        <c:axId val="36755804"/>
        <c:scaling>
          <c:orientation val="minMax"/>
        </c:scaling>
        <c:axPos val="l"/>
        <c:majorGridlines>
          <c:spPr>
            <a:ln w="3175">
              <a:solidFill>
                <a:srgbClr val="C0C0C0"/>
              </a:solidFill>
              <a:prstDash val="dash"/>
            </a:ln>
          </c:spPr>
        </c:majorGridlines>
        <c:delete val="1"/>
        <c:majorTickMark val="out"/>
        <c:minorTickMark val="none"/>
        <c:tickLblPos val="nextTo"/>
        <c:crossAx val="18997059"/>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5"/>
          <c:y val="0.0255"/>
          <c:w val="0.95725"/>
          <c:h val="0.985"/>
        </c:manualLayout>
      </c:layout>
      <c:barChart>
        <c:barDir val="col"/>
        <c:grouping val="stacked"/>
        <c:varyColors val="0"/>
        <c:ser>
          <c:idx val="0"/>
          <c:order val="0"/>
          <c:tx>
            <c:strRef>
              <c:f>Kuviot!$AX$6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Kuviot!$AY$6:$AZ$6</c:f>
              <c:numCache/>
            </c:numRef>
          </c:val>
        </c:ser>
        <c:ser>
          <c:idx val="1"/>
          <c:order val="1"/>
          <c:tx>
            <c:strRef>
              <c:f>Kuviot!$AX$7</c:f>
              <c:strCache>
                <c:ptCount val="1"/>
                <c:pt idx="0">
                  <c:v>kunnallisvero 54%</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Kuviot!$AY$7:$AZ$7</c:f>
              <c:numCache/>
            </c:numRef>
          </c:val>
        </c:ser>
        <c:ser>
          <c:idx val="2"/>
          <c:order val="2"/>
          <c:tx>
            <c:strRef>
              <c:f>Kuviot!$AX$8</c:f>
              <c:strCache>
                <c:ptCount val="1"/>
                <c:pt idx="0">
                  <c:v>yhteisövero 9%</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Kuviot!$AY$8:$AZ$8</c:f>
              <c:numCache/>
            </c:numRef>
          </c:val>
        </c:ser>
        <c:ser>
          <c:idx val="3"/>
          <c:order val="3"/>
          <c:tx>
            <c:strRef>
              <c:f>Kuviot!$AX$9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Kuviot!$AY$9:$AZ$9</c:f>
              <c:numCache/>
            </c:numRef>
          </c:val>
        </c:ser>
        <c:ser>
          <c:idx val="4"/>
          <c:order val="4"/>
          <c:tx>
            <c:strRef>
              <c:f>Kuviot!$AX$10</c:f>
              <c:strCache>
                <c:ptCount val="1"/>
                <c:pt idx="0">
                  <c:v>vos 21%</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Kuviot!$AY$5:$AZ$5</c:f>
              <c:strCache/>
            </c:strRef>
          </c:cat>
          <c:val>
            <c:numRef>
              <c:f>Kuviot!$AY$10:$AZ$10</c:f>
              <c:numCache/>
            </c:numRef>
          </c:val>
        </c:ser>
        <c:ser>
          <c:idx val="7"/>
          <c:order val="5"/>
          <c:tx>
            <c:strRef>
              <c:f>Kuviot!$AX$12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Kuviot!$AY$12:$AZ$12</c:f>
              <c:numCache/>
            </c:numRef>
          </c:val>
        </c:ser>
        <c:ser>
          <c:idx val="5"/>
          <c:order val="6"/>
          <c:tx>
            <c:strRef>
              <c:f>Kuviot!$AX$11</c:f>
              <c:strCache>
                <c:ptCount val="1"/>
                <c:pt idx="0">
                  <c:v>rahoituserät (netto) 2%</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Kuviot!$AY$5:$AZ$5</c:f>
              <c:strCache/>
            </c:strRef>
          </c:cat>
          <c:val>
            <c:numRef>
              <c:f>Kuviot!$AY$11:$AZ$11</c:f>
              <c:numCache/>
            </c:numRef>
          </c:val>
        </c:ser>
        <c:ser>
          <c:idx val="6"/>
          <c:order val="7"/>
          <c:tx>
            <c:strRef>
              <c:f>Kuviot!$AX$14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Kuviot!$AY$5:$AZ$5</c:f>
              <c:strCache/>
            </c:strRef>
          </c:cat>
          <c:val>
            <c:numRef>
              <c:f>Kuviot!$AY$14:$AZ$14</c:f>
              <c:numCache/>
            </c:numRef>
          </c:val>
        </c:ser>
        <c:overlap val="100"/>
        <c:gapWidth val="40"/>
        <c:axId val="62366781"/>
        <c:axId val="24430118"/>
      </c:barChart>
      <c:catAx>
        <c:axId val="62366781"/>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24430118"/>
        <c:crosses val="autoZero"/>
        <c:auto val="1"/>
        <c:lblOffset val="100"/>
        <c:tickLblSkip val="1"/>
        <c:noMultiLvlLbl val="0"/>
      </c:catAx>
      <c:valAx>
        <c:axId val="24430118"/>
        <c:scaling>
          <c:orientation val="minMax"/>
        </c:scaling>
        <c:axPos val="l"/>
        <c:majorGridlines>
          <c:spPr>
            <a:ln w="3175">
              <a:solidFill>
                <a:srgbClr val="C0C0C0"/>
              </a:solidFill>
              <a:prstDash val="dash"/>
            </a:ln>
          </c:spPr>
        </c:majorGridlines>
        <c:delete val="1"/>
        <c:majorTickMark val="out"/>
        <c:minorTickMark val="none"/>
        <c:tickLblPos val="nextTo"/>
        <c:crossAx val="62366781"/>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5"/>
          <c:y val="0.0255"/>
          <c:w val="0.95825"/>
          <c:h val="0.98525"/>
        </c:manualLayout>
      </c:layout>
      <c:barChart>
        <c:barDir val="col"/>
        <c:grouping val="stacked"/>
        <c:varyColors val="0"/>
        <c:ser>
          <c:idx val="0"/>
          <c:order val="0"/>
          <c:tx>
            <c:strRef>
              <c:f>Kuviot!$BA$6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Kuviot!$BB$6:$BC$6</c:f>
              <c:numCache/>
            </c:numRef>
          </c:val>
        </c:ser>
        <c:ser>
          <c:idx val="1"/>
          <c:order val="1"/>
          <c:tx>
            <c:strRef>
              <c:f>Kuviot!$BA$7</c:f>
              <c:strCache>
                <c:ptCount val="1"/>
                <c:pt idx="0">
                  <c:v>kunnallisvero 54%</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Kuviot!$BB$7:$BC$7</c:f>
              <c:numCache/>
            </c:numRef>
          </c:val>
        </c:ser>
        <c:ser>
          <c:idx val="2"/>
          <c:order val="2"/>
          <c:tx>
            <c:strRef>
              <c:f>Kuviot!$BA$8</c:f>
              <c:strCache>
                <c:ptCount val="1"/>
                <c:pt idx="0">
                  <c:v>yhteisövero 9%</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Kuviot!$BB$8:$BC$8</c:f>
              <c:numCache/>
            </c:numRef>
          </c:val>
        </c:ser>
        <c:ser>
          <c:idx val="3"/>
          <c:order val="3"/>
          <c:tx>
            <c:strRef>
              <c:f>Kuviot!$BA$9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Kuviot!$BB$9:$BC$9</c:f>
              <c:numCache/>
            </c:numRef>
          </c:val>
        </c:ser>
        <c:ser>
          <c:idx val="4"/>
          <c:order val="4"/>
          <c:tx>
            <c:strRef>
              <c:f>Kuviot!$BA$10</c:f>
              <c:strCache>
                <c:ptCount val="1"/>
                <c:pt idx="0">
                  <c:v>vos 21%</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Kuviot!$BB$5:$BC$5</c:f>
              <c:strCache/>
            </c:strRef>
          </c:cat>
          <c:val>
            <c:numRef>
              <c:f>Kuviot!$BB$10:$BC$10</c:f>
              <c:numCache/>
            </c:numRef>
          </c:val>
        </c:ser>
        <c:ser>
          <c:idx val="5"/>
          <c:order val="5"/>
          <c:tx>
            <c:strRef>
              <c:f>Kuviot!$BA$11</c:f>
              <c:strCache>
                <c:ptCount val="1"/>
                <c:pt idx="0">
                  <c:v>rahoituserät (netto) 2%</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Kuviot!$BB$5:$BC$5</c:f>
              <c:strCache/>
            </c:strRef>
          </c:cat>
          <c:val>
            <c:numRef>
              <c:f>Kuviot!$BB$11:$BC$11</c:f>
              <c:numCache/>
            </c:numRef>
          </c:val>
        </c:ser>
        <c:ser>
          <c:idx val="7"/>
          <c:order val="6"/>
          <c:tx>
            <c:strRef>
              <c:f>Kuviot!$BA$12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Kuviot!$BB$12:$BC$12</c:f>
              <c:numCache/>
            </c:numRef>
          </c:val>
        </c:ser>
        <c:ser>
          <c:idx val="6"/>
          <c:order val="7"/>
          <c:tx>
            <c:strRef>
              <c:f>Kuviot!$BA$14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Kuviot!$BB$5:$BC$5</c:f>
              <c:strCache/>
            </c:strRef>
          </c:cat>
          <c:val>
            <c:numRef>
              <c:f>Kuviot!$BB$14:$BC$14</c:f>
              <c:numCache/>
            </c:numRef>
          </c:val>
        </c:ser>
        <c:overlap val="100"/>
        <c:gapWidth val="40"/>
        <c:axId val="18544471"/>
        <c:axId val="32682512"/>
      </c:barChart>
      <c:catAx>
        <c:axId val="18544471"/>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32682512"/>
        <c:crosses val="autoZero"/>
        <c:auto val="1"/>
        <c:lblOffset val="100"/>
        <c:tickLblSkip val="1"/>
        <c:noMultiLvlLbl val="0"/>
      </c:catAx>
      <c:valAx>
        <c:axId val="32682512"/>
        <c:scaling>
          <c:orientation val="minMax"/>
        </c:scaling>
        <c:axPos val="l"/>
        <c:majorGridlines>
          <c:spPr>
            <a:ln w="3175">
              <a:solidFill>
                <a:srgbClr val="C0C0C0"/>
              </a:solidFill>
              <a:prstDash val="dash"/>
            </a:ln>
          </c:spPr>
        </c:majorGridlines>
        <c:delete val="1"/>
        <c:majorTickMark val="out"/>
        <c:minorTickMark val="none"/>
        <c:tickLblPos val="nextTo"/>
        <c:crossAx val="18544471"/>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8"/>
          <c:y val="0.0255"/>
          <c:w val="0.96025"/>
          <c:h val="0.98525"/>
        </c:manualLayout>
      </c:layout>
      <c:barChart>
        <c:barDir val="col"/>
        <c:grouping val="stacked"/>
        <c:varyColors val="0"/>
        <c:ser>
          <c:idx val="0"/>
          <c:order val="0"/>
          <c:tx>
            <c:strRef>
              <c:f>Kuviot!$BD$6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Kuviot!$BE$6:$BF$6</c:f>
              <c:numCache/>
            </c:numRef>
          </c:val>
        </c:ser>
        <c:ser>
          <c:idx val="1"/>
          <c:order val="1"/>
          <c:tx>
            <c:strRef>
              <c:f>Kuviot!$BD$7</c:f>
              <c:strCache>
                <c:ptCount val="1"/>
                <c:pt idx="0">
                  <c:v>kunnallisvero 54%</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Kuviot!$BE$7:$BF$7</c:f>
              <c:numCache/>
            </c:numRef>
          </c:val>
        </c:ser>
        <c:ser>
          <c:idx val="2"/>
          <c:order val="2"/>
          <c:tx>
            <c:strRef>
              <c:f>Kuviot!$BD$8</c:f>
              <c:strCache>
                <c:ptCount val="1"/>
                <c:pt idx="0">
                  <c:v>yhteisövero 9%</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Kuviot!$BE$8:$BF$8</c:f>
              <c:numCache/>
            </c:numRef>
          </c:val>
        </c:ser>
        <c:ser>
          <c:idx val="3"/>
          <c:order val="3"/>
          <c:tx>
            <c:strRef>
              <c:f>Kuviot!$BD$9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Kuviot!$BE$9:$BF$9</c:f>
              <c:numCache/>
            </c:numRef>
          </c:val>
        </c:ser>
        <c:ser>
          <c:idx val="4"/>
          <c:order val="4"/>
          <c:tx>
            <c:strRef>
              <c:f>Kuviot!$BD$10</c:f>
              <c:strCache>
                <c:ptCount val="1"/>
                <c:pt idx="0">
                  <c:v>vos 21%</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Kuviot!$BE$5:$BF$5</c:f>
              <c:strCache/>
            </c:strRef>
          </c:cat>
          <c:val>
            <c:numRef>
              <c:f>Kuviot!$BE$10:$BF$10</c:f>
              <c:numCache/>
            </c:numRef>
          </c:val>
        </c:ser>
        <c:ser>
          <c:idx val="5"/>
          <c:order val="5"/>
          <c:tx>
            <c:strRef>
              <c:f>Kuviot!$BD$11</c:f>
              <c:strCache>
                <c:ptCount val="1"/>
                <c:pt idx="0">
                  <c:v>rahoituserät (netto) 2%</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Kuviot!$BE$5:$BF$5</c:f>
              <c:strCache/>
            </c:strRef>
          </c:cat>
          <c:val>
            <c:numRef>
              <c:f>Kuviot!$BE$11:$BF$11</c:f>
              <c:numCache/>
            </c:numRef>
          </c:val>
        </c:ser>
        <c:ser>
          <c:idx val="7"/>
          <c:order val="6"/>
          <c:tx>
            <c:strRef>
              <c:f>Kuviot!$BD$12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Kuviot!$BE$12:$BF$12</c:f>
              <c:numCache/>
            </c:numRef>
          </c:val>
        </c:ser>
        <c:ser>
          <c:idx val="6"/>
          <c:order val="7"/>
          <c:tx>
            <c:strRef>
              <c:f>Kuviot!$BD$14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Kuviot!$BE$5:$BF$5</c:f>
              <c:strCache/>
            </c:strRef>
          </c:cat>
          <c:val>
            <c:numRef>
              <c:f>Kuviot!$BE$14:$BF$14</c:f>
              <c:numCache/>
            </c:numRef>
          </c:val>
        </c:ser>
        <c:overlap val="100"/>
        <c:gapWidth val="40"/>
        <c:axId val="25707153"/>
        <c:axId val="30037786"/>
      </c:barChart>
      <c:catAx>
        <c:axId val="25707153"/>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30037786"/>
        <c:crosses val="autoZero"/>
        <c:auto val="1"/>
        <c:lblOffset val="100"/>
        <c:tickLblSkip val="1"/>
        <c:noMultiLvlLbl val="0"/>
      </c:catAx>
      <c:valAx>
        <c:axId val="30037786"/>
        <c:scaling>
          <c:orientation val="minMax"/>
        </c:scaling>
        <c:axPos val="l"/>
        <c:majorGridlines>
          <c:spPr>
            <a:ln w="3175">
              <a:solidFill>
                <a:srgbClr val="C0C0C0"/>
              </a:solidFill>
              <a:prstDash val="dash"/>
            </a:ln>
          </c:spPr>
        </c:majorGridlines>
        <c:delete val="1"/>
        <c:majorTickMark val="out"/>
        <c:minorTickMark val="none"/>
        <c:tickLblPos val="nextTo"/>
        <c:crossAx val="25707153"/>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25"/>
          <c:y val="0.0255"/>
          <c:w val="0.95775"/>
          <c:h val="0.98525"/>
        </c:manualLayout>
      </c:layout>
      <c:barChart>
        <c:barDir val="col"/>
        <c:grouping val="stacked"/>
        <c:varyColors val="0"/>
        <c:ser>
          <c:idx val="0"/>
          <c:order val="0"/>
          <c:tx>
            <c:strRef>
              <c:f>Kuviot!$BG$6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Kuviot!$BH$6:$BI$6</c:f>
              <c:numCache/>
            </c:numRef>
          </c:val>
        </c:ser>
        <c:ser>
          <c:idx val="1"/>
          <c:order val="1"/>
          <c:tx>
            <c:strRef>
              <c:f>Kuviot!$BG$7</c:f>
              <c:strCache>
                <c:ptCount val="1"/>
                <c:pt idx="0">
                  <c:v>kunnallisvero 54%</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Kuviot!$BH$7:$BI$7</c:f>
              <c:numCache/>
            </c:numRef>
          </c:val>
        </c:ser>
        <c:ser>
          <c:idx val="2"/>
          <c:order val="2"/>
          <c:tx>
            <c:strRef>
              <c:f>Kuviot!$BG$8</c:f>
              <c:strCache>
                <c:ptCount val="1"/>
                <c:pt idx="0">
                  <c:v>yhteisövero 9%</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Kuviot!$BH$8:$BI$8</c:f>
              <c:numCache/>
            </c:numRef>
          </c:val>
        </c:ser>
        <c:ser>
          <c:idx val="3"/>
          <c:order val="3"/>
          <c:tx>
            <c:strRef>
              <c:f>Kuviot!$BG$9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Kuviot!$BH$9:$BI$9</c:f>
              <c:numCache/>
            </c:numRef>
          </c:val>
        </c:ser>
        <c:ser>
          <c:idx val="4"/>
          <c:order val="4"/>
          <c:tx>
            <c:strRef>
              <c:f>Kuviot!$BG$10</c:f>
              <c:strCache>
                <c:ptCount val="1"/>
                <c:pt idx="0">
                  <c:v>vos 21%</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Kuviot!$BH$5:$BI$5</c:f>
              <c:strCache/>
            </c:strRef>
          </c:cat>
          <c:val>
            <c:numRef>
              <c:f>Kuviot!$BH$10:$BI$10</c:f>
              <c:numCache/>
            </c:numRef>
          </c:val>
        </c:ser>
        <c:ser>
          <c:idx val="5"/>
          <c:order val="5"/>
          <c:tx>
            <c:strRef>
              <c:f>Kuviot!$BG$11</c:f>
              <c:strCache>
                <c:ptCount val="1"/>
                <c:pt idx="0">
                  <c:v>rahoituserät (netto) 2%</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Kuviot!$BH$5:$BI$5</c:f>
              <c:strCache/>
            </c:strRef>
          </c:cat>
          <c:val>
            <c:numRef>
              <c:f>Kuviot!$BH$11:$BI$11</c:f>
              <c:numCache/>
            </c:numRef>
          </c:val>
        </c:ser>
        <c:ser>
          <c:idx val="7"/>
          <c:order val="6"/>
          <c:tx>
            <c:strRef>
              <c:f>Kuviot!$BG$12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Kuviot!$BH$12:$BI$12</c:f>
              <c:numCache/>
            </c:numRef>
          </c:val>
        </c:ser>
        <c:ser>
          <c:idx val="6"/>
          <c:order val="7"/>
          <c:tx>
            <c:strRef>
              <c:f>Kuviot!$BG$14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Kuviot!$BH$5:$BI$5</c:f>
              <c:strCache/>
            </c:strRef>
          </c:cat>
          <c:val>
            <c:numRef>
              <c:f>Kuviot!$BH$14:$BI$14</c:f>
              <c:numCache/>
            </c:numRef>
          </c:val>
        </c:ser>
        <c:overlap val="100"/>
        <c:gapWidth val="40"/>
        <c:axId val="1904619"/>
        <c:axId val="17141572"/>
      </c:barChart>
      <c:catAx>
        <c:axId val="1904619"/>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17141572"/>
        <c:crosses val="autoZero"/>
        <c:auto val="1"/>
        <c:lblOffset val="100"/>
        <c:tickLblSkip val="1"/>
        <c:noMultiLvlLbl val="0"/>
      </c:catAx>
      <c:valAx>
        <c:axId val="17141572"/>
        <c:scaling>
          <c:orientation val="minMax"/>
        </c:scaling>
        <c:axPos val="l"/>
        <c:majorGridlines>
          <c:spPr>
            <a:ln w="3175">
              <a:solidFill>
                <a:srgbClr val="C0C0C0"/>
              </a:solidFill>
              <a:prstDash val="dash"/>
            </a:ln>
          </c:spPr>
        </c:majorGridlines>
        <c:delete val="1"/>
        <c:majorTickMark val="out"/>
        <c:minorTickMark val="none"/>
        <c:tickLblPos val="nextTo"/>
        <c:crossAx val="1904619"/>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28575</xdr:rowOff>
    </xdr:from>
    <xdr:to>
      <xdr:col>6</xdr:col>
      <xdr:colOff>57150</xdr:colOff>
      <xdr:row>23</xdr:row>
      <xdr:rowOff>95250</xdr:rowOff>
    </xdr:to>
    <xdr:graphicFrame>
      <xdr:nvGraphicFramePr>
        <xdr:cNvPr id="1" name="Kaavio 10"/>
        <xdr:cNvGraphicFramePr/>
      </xdr:nvGraphicFramePr>
      <xdr:xfrm>
        <a:off x="57150" y="514350"/>
        <a:ext cx="4076700" cy="3362325"/>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xdr:row>
      <xdr:rowOff>19050</xdr:rowOff>
    </xdr:from>
    <xdr:to>
      <xdr:col>13</xdr:col>
      <xdr:colOff>352425</xdr:colOff>
      <xdr:row>23</xdr:row>
      <xdr:rowOff>95250</xdr:rowOff>
    </xdr:to>
    <xdr:graphicFrame>
      <xdr:nvGraphicFramePr>
        <xdr:cNvPr id="2" name="Kaavio 11"/>
        <xdr:cNvGraphicFramePr/>
      </xdr:nvGraphicFramePr>
      <xdr:xfrm>
        <a:off x="4733925" y="504825"/>
        <a:ext cx="4210050" cy="3371850"/>
      </xdr:xfrm>
      <a:graphic>
        <a:graphicData uri="http://schemas.openxmlformats.org/drawingml/2006/chart">
          <c:chart xmlns:c="http://schemas.openxmlformats.org/drawingml/2006/chart" r:id="rId2"/>
        </a:graphicData>
      </a:graphic>
    </xdr:graphicFrame>
    <xdr:clientData/>
  </xdr:twoCellAnchor>
  <xdr:twoCellAnchor>
    <xdr:from>
      <xdr:col>6</xdr:col>
      <xdr:colOff>104775</xdr:colOff>
      <xdr:row>10</xdr:row>
      <xdr:rowOff>38100</xdr:rowOff>
    </xdr:from>
    <xdr:to>
      <xdr:col>6</xdr:col>
      <xdr:colOff>485775</xdr:colOff>
      <xdr:row>14</xdr:row>
      <xdr:rowOff>19050</xdr:rowOff>
    </xdr:to>
    <xdr:sp>
      <xdr:nvSpPr>
        <xdr:cNvPr id="3" name="Nuoli oikealle 12"/>
        <xdr:cNvSpPr>
          <a:spLocks/>
        </xdr:cNvSpPr>
      </xdr:nvSpPr>
      <xdr:spPr>
        <a:xfrm>
          <a:off x="4181475" y="1657350"/>
          <a:ext cx="390525" cy="628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3</xdr:row>
      <xdr:rowOff>19050</xdr:rowOff>
    </xdr:from>
    <xdr:to>
      <xdr:col>20</xdr:col>
      <xdr:colOff>257175</xdr:colOff>
      <xdr:row>23</xdr:row>
      <xdr:rowOff>95250</xdr:rowOff>
    </xdr:to>
    <xdr:graphicFrame>
      <xdr:nvGraphicFramePr>
        <xdr:cNvPr id="4" name="Kaavio 11"/>
        <xdr:cNvGraphicFramePr/>
      </xdr:nvGraphicFramePr>
      <xdr:xfrm>
        <a:off x="9829800" y="504825"/>
        <a:ext cx="4181475" cy="3371850"/>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10</xdr:row>
      <xdr:rowOff>66675</xdr:rowOff>
    </xdr:from>
    <xdr:to>
      <xdr:col>14</xdr:col>
      <xdr:colOff>428625</xdr:colOff>
      <xdr:row>14</xdr:row>
      <xdr:rowOff>76200</xdr:rowOff>
    </xdr:to>
    <xdr:sp>
      <xdr:nvSpPr>
        <xdr:cNvPr id="5" name="Nuoli oikealle 6"/>
        <xdr:cNvSpPr>
          <a:spLocks/>
        </xdr:cNvSpPr>
      </xdr:nvSpPr>
      <xdr:spPr>
        <a:xfrm>
          <a:off x="9201150" y="1685925"/>
          <a:ext cx="428625" cy="657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3</xdr:row>
      <xdr:rowOff>28575</xdr:rowOff>
    </xdr:from>
    <xdr:to>
      <xdr:col>28</xdr:col>
      <xdr:colOff>57150</xdr:colOff>
      <xdr:row>23</xdr:row>
      <xdr:rowOff>104775</xdr:rowOff>
    </xdr:to>
    <xdr:graphicFrame>
      <xdr:nvGraphicFramePr>
        <xdr:cNvPr id="6" name="Kaavio 11"/>
        <xdr:cNvGraphicFramePr/>
      </xdr:nvGraphicFramePr>
      <xdr:xfrm>
        <a:off x="14754225" y="514350"/>
        <a:ext cx="4352925" cy="3371850"/>
      </xdr:xfrm>
      <a:graphic>
        <a:graphicData uri="http://schemas.openxmlformats.org/drawingml/2006/chart">
          <c:chart xmlns:c="http://schemas.openxmlformats.org/drawingml/2006/chart" r:id="rId4"/>
        </a:graphicData>
      </a:graphic>
    </xdr:graphicFrame>
    <xdr:clientData/>
  </xdr:twoCellAnchor>
  <xdr:twoCellAnchor>
    <xdr:from>
      <xdr:col>20</xdr:col>
      <xdr:colOff>295275</xdr:colOff>
      <xdr:row>10</xdr:row>
      <xdr:rowOff>19050</xdr:rowOff>
    </xdr:from>
    <xdr:to>
      <xdr:col>20</xdr:col>
      <xdr:colOff>704850</xdr:colOff>
      <xdr:row>14</xdr:row>
      <xdr:rowOff>19050</xdr:rowOff>
    </xdr:to>
    <xdr:sp>
      <xdr:nvSpPr>
        <xdr:cNvPr id="7" name="Nuoli oikealle 8"/>
        <xdr:cNvSpPr>
          <a:spLocks/>
        </xdr:cNvSpPr>
      </xdr:nvSpPr>
      <xdr:spPr>
        <a:xfrm>
          <a:off x="14049375" y="1638300"/>
          <a:ext cx="409575" cy="6477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57150</xdr:colOff>
      <xdr:row>3</xdr:row>
      <xdr:rowOff>19050</xdr:rowOff>
    </xdr:from>
    <xdr:to>
      <xdr:col>36</xdr:col>
      <xdr:colOff>66675</xdr:colOff>
      <xdr:row>23</xdr:row>
      <xdr:rowOff>95250</xdr:rowOff>
    </xdr:to>
    <xdr:graphicFrame>
      <xdr:nvGraphicFramePr>
        <xdr:cNvPr id="8" name="Kaavio 11"/>
        <xdr:cNvGraphicFramePr/>
      </xdr:nvGraphicFramePr>
      <xdr:xfrm>
        <a:off x="19716750" y="504825"/>
        <a:ext cx="4514850" cy="3371850"/>
      </xdr:xfrm>
      <a:graphic>
        <a:graphicData uri="http://schemas.openxmlformats.org/drawingml/2006/chart">
          <c:chart xmlns:c="http://schemas.openxmlformats.org/drawingml/2006/chart" r:id="rId5"/>
        </a:graphicData>
      </a:graphic>
    </xdr:graphicFrame>
    <xdr:clientData/>
  </xdr:twoCellAnchor>
  <xdr:twoCellAnchor>
    <xdr:from>
      <xdr:col>28</xdr:col>
      <xdr:colOff>114300</xdr:colOff>
      <xdr:row>10</xdr:row>
      <xdr:rowOff>85725</xdr:rowOff>
    </xdr:from>
    <xdr:to>
      <xdr:col>28</xdr:col>
      <xdr:colOff>485775</xdr:colOff>
      <xdr:row>14</xdr:row>
      <xdr:rowOff>85725</xdr:rowOff>
    </xdr:to>
    <xdr:sp>
      <xdr:nvSpPr>
        <xdr:cNvPr id="9" name="Nuoli oikealle 10"/>
        <xdr:cNvSpPr>
          <a:spLocks/>
        </xdr:cNvSpPr>
      </xdr:nvSpPr>
      <xdr:spPr>
        <a:xfrm>
          <a:off x="19164300" y="1704975"/>
          <a:ext cx="371475" cy="6477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95250</xdr:colOff>
      <xdr:row>3</xdr:row>
      <xdr:rowOff>28575</xdr:rowOff>
    </xdr:from>
    <xdr:to>
      <xdr:col>42</xdr:col>
      <xdr:colOff>123825</xdr:colOff>
      <xdr:row>23</xdr:row>
      <xdr:rowOff>104775</xdr:rowOff>
    </xdr:to>
    <xdr:graphicFrame>
      <xdr:nvGraphicFramePr>
        <xdr:cNvPr id="10" name="Kaavio 11"/>
        <xdr:cNvGraphicFramePr/>
      </xdr:nvGraphicFramePr>
      <xdr:xfrm>
        <a:off x="24869775" y="514350"/>
        <a:ext cx="4219575" cy="3371850"/>
      </xdr:xfrm>
      <a:graphic>
        <a:graphicData uri="http://schemas.openxmlformats.org/drawingml/2006/chart">
          <c:chart xmlns:c="http://schemas.openxmlformats.org/drawingml/2006/chart" r:id="rId6"/>
        </a:graphicData>
      </a:graphic>
    </xdr:graphicFrame>
    <xdr:clientData/>
  </xdr:twoCellAnchor>
  <xdr:twoCellAnchor>
    <xdr:from>
      <xdr:col>36</xdr:col>
      <xdr:colOff>171450</xdr:colOff>
      <xdr:row>10</xdr:row>
      <xdr:rowOff>66675</xdr:rowOff>
    </xdr:from>
    <xdr:to>
      <xdr:col>37</xdr:col>
      <xdr:colOff>47625</xdr:colOff>
      <xdr:row>14</xdr:row>
      <xdr:rowOff>76200</xdr:rowOff>
    </xdr:to>
    <xdr:sp>
      <xdr:nvSpPr>
        <xdr:cNvPr id="11" name="Nuoli oikealle 13"/>
        <xdr:cNvSpPr>
          <a:spLocks/>
        </xdr:cNvSpPr>
      </xdr:nvSpPr>
      <xdr:spPr>
        <a:xfrm>
          <a:off x="24336375" y="1685925"/>
          <a:ext cx="485775" cy="657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1</xdr:row>
      <xdr:rowOff>0</xdr:rowOff>
    </xdr:from>
    <xdr:to>
      <xdr:col>7</xdr:col>
      <xdr:colOff>1200150</xdr:colOff>
      <xdr:row>2</xdr:row>
      <xdr:rowOff>257175</xdr:rowOff>
    </xdr:to>
    <xdr:pic>
      <xdr:nvPicPr>
        <xdr:cNvPr id="1" name="Kuva 1"/>
        <xdr:cNvPicPr preferRelativeResize="1">
          <a:picLocks noChangeAspect="1"/>
        </xdr:cNvPicPr>
      </xdr:nvPicPr>
      <xdr:blipFill>
        <a:blip r:embed="rId1"/>
        <a:stretch>
          <a:fillRect/>
        </a:stretch>
      </xdr:blipFill>
      <xdr:spPr>
        <a:xfrm>
          <a:off x="11220450" y="161925"/>
          <a:ext cx="11430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4</xdr:row>
      <xdr:rowOff>95250</xdr:rowOff>
    </xdr:from>
    <xdr:to>
      <xdr:col>10</xdr:col>
      <xdr:colOff>47625</xdr:colOff>
      <xdr:row>18</xdr:row>
      <xdr:rowOff>104775</xdr:rowOff>
    </xdr:to>
    <xdr:pic>
      <xdr:nvPicPr>
        <xdr:cNvPr id="1" name="Kuva 1"/>
        <xdr:cNvPicPr preferRelativeResize="1">
          <a:picLocks noChangeAspect="1"/>
        </xdr:cNvPicPr>
      </xdr:nvPicPr>
      <xdr:blipFill>
        <a:blip r:embed="rId1"/>
        <a:stretch>
          <a:fillRect/>
        </a:stretch>
      </xdr:blipFill>
      <xdr:spPr>
        <a:xfrm>
          <a:off x="4438650" y="771525"/>
          <a:ext cx="2847975" cy="2352675"/>
        </a:xfrm>
        <a:prstGeom prst="rect">
          <a:avLst/>
        </a:prstGeom>
        <a:noFill/>
        <a:ln w="9525" cmpd="sng">
          <a:noFill/>
        </a:ln>
      </xdr:spPr>
    </xdr:pic>
    <xdr:clientData/>
  </xdr:twoCellAnchor>
  <xdr:twoCellAnchor>
    <xdr:from>
      <xdr:col>4</xdr:col>
      <xdr:colOff>409575</xdr:colOff>
      <xdr:row>20</xdr:row>
      <xdr:rowOff>114300</xdr:rowOff>
    </xdr:from>
    <xdr:to>
      <xdr:col>5</xdr:col>
      <xdr:colOff>342900</xdr:colOff>
      <xdr:row>26</xdr:row>
      <xdr:rowOff>57150</xdr:rowOff>
    </xdr:to>
    <xdr:sp>
      <xdr:nvSpPr>
        <xdr:cNvPr id="2" name="Nuoli oikealle 2"/>
        <xdr:cNvSpPr>
          <a:spLocks/>
        </xdr:cNvSpPr>
      </xdr:nvSpPr>
      <xdr:spPr>
        <a:xfrm>
          <a:off x="3448050" y="3457575"/>
          <a:ext cx="981075" cy="10001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20</xdr:row>
      <xdr:rowOff>85725</xdr:rowOff>
    </xdr:from>
    <xdr:to>
      <xdr:col>10</xdr:col>
      <xdr:colOff>495300</xdr:colOff>
      <xdr:row>26</xdr:row>
      <xdr:rowOff>57150</xdr:rowOff>
    </xdr:to>
    <xdr:sp>
      <xdr:nvSpPr>
        <xdr:cNvPr id="3" name="Nuoli oikealle 3"/>
        <xdr:cNvSpPr>
          <a:spLocks/>
        </xdr:cNvSpPr>
      </xdr:nvSpPr>
      <xdr:spPr>
        <a:xfrm rot="10800000">
          <a:off x="6810375" y="3429000"/>
          <a:ext cx="923925" cy="1028700"/>
        </a:xfrm>
        <a:prstGeom prst="rightArrow">
          <a:avLst>
            <a:gd name="adj" fmla="val 121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4314825</xdr:colOff>
      <xdr:row>1</xdr:row>
      <xdr:rowOff>28575</xdr:rowOff>
    </xdr:from>
    <xdr:to>
      <xdr:col>5</xdr:col>
      <xdr:colOff>5467350</xdr:colOff>
      <xdr:row>4</xdr:row>
      <xdr:rowOff>0</xdr:rowOff>
    </xdr:to>
    <xdr:pic>
      <xdr:nvPicPr>
        <xdr:cNvPr id="1" name="Kuva 1"/>
        <xdr:cNvPicPr preferRelativeResize="1">
          <a:picLocks noChangeAspect="1"/>
        </xdr:cNvPicPr>
      </xdr:nvPicPr>
      <xdr:blipFill>
        <a:blip r:embed="rId1"/>
        <a:stretch>
          <a:fillRect/>
        </a:stretch>
      </xdr:blipFill>
      <xdr:spPr>
        <a:xfrm>
          <a:off x="10772775" y="190500"/>
          <a:ext cx="11430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5400675</xdr:colOff>
      <xdr:row>2</xdr:row>
      <xdr:rowOff>19050</xdr:rowOff>
    </xdr:from>
    <xdr:to>
      <xdr:col>4</xdr:col>
      <xdr:colOff>6534150</xdr:colOff>
      <xdr:row>4</xdr:row>
      <xdr:rowOff>133350</xdr:rowOff>
    </xdr:to>
    <xdr:pic>
      <xdr:nvPicPr>
        <xdr:cNvPr id="1" name="Kuva 1"/>
        <xdr:cNvPicPr preferRelativeResize="1">
          <a:picLocks noChangeAspect="1"/>
        </xdr:cNvPicPr>
      </xdr:nvPicPr>
      <xdr:blipFill>
        <a:blip r:embed="rId1"/>
        <a:stretch>
          <a:fillRect/>
        </a:stretch>
      </xdr:blipFill>
      <xdr:spPr>
        <a:xfrm>
          <a:off x="11410950" y="400050"/>
          <a:ext cx="11430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114300</xdr:colOff>
      <xdr:row>8</xdr:row>
      <xdr:rowOff>95250</xdr:rowOff>
    </xdr:from>
    <xdr:to>
      <xdr:col>20</xdr:col>
      <xdr:colOff>57150</xdr:colOff>
      <xdr:row>15</xdr:row>
      <xdr:rowOff>114300</xdr:rowOff>
    </xdr:to>
    <xdr:pic>
      <xdr:nvPicPr>
        <xdr:cNvPr id="1" name="Kuva 2"/>
        <xdr:cNvPicPr preferRelativeResize="1">
          <a:picLocks noChangeAspect="1"/>
        </xdr:cNvPicPr>
      </xdr:nvPicPr>
      <xdr:blipFill>
        <a:blip r:embed="rId1"/>
        <a:stretch>
          <a:fillRect/>
        </a:stretch>
      </xdr:blipFill>
      <xdr:spPr>
        <a:xfrm>
          <a:off x="9744075" y="1390650"/>
          <a:ext cx="42100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alueuudistus.fi/kuntien-valtionosuusjarjestelma" TargetMode="External" /><Relationship Id="rId2" Type="http://schemas.openxmlformats.org/officeDocument/2006/relationships/hyperlink" Target="http://alueuudistus.fi/documents/1477425/5328784/Kuntakohtaisten+painelaskelmien+aineisto-+ja+menetelm%C3%A4kuvaus+15092017/35d54485-5fa0-497c-a9fe-9ae11d963a09" TargetMode="Externa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ul4"/>
  <dimension ref="B1:BI29"/>
  <sheetViews>
    <sheetView zoomScale="90" zoomScaleNormal="90" zoomScalePageLayoutView="0" workbookViewId="0" topLeftCell="A1">
      <selection activeCell="Q38" sqref="Q38"/>
    </sheetView>
  </sheetViews>
  <sheetFormatPr defaultColWidth="9.140625" defaultRowHeight="12.75"/>
  <cols>
    <col min="2" max="2" width="10.8515625" style="0" customWidth="1"/>
    <col min="3" max="3" width="8.28125" style="0" customWidth="1"/>
    <col min="4" max="4" width="12.28125" style="0" customWidth="1"/>
    <col min="5" max="5" width="11.7109375" style="0" customWidth="1"/>
    <col min="6" max="6" width="8.8515625" style="0" customWidth="1"/>
    <col min="7" max="7" width="9.57421875" style="0" customWidth="1"/>
    <col min="11" max="11" width="12.421875" style="0" customWidth="1"/>
    <col min="19" max="19" width="19.00390625" style="0" customWidth="1"/>
    <col min="20" max="20" width="12.7109375" style="0" customWidth="1"/>
    <col min="21" max="21" width="13.7109375" style="0" customWidth="1"/>
    <col min="22" max="22" width="9.7109375" style="0" customWidth="1"/>
    <col min="23" max="23" width="9.00390625" style="0" customWidth="1"/>
    <col min="24" max="24" width="8.8515625" style="0" customWidth="1"/>
    <col min="25" max="25" width="10.7109375" style="0" customWidth="1"/>
    <col min="33" max="33" width="11.57421875" style="0" customWidth="1"/>
    <col min="34" max="34" width="10.28125" style="0" customWidth="1"/>
    <col min="41" max="41" width="16.7109375" style="0" customWidth="1"/>
    <col min="42" max="42" width="18.7109375" style="0" customWidth="1"/>
    <col min="43" max="43" width="20.140625" style="0" customWidth="1"/>
    <col min="44" max="44" width="22.140625" style="0" customWidth="1"/>
    <col min="45" max="45" width="27.00390625" style="0" customWidth="1"/>
    <col min="46" max="46" width="18.421875" style="0" customWidth="1"/>
    <col min="47" max="47" width="16.140625" style="0" customWidth="1"/>
    <col min="48" max="48" width="23.28125" style="0" customWidth="1"/>
    <col min="49" max="49" width="16.28125" style="0" customWidth="1"/>
    <col min="50" max="50" width="19.57421875" style="0" customWidth="1"/>
    <col min="51" max="51" width="23.7109375" style="0" customWidth="1"/>
    <col min="52" max="52" width="18.28125" style="0" customWidth="1"/>
    <col min="53" max="53" width="17.57421875" style="0" customWidth="1"/>
    <col min="54" max="54" width="19.8515625" style="0" customWidth="1"/>
    <col min="55" max="55" width="18.140625" style="0" customWidth="1"/>
    <col min="56" max="56" width="17.140625" style="0" customWidth="1"/>
    <col min="57" max="57" width="15.57421875" style="0" customWidth="1"/>
    <col min="58" max="58" width="10.28125" style="0" customWidth="1"/>
    <col min="59" max="59" width="17.421875" style="0" customWidth="1"/>
    <col min="60" max="60" width="17.28125" style="0" customWidth="1"/>
    <col min="61" max="61" width="19.7109375" style="0" customWidth="1"/>
  </cols>
  <sheetData>
    <row r="1" ht="12.75">
      <c r="B1" s="111" t="s">
        <v>518</v>
      </c>
    </row>
    <row r="2" ht="12.75">
      <c r="B2" s="112" t="s">
        <v>515</v>
      </c>
    </row>
    <row r="3" spans="2:59" ht="12.75">
      <c r="B3" s="3" t="str">
        <f>"Vanha "&amp;Tuloslaskelma!A8</f>
        <v>Vanha Manner-Suomi</v>
      </c>
      <c r="I3" s="3" t="str">
        <f>"Uusi "&amp;Tuloslaskelma!$A$8&amp;" vuonna 2023"</f>
        <v>Uusi Manner-Suomi vuonna 2023</v>
      </c>
      <c r="J3" s="3"/>
      <c r="K3" s="3"/>
      <c r="L3" s="3"/>
      <c r="M3" s="3"/>
      <c r="N3" s="3"/>
      <c r="O3" s="3"/>
      <c r="P3" s="3"/>
      <c r="Q3" s="3" t="str">
        <f>"Uusi "&amp;Tuloslaskelma!$A$8&amp;" vuonna 2024"</f>
        <v>Uusi Manner-Suomi vuonna 2024</v>
      </c>
      <c r="R3" s="3"/>
      <c r="S3" s="3"/>
      <c r="T3" s="3"/>
      <c r="U3" s="3"/>
      <c r="V3" s="3"/>
      <c r="W3" s="3" t="str">
        <f>"Uusi "&amp;Tuloslaskelma!$A$8&amp;" vuonna 2025"</f>
        <v>Uusi Manner-Suomi vuonna 2025</v>
      </c>
      <c r="X3" s="3"/>
      <c r="Y3" s="3"/>
      <c r="Z3" s="3"/>
      <c r="AA3" s="3"/>
      <c r="AB3" s="3"/>
      <c r="AC3" s="3"/>
      <c r="AD3" s="3"/>
      <c r="AE3" s="3" t="str">
        <f>"Uusi "&amp;Tuloslaskelma!$A$8&amp;" vuonna 2026"</f>
        <v>Uusi Manner-Suomi vuonna 2026</v>
      </c>
      <c r="AF3" s="3"/>
      <c r="AG3" s="3"/>
      <c r="AH3" s="3"/>
      <c r="AI3" s="3"/>
      <c r="AJ3" s="3"/>
      <c r="AK3" s="3"/>
      <c r="AL3" s="3"/>
      <c r="AM3" s="3" t="str">
        <f>"Uusi "&amp;Tuloslaskelma!$A$8&amp;" vuonna 2027"</f>
        <v>Uusi Manner-Suomi vuonna 2027</v>
      </c>
      <c r="AU3">
        <v>2023</v>
      </c>
      <c r="AX3">
        <v>2024</v>
      </c>
      <c r="BA3">
        <v>2025</v>
      </c>
      <c r="BD3">
        <v>2026</v>
      </c>
      <c r="BG3">
        <v>2027</v>
      </c>
    </row>
    <row r="5" spans="44:61" ht="12.75">
      <c r="AR5" s="108"/>
      <c r="AS5" s="108" t="str">
        <f>"Toimintakate+poistot "&amp;IF(AS11="","","+rahoituserät(netto) ")&amp;IF(AS13&gt;1000000,ROUND(AS13/1000000,1)&amp;" mrd.€",ROUND(AS13/1000,0)&amp;" milj. €")</f>
        <v>Toimintakate+poistot 35,1 mrd.€</v>
      </c>
      <c r="AT5" s="108" t="str">
        <f>"Rahoitus "&amp;IF(AS13&gt;1000000,ROUND(AT13/1000000,1)&amp;" mrd.€",ROUND(AT13/1000,0)&amp;" milj. €")</f>
        <v>Rahoitus 36,1 mrd.€</v>
      </c>
      <c r="AU5" s="108"/>
      <c r="AV5" s="108" t="str">
        <f>"Toimintakate+poistot"&amp;IF(AV11="","","+rahoituser.(netto) ")&amp;" "&amp;IF(AV10="","","+vos(neg.) ")&amp;IF(AV13&gt;1000000,ROUND(AV13/1000000,1)&amp;" mrd.€",ROUND(AV13/1000,0)&amp;" milj. €")</f>
        <v>Toimintakate+poistot 14,4 mrd.€</v>
      </c>
      <c r="AW5" s="108" t="str">
        <f>"Rahoitus "&amp;IF(AV13&gt;1000000,ROUND(AW13/1000000,1)&amp;" mrd.€",ROUND(AW13/1000,0)&amp;" milj. €")</f>
        <v>Rahoitus 15,4 mrd.€</v>
      </c>
      <c r="AX5" s="108"/>
      <c r="AY5" s="108" t="str">
        <f>"Toimintakate+poistot"&amp;IF(AY11="","","+rahoituser.(netto) ")&amp;" "&amp;IF(AY10="","","+vos(neg.) ")&amp;IF(AY13&gt;1000000,ROUND(AY13/1000000,1)&amp;" mrd.€",ROUND(AY13/1000,0)&amp;" milj. €")</f>
        <v>Toimintakate+poistot 14,4 mrd.€</v>
      </c>
      <c r="AZ5" s="108" t="str">
        <f>"Rahoitus "&amp;IF(AY13&gt;1000000,ROUND(AZ13/1000000,1)&amp;" mrd.€",ROUND(AZ13/1000,0)&amp;" milj. €")</f>
        <v>Rahoitus 15,4 mrd.€</v>
      </c>
      <c r="BA5" s="108"/>
      <c r="BB5" s="108" t="str">
        <f>"Toimintakate+poistot"&amp;IF(BB11="","","+rahoituser.(netto) ")&amp;" "&amp;IF(BB10="","","+vos(neg.) ")&amp;IF(BB13&gt;1000000,ROUND(BB13/1000000,1)&amp;" mrd.€",ROUND(BB13/1000,0)&amp;" milj. €")</f>
        <v>Toimintakate+poistot 14,4 mrd.€</v>
      </c>
      <c r="BC5" s="108" t="str">
        <f>"Rahoitus "&amp;IF(BB13&gt;1000000,ROUND(BC13/1000000,1)&amp;" mrd.€",ROUND(BC13/1000,0)&amp;" milj. €")</f>
        <v>Rahoitus 15,4 mrd.€</v>
      </c>
      <c r="BD5" s="108"/>
      <c r="BE5" s="108" t="str">
        <f>"Toimintakate+poistot"&amp;IF(BE11="","","+rahoituser.(netto) ")&amp;" "&amp;IF(BE10="","","+vos(neg.) ")&amp;IF(BE13&gt;1000000,ROUND(BE13/1000000,1)&amp;" mrd.€",ROUND(BE13/1000,0)&amp;" milj. €")</f>
        <v>Toimintakate+poistot 14,4 mrd.€</v>
      </c>
      <c r="BF5" s="108" t="str">
        <f>"Rahoitus "&amp;IF(BE13&gt;1000000,ROUND(BF13/1000000,1)&amp;" mrd.€",ROUND(BF13/1000,0)&amp;" milj. €")</f>
        <v>Rahoitus 15,4 mrd.€</v>
      </c>
      <c r="BG5" s="108"/>
      <c r="BH5" s="108" t="str">
        <f>"Toimintakate+poistot"&amp;IF(BH11="","","+rahoituser.(netto) ")&amp;" "&amp;IF(BH10="","","+vos(neg.) ")&amp;IF(BH13&gt;1000000,ROUND(BH13/1000000,1)&amp;" mrd.€",ROUND(BH13/1000,0)&amp;" milj. €")</f>
        <v>Toimintakate+poistot 14,4 mrd.€</v>
      </c>
      <c r="BI5" s="108" t="str">
        <f>"Rahoitus "&amp;IF(BH13&gt;1000000,ROUND(BI13/1000000,1)&amp;" mrd.€",ROUND(BI13/1000,0)&amp;" milj. €")</f>
        <v>Rahoitus 15,4 mrd.€</v>
      </c>
    </row>
    <row r="6" spans="44:60" ht="12.75">
      <c r="AR6" s="108" t="s">
        <v>514</v>
      </c>
      <c r="AS6" s="109">
        <f>Tuloslaskelma!B29*(-1)</f>
        <v>32787033.76182001</v>
      </c>
      <c r="AU6" s="108" t="s">
        <v>514</v>
      </c>
      <c r="AV6" s="109">
        <f>Tuloslaskelma!D29*(-1)</f>
        <v>12141227.416859247</v>
      </c>
      <c r="AX6" s="108" t="s">
        <v>514</v>
      </c>
      <c r="AY6" s="109">
        <f>Tuloslaskelma!E29*(-1)</f>
        <v>12141227.416859247</v>
      </c>
      <c r="BA6" s="108" t="s">
        <v>514</v>
      </c>
      <c r="BB6" s="109">
        <f>Tuloslaskelma!F29*(-1)</f>
        <v>12141227.416859247</v>
      </c>
      <c r="BD6" s="108" t="s">
        <v>514</v>
      </c>
      <c r="BE6" s="109">
        <f>Tuloslaskelma!G29*(-1)</f>
        <v>12141227.416859247</v>
      </c>
      <c r="BG6" s="108" t="s">
        <v>514</v>
      </c>
      <c r="BH6" s="109">
        <f>Tuloslaskelma!H29*(-1)</f>
        <v>12141227.416859247</v>
      </c>
    </row>
    <row r="7" spans="44:61" ht="12.75">
      <c r="AR7" s="108" t="str">
        <f>IF(Tuloslaskelma!B42=0,"verot yhteensä ","kunnallisvero ")&amp;ROUND(AT7/AT13*100,0)&amp;"%"</f>
        <v>kunnallisvero 59%</v>
      </c>
      <c r="AT7" s="109">
        <f>IF(Tuloslaskelma!B42=0,Tuloslaskelma!B41,Tuloslaskelma!B42)</f>
        <v>21206183.053433087</v>
      </c>
      <c r="AU7" s="108" t="str">
        <f>IF(Tuloslaskelma!D42=0,"verot yhteensä ","kunnallisvero ")&amp;ROUND(AW7/AW13*100,0)&amp;"%"</f>
        <v>kunnallisvero 54%</v>
      </c>
      <c r="AW7" s="109">
        <f>IF(Tuloslaskelma!D42=0,Tuloslaskelma!D41,Tuloslaskelma!D42)</f>
        <v>8365176.431463104</v>
      </c>
      <c r="AX7" s="108" t="str">
        <f>IF(Tuloslaskelma!E42=0,"verot yhteensä ","kunnallisvero ")&amp;ROUND(AZ7/AZ13*100,0)&amp;"%"</f>
        <v>kunnallisvero 54%</v>
      </c>
      <c r="AZ7" s="109">
        <f>IF(Tuloslaskelma!E42=0,Tuloslaskelma!E41,Tuloslaskelma!E42)</f>
        <v>8365176.431463104</v>
      </c>
      <c r="BA7" s="108" t="str">
        <f>IF(Tuloslaskelma!F42=0,"verot yhteensä ","kunnallisvero ")&amp;ROUND(BC7/BC13*100,0)&amp;"%"</f>
        <v>kunnallisvero 54%</v>
      </c>
      <c r="BC7" s="109">
        <f>IF(Tuloslaskelma!F42=0,Tuloslaskelma!F41,Tuloslaskelma!F42)</f>
        <v>8365176.431463104</v>
      </c>
      <c r="BD7" s="108" t="str">
        <f>IF(Tuloslaskelma!G42=0,"verot yhteensä ","kunnallisvero ")&amp;ROUND(BF7/BF13*100,0)&amp;"%"</f>
        <v>kunnallisvero 54%</v>
      </c>
      <c r="BF7" s="109">
        <f>IF(Tuloslaskelma!G42=0,Tuloslaskelma!G41,Tuloslaskelma!G42)</f>
        <v>8365176.431463104</v>
      </c>
      <c r="BG7" s="108" t="str">
        <f>IF(Tuloslaskelma!H42=0,"verot yhteensä ","kunnallisvero ")&amp;ROUND(BI7/BI13*100,0)&amp;"%"</f>
        <v>kunnallisvero 54%</v>
      </c>
      <c r="BI7" s="109">
        <f>IF(Tuloslaskelma!H42=0,Tuloslaskelma!H41,Tuloslaskelma!H42)</f>
        <v>8365176.431463104</v>
      </c>
    </row>
    <row r="8" spans="44:61" ht="12.75">
      <c r="AR8" s="108" t="str">
        <f>"yhteisövero "&amp;ROUND(AT8/AT13*100,0)&amp;"%"</f>
        <v>yhteisövero 6%</v>
      </c>
      <c r="AT8" s="109">
        <f>Tuloslaskelma!B43</f>
        <v>2022533.6609043942</v>
      </c>
      <c r="AU8" s="108" t="str">
        <f>"yhteisövero "&amp;ROUND(AW8/AW13*100,0)&amp;"%"</f>
        <v>yhteisövero 9%</v>
      </c>
      <c r="AW8" s="109">
        <f>Tuloslaskelma!D43</f>
        <v>1348355.7739362607</v>
      </c>
      <c r="AX8" s="108" t="str">
        <f>"yhteisövero "&amp;ROUND(AZ8/AZ13*100,0)&amp;"%"</f>
        <v>yhteisövero 9%</v>
      </c>
      <c r="AZ8" s="109">
        <f>Tuloslaskelma!E43</f>
        <v>1348355.7739362607</v>
      </c>
      <c r="BA8" s="108" t="str">
        <f>"yhteisövero "&amp;ROUND(BC8/BC13*100,0)&amp;"%"</f>
        <v>yhteisövero 9%</v>
      </c>
      <c r="BC8" s="109">
        <f>Tuloslaskelma!F43</f>
        <v>1348355.7739362607</v>
      </c>
      <c r="BD8" s="108" t="str">
        <f>"yhteisövero "&amp;ROUND(BF8/BF13*100,0)&amp;"%"</f>
        <v>yhteisövero 9%</v>
      </c>
      <c r="BF8" s="109">
        <f>Tuloslaskelma!G43</f>
        <v>1348355.7739362607</v>
      </c>
      <c r="BG8" s="108" t="str">
        <f>"yhteisövero "&amp;ROUND(BI8/BI13*100,0)&amp;"%"</f>
        <v>yhteisövero 9%</v>
      </c>
      <c r="BI8" s="109">
        <f>Tuloslaskelma!H43</f>
        <v>1348355.7739362607</v>
      </c>
    </row>
    <row r="9" spans="44:61" ht="12.75">
      <c r="AR9" s="108" t="str">
        <f>"kiinteistövero "&amp;ROUND(AT9/AT13*100,0)&amp;"%"</f>
        <v>kiinteistövero 6%</v>
      </c>
      <c r="AT9" s="109">
        <f>Tuloslaskelma!B44</f>
        <v>2028048.7908670995</v>
      </c>
      <c r="AU9" s="108" t="str">
        <f>"kiinteistövero "&amp;ROUND(AW9/AW13*100,0)&amp;"%"</f>
        <v>kiinteistövero 13%</v>
      </c>
      <c r="AW9" s="109">
        <f>Tuloslaskelma!D44</f>
        <v>2028048.7908670995</v>
      </c>
      <c r="AX9" s="108" t="str">
        <f>"kiinteistövero "&amp;ROUND(AZ9/AZ13*100,0)&amp;"%"</f>
        <v>kiinteistövero 13%</v>
      </c>
      <c r="AZ9" s="109">
        <f>Tuloslaskelma!E44</f>
        <v>2028048.7908670995</v>
      </c>
      <c r="BA9" s="108" t="str">
        <f>"kiinteistövero "&amp;ROUND(BC9/BC13*100,0)&amp;"%"</f>
        <v>kiinteistövero 13%</v>
      </c>
      <c r="BC9" s="109">
        <f>Tuloslaskelma!F44</f>
        <v>2028048.7908670995</v>
      </c>
      <c r="BD9" s="108" t="str">
        <f>"kiinteistövero "&amp;ROUND(BF9/BF13*100,0)&amp;"%"</f>
        <v>kiinteistövero 13%</v>
      </c>
      <c r="BF9" s="109">
        <f>Tuloslaskelma!G44</f>
        <v>2028048.7908670995</v>
      </c>
      <c r="BG9" s="108" t="str">
        <f>"kiinteistövero "&amp;ROUND(BI9/BI13*100,0)&amp;"%"</f>
        <v>kiinteistövero 13%</v>
      </c>
      <c r="BI9" s="109">
        <f>Tuloslaskelma!H44</f>
        <v>2028048.7908670995</v>
      </c>
    </row>
    <row r="10" spans="44:61" ht="12.75">
      <c r="AR10" s="108" t="str">
        <f>"vos "&amp;ROUND(AT10/AT13*100,0)&amp;"%"</f>
        <v>vos 29%</v>
      </c>
      <c r="AS10">
        <f>IF(Tuloslaskelma!B46&lt;0,Tuloslaskelma!B46,"")</f>
      </c>
      <c r="AT10" s="109">
        <f>IF(Tuloslaskelma!B46&gt;0,Tuloslaskelma!B46,"")</f>
        <v>10462300.440720022</v>
      </c>
      <c r="AU10" s="108" t="str">
        <f>IF(AW10="","","vos "&amp;ROUND(AW10/AW13*100,0)&amp;"%")</f>
        <v>vos 21%</v>
      </c>
      <c r="AV10" s="114">
        <f>IF(Tuloslaskelma!D46&lt;0,Tuloslaskelma!D46*(-1),"")</f>
      </c>
      <c r="AW10" s="109">
        <f>IF(Tuloslaskelma!D46&gt;0,Tuloslaskelma!D46,"")</f>
        <v>3295271.6944147847</v>
      </c>
      <c r="AX10" s="108" t="str">
        <f>IF(AZ10="","","vos "&amp;ROUND(AZ10/AZ13*100,0)&amp;"%")</f>
        <v>vos 21%</v>
      </c>
      <c r="AY10" s="114">
        <f>IF(Tuloslaskelma!E46&lt;0,Tuloslaskelma!E46*(-1),"")</f>
      </c>
      <c r="AZ10" s="109">
        <f>IF(Tuloslaskelma!E46&gt;0,Tuloslaskelma!E46,"")</f>
        <v>3295271.69441478</v>
      </c>
      <c r="BA10" s="108" t="str">
        <f>IF(BC10="","","vos "&amp;ROUND(BC10/BC13*100,0)&amp;"%")</f>
        <v>vos 21%</v>
      </c>
      <c r="BB10" s="114">
        <f>IF(Tuloslaskelma!F46&lt;0,Tuloslaskelma!F46*(-1),"")</f>
      </c>
      <c r="BC10" s="109">
        <f>IF(Tuloslaskelma!F46&gt;0,Tuloslaskelma!F46,"")</f>
        <v>3295271.69441478</v>
      </c>
      <c r="BD10" s="108" t="str">
        <f>IF(BF10="","","vos "&amp;ROUND(BF10/BF13*100,0)&amp;"%")</f>
        <v>vos 21%</v>
      </c>
      <c r="BE10" s="114">
        <f>IF(Tuloslaskelma!G46&lt;0,Tuloslaskelma!G46*(-1),"")</f>
      </c>
      <c r="BF10" s="109">
        <f>IF(Tuloslaskelma!G46&gt;0,Tuloslaskelma!G46,"")</f>
        <v>3295271.69441478</v>
      </c>
      <c r="BG10" s="108" t="str">
        <f>IF(BI10="","","vos "&amp;ROUND(BI10/BI13*100,0)&amp;"%")</f>
        <v>vos 21%</v>
      </c>
      <c r="BH10" s="114">
        <f>IF(Tuloslaskelma!H46&lt;0,Tuloslaskelma!H46*(-1),"")</f>
      </c>
      <c r="BI10" s="109">
        <f>IF(Tuloslaskelma!H46&gt;0,Tuloslaskelma!H46,"")</f>
        <v>3295271.69441478</v>
      </c>
    </row>
    <row r="11" spans="44:61" ht="12.75">
      <c r="AR11" s="108" t="str">
        <f>IF(AT11="","","rahoituserät (netto) "&amp;ROUND(AT11/AT13*100,0)&amp;"%")</f>
        <v>rahoituserät (netto) 1%</v>
      </c>
      <c r="AS11" s="109">
        <f>IF(Tuloslaskelma!B53&lt;0,Tuloslaskelma!B53*(-1),"")</f>
      </c>
      <c r="AT11" s="109">
        <f>IF(Tuloslaskelma!B53&gt;0,Tuloslaskelma!B53,"")</f>
        <v>336872.10123000003</v>
      </c>
      <c r="AU11" s="108" t="str">
        <f>IF(AW11="","","rahoituserät (netto) "&amp;ROUND(AW11/AW13*100,0)&amp;"%")</f>
        <v>rahoituserät (netto) 2%</v>
      </c>
      <c r="AV11" s="109">
        <f>IF(Tuloslaskelma!D53&lt;0,Tuloslaskelma!D53*(-1),"")</f>
      </c>
      <c r="AW11" s="109">
        <f>IF(Tuloslaskelma!D53&gt;0,Tuloslaskelma!D53,"")</f>
        <v>336872.10123000003</v>
      </c>
      <c r="AX11" s="108" t="str">
        <f>IF(AZ11="","","rahoituserät (netto) "&amp;ROUND(AZ11/AZ13*100,0)&amp;"%")</f>
        <v>rahoituserät (netto) 2%</v>
      </c>
      <c r="AY11" s="109">
        <f>IF(Tuloslaskelma!E53&lt;0,Tuloslaskelma!E53*(-1),"")</f>
      </c>
      <c r="AZ11" s="109">
        <f>IF(Tuloslaskelma!E53&gt;0,Tuloslaskelma!E53,"")</f>
        <v>336872.10123000003</v>
      </c>
      <c r="BA11" s="108" t="str">
        <f>IF(BC11="","","rahoituserät (netto) "&amp;ROUND(BC11/BC13*100,0)&amp;"%")</f>
        <v>rahoituserät (netto) 2%</v>
      </c>
      <c r="BB11" s="109">
        <f>IF(Tuloslaskelma!F53&lt;0,Tuloslaskelma!F53*(-1),"")</f>
      </c>
      <c r="BC11" s="109">
        <f>IF(Tuloslaskelma!F53&gt;0,Tuloslaskelma!F53,"")</f>
        <v>336872.10123000003</v>
      </c>
      <c r="BD11" s="108" t="str">
        <f>IF(BF11="","","rahoituserät (netto) "&amp;ROUND(BF11/BF13*100,0)&amp;"%")</f>
        <v>rahoituserät (netto) 2%</v>
      </c>
      <c r="BE11" s="109">
        <f>IF(Tuloslaskelma!G53&lt;0,Tuloslaskelma!G53*(-1),"")</f>
      </c>
      <c r="BF11" s="109">
        <f>IF(Tuloslaskelma!G53&gt;0,Tuloslaskelma!G53,"")</f>
        <v>336872.10123000003</v>
      </c>
      <c r="BG11" s="108" t="str">
        <f>IF(BI11="","","rahoituserät (netto) "&amp;ROUND(BI11/BI13*100,0)&amp;"%")</f>
        <v>rahoituserät (netto) 2%</v>
      </c>
      <c r="BH11" s="109">
        <f>IF(Tuloslaskelma!H53&lt;0,Tuloslaskelma!H53*(-1),"")</f>
      </c>
      <c r="BI11" s="109">
        <f>IF(Tuloslaskelma!H53&gt;0,Tuloslaskelma!H53,"")</f>
        <v>336872.10123000003</v>
      </c>
    </row>
    <row r="12" spans="44:60" ht="12.75">
      <c r="AR12" s="116" t="s">
        <v>517</v>
      </c>
      <c r="AS12" s="109">
        <f>IF(Tuloslaskelma!B62&lt;0,Tuloslaskelma!B62*(-1),"")</f>
        <v>2305725</v>
      </c>
      <c r="AU12" s="116" t="s">
        <v>517</v>
      </c>
      <c r="AV12" s="109">
        <f>IF(Tuloslaskelma!D62&lt;0,Tuloslaskelma!D62*(-1),"")</f>
        <v>2246732</v>
      </c>
      <c r="AX12" s="116" t="s">
        <v>517</v>
      </c>
      <c r="AY12" s="109">
        <f>IF(Tuloslaskelma!E62&lt;0,Tuloslaskelma!E62*(-1),"")</f>
        <v>2246732</v>
      </c>
      <c r="BA12" s="116" t="s">
        <v>517</v>
      </c>
      <c r="BB12" s="109">
        <f>IF(Tuloslaskelma!F62&lt;0,Tuloslaskelma!F62*(-1),"")</f>
        <v>2246732</v>
      </c>
      <c r="BD12" s="116" t="s">
        <v>517</v>
      </c>
      <c r="BE12" s="109">
        <f>IF(Tuloslaskelma!G62&lt;0,Tuloslaskelma!G62*(-1),"")</f>
        <v>2246732</v>
      </c>
      <c r="BG12" s="116" t="s">
        <v>517</v>
      </c>
      <c r="BH12" s="109">
        <f>IF(Tuloslaskelma!H62&lt;0,Tuloslaskelma!H62*(-1),"")</f>
        <v>2246732</v>
      </c>
    </row>
    <row r="13" spans="44:61" ht="12.75">
      <c r="AR13" s="108" t="s">
        <v>23</v>
      </c>
      <c r="AS13" s="110">
        <f>SUM(AS6:AS12)</f>
        <v>35092758.76182001</v>
      </c>
      <c r="AT13" s="110">
        <f>SUM(AT7:AT11)</f>
        <v>36055938.047154605</v>
      </c>
      <c r="AU13" s="108" t="s">
        <v>23</v>
      </c>
      <c r="AV13" s="110">
        <f>SUM(AV6:AV12)</f>
        <v>14387959.416859247</v>
      </c>
      <c r="AW13" s="110">
        <f>SUM(AW7:AW11)</f>
        <v>15373724.791911248</v>
      </c>
      <c r="AX13" s="108" t="s">
        <v>23</v>
      </c>
      <c r="AY13" s="110">
        <f>SUM(AY6:AY12)</f>
        <v>14387959.416859247</v>
      </c>
      <c r="AZ13" s="110">
        <f>SUM(AZ7:AZ11)</f>
        <v>15373724.791911243</v>
      </c>
      <c r="BA13" s="108" t="s">
        <v>23</v>
      </c>
      <c r="BB13" s="110">
        <f>SUM(BB6:BB12)</f>
        <v>14387959.416859247</v>
      </c>
      <c r="BC13" s="110">
        <f>SUM(BC7:BC11)</f>
        <v>15373724.791911243</v>
      </c>
      <c r="BD13" s="108" t="s">
        <v>23</v>
      </c>
      <c r="BE13" s="110">
        <f>SUM(BE6:BE12)</f>
        <v>14387959.416859247</v>
      </c>
      <c r="BF13" s="110">
        <f>SUM(BF7:BF11)</f>
        <v>15373724.791911243</v>
      </c>
      <c r="BG13" s="108" t="s">
        <v>23</v>
      </c>
      <c r="BH13" s="110">
        <f>SUM(BH6:BH12)</f>
        <v>14387959.416859247</v>
      </c>
      <c r="BI13" s="110">
        <f>SUM(BI7:BI11)</f>
        <v>15373724.791911243</v>
      </c>
    </row>
    <row r="14" spans="46:61" ht="12.75">
      <c r="AT14" s="3"/>
      <c r="AU14" s="113" t="s">
        <v>516</v>
      </c>
      <c r="AV14" s="109">
        <f>AS13-AV13</f>
        <v>20704799.344960764</v>
      </c>
      <c r="AW14" s="109">
        <f>AT13-AW13</f>
        <v>20682213.255243357</v>
      </c>
      <c r="AX14" s="113" t="s">
        <v>516</v>
      </c>
      <c r="AY14" s="109">
        <f>$AS$13-AY13</f>
        <v>20704799.344960764</v>
      </c>
      <c r="AZ14" s="109">
        <f>$AT$13-AZ13</f>
        <v>20682213.25524336</v>
      </c>
      <c r="BA14" s="113" t="s">
        <v>516</v>
      </c>
      <c r="BB14" s="109">
        <f>$AS$13-BB13</f>
        <v>20704799.344960764</v>
      </c>
      <c r="BC14" s="109">
        <f>$AT$13-BC13</f>
        <v>20682213.25524336</v>
      </c>
      <c r="BD14" s="113" t="s">
        <v>516</v>
      </c>
      <c r="BE14" s="109">
        <f>$AS$13-BE13</f>
        <v>20704799.344960764</v>
      </c>
      <c r="BF14" s="109">
        <f>$AT$13-BF13</f>
        <v>20682213.25524336</v>
      </c>
      <c r="BG14" s="113" t="s">
        <v>516</v>
      </c>
      <c r="BH14" s="109">
        <f>$AS$13-BH13</f>
        <v>20704799.344960764</v>
      </c>
      <c r="BI14" s="109">
        <f>$AT$13-BI13</f>
        <v>20682213.25524336</v>
      </c>
    </row>
    <row r="23" spans="48:52" ht="17.25">
      <c r="AV23" s="240"/>
      <c r="AW23" s="240"/>
      <c r="AX23" s="240"/>
      <c r="AY23" s="240"/>
      <c r="AZ23" s="240"/>
    </row>
    <row r="24" spans="10:15" ht="12.75">
      <c r="J24" s="115"/>
      <c r="K24" s="115"/>
      <c r="L24" s="115"/>
      <c r="M24" s="115"/>
      <c r="N24" s="115"/>
      <c r="O24" s="115"/>
    </row>
    <row r="25" spans="2:42" ht="12.75">
      <c r="B25" s="1" t="s">
        <v>519</v>
      </c>
      <c r="D25" s="117">
        <f>Tuloslaskelma!B66*1000</f>
        <v>963179285.3345917</v>
      </c>
      <c r="E25" s="1" t="s">
        <v>478</v>
      </c>
      <c r="I25" s="1" t="s">
        <v>520</v>
      </c>
      <c r="K25" s="117">
        <f>Tuloslaskelma!D66*1000</f>
        <v>985765375.0520018</v>
      </c>
      <c r="L25" s="1" t="s">
        <v>478</v>
      </c>
      <c r="Q25" s="1" t="s">
        <v>520</v>
      </c>
      <c r="S25" s="117">
        <f>Tuloslaskelma!$E$66*1000</f>
        <v>985765375.0519972</v>
      </c>
      <c r="T25" s="1" t="s">
        <v>478</v>
      </c>
      <c r="W25" s="1" t="s">
        <v>520</v>
      </c>
      <c r="Y25" s="117">
        <f>Tuloslaskelma!$F$66*1000</f>
        <v>985765375.0519972</v>
      </c>
      <c r="Z25" s="1" t="s">
        <v>478</v>
      </c>
      <c r="AE25" s="1" t="s">
        <v>520</v>
      </c>
      <c r="AG25" s="117">
        <f>Tuloslaskelma!$G$66*1000</f>
        <v>985765375.0519972</v>
      </c>
      <c r="AH25" s="1" t="s">
        <v>478</v>
      </c>
      <c r="AM25" s="1" t="s">
        <v>520</v>
      </c>
      <c r="AO25" s="117">
        <f>Tuloslaskelma!$H$66*1000</f>
        <v>985765375.0519972</v>
      </c>
      <c r="AP25" s="1" t="s">
        <v>478</v>
      </c>
    </row>
    <row r="26" spans="4:42" ht="12.75">
      <c r="D26" s="117">
        <f>D25/Tuloslaskelma!A10</f>
        <v>175.00691999631368</v>
      </c>
      <c r="E26" s="1" t="s">
        <v>505</v>
      </c>
      <c r="K26" s="117">
        <f>Tuloslaskelma!D74</f>
        <v>179.1107478676027</v>
      </c>
      <c r="L26" s="1" t="s">
        <v>505</v>
      </c>
      <c r="S26" s="117">
        <f>Tuloslaskelma!$E$74</f>
        <v>179.11074786760187</v>
      </c>
      <c r="T26" s="1" t="s">
        <v>505</v>
      </c>
      <c r="Y26" s="117">
        <f>Tuloslaskelma!$F$74</f>
        <v>179.11074786760187</v>
      </c>
      <c r="Z26" s="1" t="s">
        <v>505</v>
      </c>
      <c r="AG26" s="117">
        <f>Tuloslaskelma!$G$74</f>
        <v>179.11074786760187</v>
      </c>
      <c r="AH26" s="1" t="s">
        <v>505</v>
      </c>
      <c r="AO26" s="117">
        <f>Tuloslaskelma!$H$74</f>
        <v>179.11074786760187</v>
      </c>
      <c r="AP26" s="1" t="s">
        <v>505</v>
      </c>
    </row>
    <row r="28" spans="2:9" ht="12.75">
      <c r="B28" s="177" t="str">
        <f>"&gt; "&amp;Tuloslaskelma!A40</f>
        <v>&gt; maksuunpannut verot (VM:n siirtolaskelman mukaan)</v>
      </c>
      <c r="I28" s="177" t="s">
        <v>677</v>
      </c>
    </row>
    <row r="29" ht="12.75">
      <c r="I29" s="177"/>
    </row>
  </sheetData>
  <sheetProtection/>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Taul9"/>
  <dimension ref="A1:AD328"/>
  <sheetViews>
    <sheetView zoomScalePageLayoutView="0" workbookViewId="0" topLeftCell="A3">
      <selection activeCell="A4" sqref="A4"/>
    </sheetView>
  </sheetViews>
  <sheetFormatPr defaultColWidth="9.140625" defaultRowHeight="12.75"/>
  <cols>
    <col min="1" max="1" width="10.421875" style="0" customWidth="1"/>
    <col min="2" max="2" width="17.7109375" style="0" customWidth="1"/>
    <col min="10" max="10" width="14.421875" style="125" customWidth="1"/>
    <col min="11" max="11" width="19.140625" style="125" customWidth="1"/>
    <col min="12" max="12" width="17.00390625" style="125" customWidth="1"/>
    <col min="19" max="19" width="23.8515625" style="125" customWidth="1"/>
    <col min="20" max="20" width="27.421875" style="125" customWidth="1"/>
    <col min="21" max="21" width="19.8515625" style="125" bestFit="1" customWidth="1"/>
  </cols>
  <sheetData>
    <row r="1" spans="1:30" ht="14.25">
      <c r="A1" s="133" t="s">
        <v>534</v>
      </c>
      <c r="C1" s="120"/>
      <c r="D1" s="120"/>
      <c r="E1" s="120"/>
      <c r="F1" s="120"/>
      <c r="G1" s="123"/>
      <c r="H1" s="123"/>
      <c r="I1" s="123"/>
      <c r="M1" s="127"/>
      <c r="N1" s="127"/>
      <c r="O1" s="127"/>
      <c r="P1" s="129"/>
      <c r="Q1" s="129"/>
      <c r="R1" s="129"/>
      <c r="V1" s="136"/>
      <c r="W1" s="136"/>
      <c r="X1" s="136"/>
      <c r="Y1" s="137"/>
      <c r="Z1" s="137"/>
      <c r="AA1" s="137"/>
      <c r="AB1" s="141"/>
      <c r="AC1" s="141"/>
      <c r="AD1" s="141"/>
    </row>
    <row r="3" spans="1:30" ht="14.25">
      <c r="A3" s="143" t="s">
        <v>540</v>
      </c>
      <c r="B3" s="120"/>
      <c r="C3" s="122" t="s">
        <v>539</v>
      </c>
      <c r="D3" s="122" t="s">
        <v>539</v>
      </c>
      <c r="E3" s="122" t="s">
        <v>539</v>
      </c>
      <c r="F3" s="122" t="s">
        <v>539</v>
      </c>
      <c r="G3" s="124" t="s">
        <v>535</v>
      </c>
      <c r="H3" s="124" t="s">
        <v>536</v>
      </c>
      <c r="I3" s="124" t="s">
        <v>537</v>
      </c>
      <c r="J3" s="126" t="s">
        <v>535</v>
      </c>
      <c r="K3" s="126" t="s">
        <v>536</v>
      </c>
      <c r="L3" s="126" t="s">
        <v>537</v>
      </c>
      <c r="M3" s="128" t="s">
        <v>535</v>
      </c>
      <c r="N3" s="128" t="s">
        <v>536</v>
      </c>
      <c r="O3" s="128" t="s">
        <v>537</v>
      </c>
      <c r="P3" s="132" t="s">
        <v>535</v>
      </c>
      <c r="Q3" s="132" t="s">
        <v>536</v>
      </c>
      <c r="R3" s="132" t="s">
        <v>537</v>
      </c>
      <c r="S3" s="131" t="s">
        <v>539</v>
      </c>
      <c r="T3" s="131" t="s">
        <v>539</v>
      </c>
      <c r="U3" s="131" t="s">
        <v>539</v>
      </c>
      <c r="V3" s="130" t="s">
        <v>535</v>
      </c>
      <c r="W3" s="130" t="s">
        <v>536</v>
      </c>
      <c r="X3" s="130" t="s">
        <v>537</v>
      </c>
      <c r="Y3" s="138" t="s">
        <v>535</v>
      </c>
      <c r="Z3" s="138" t="s">
        <v>536</v>
      </c>
      <c r="AA3" s="138" t="s">
        <v>537</v>
      </c>
      <c r="AB3" s="140" t="s">
        <v>535</v>
      </c>
      <c r="AC3" s="140" t="s">
        <v>536</v>
      </c>
      <c r="AD3" s="140" t="s">
        <v>537</v>
      </c>
    </row>
    <row r="4" spans="1:30" ht="14.25">
      <c r="A4" s="3" t="s">
        <v>123</v>
      </c>
      <c r="B4" s="120" t="s">
        <v>104</v>
      </c>
      <c r="C4" s="122" t="s">
        <v>139</v>
      </c>
      <c r="D4" s="122" t="s">
        <v>140</v>
      </c>
      <c r="E4" s="122" t="s">
        <v>9</v>
      </c>
      <c r="F4" s="122" t="s">
        <v>523</v>
      </c>
      <c r="G4" s="124" t="s">
        <v>139</v>
      </c>
      <c r="H4" s="124" t="s">
        <v>139</v>
      </c>
      <c r="I4" s="124" t="s">
        <v>139</v>
      </c>
      <c r="J4" s="126" t="s">
        <v>140</v>
      </c>
      <c r="K4" s="126" t="s">
        <v>140</v>
      </c>
      <c r="L4" s="126" t="s">
        <v>140</v>
      </c>
      <c r="M4" s="128" t="s">
        <v>9</v>
      </c>
      <c r="N4" s="128" t="s">
        <v>9</v>
      </c>
      <c r="O4" s="128" t="s">
        <v>9</v>
      </c>
      <c r="P4" s="132" t="s">
        <v>523</v>
      </c>
      <c r="Q4" s="132" t="s">
        <v>523</v>
      </c>
      <c r="R4" s="132" t="s">
        <v>523</v>
      </c>
      <c r="S4" s="134" t="s">
        <v>141</v>
      </c>
      <c r="T4" s="134" t="s">
        <v>10</v>
      </c>
      <c r="U4" s="134" t="s">
        <v>538</v>
      </c>
      <c r="V4" s="135" t="s">
        <v>141</v>
      </c>
      <c r="W4" s="135" t="s">
        <v>141</v>
      </c>
      <c r="X4" s="135" t="s">
        <v>141</v>
      </c>
      <c r="Y4" s="139" t="s">
        <v>10</v>
      </c>
      <c r="Z4" s="139" t="s">
        <v>10</v>
      </c>
      <c r="AA4" s="139" t="s">
        <v>10</v>
      </c>
      <c r="AB4" s="142" t="s">
        <v>538</v>
      </c>
      <c r="AC4" s="142" t="s">
        <v>538</v>
      </c>
      <c r="AD4" s="142" t="s">
        <v>538</v>
      </c>
    </row>
    <row r="5" spans="1:30" ht="14.25">
      <c r="A5">
        <v>5</v>
      </c>
      <c r="B5" s="121" t="s">
        <v>144</v>
      </c>
      <c r="C5" s="120">
        <v>44216</v>
      </c>
      <c r="D5" s="120">
        <v>0</v>
      </c>
      <c r="E5" s="120">
        <v>0</v>
      </c>
      <c r="F5" s="120">
        <v>0</v>
      </c>
      <c r="G5" s="123">
        <v>16</v>
      </c>
      <c r="H5" s="123">
        <v>27269</v>
      </c>
      <c r="I5" s="123">
        <v>0</v>
      </c>
      <c r="J5" s="125">
        <v>0</v>
      </c>
      <c r="K5" s="125">
        <v>0</v>
      </c>
      <c r="L5" s="125">
        <v>0</v>
      </c>
      <c r="M5" s="127">
        <v>0</v>
      </c>
      <c r="N5" s="127">
        <v>0</v>
      </c>
      <c r="O5" s="127">
        <v>0</v>
      </c>
      <c r="P5" s="129">
        <v>0</v>
      </c>
      <c r="Q5" s="129">
        <v>0</v>
      </c>
      <c r="R5" s="129">
        <v>0</v>
      </c>
      <c r="S5" s="125">
        <v>101014</v>
      </c>
      <c r="T5" s="125">
        <v>3095</v>
      </c>
      <c r="U5" s="125">
        <v>0</v>
      </c>
      <c r="V5" s="136">
        <v>209</v>
      </c>
      <c r="W5" s="136">
        <v>61548</v>
      </c>
      <c r="X5" s="136">
        <v>866</v>
      </c>
      <c r="Y5" s="137">
        <v>0</v>
      </c>
      <c r="Z5" s="137">
        <v>98</v>
      </c>
      <c r="AA5" s="137">
        <v>0</v>
      </c>
      <c r="AB5" s="141">
        <v>0</v>
      </c>
      <c r="AC5" s="141">
        <v>0</v>
      </c>
      <c r="AD5" s="141">
        <v>0</v>
      </c>
    </row>
    <row r="6" spans="1:30" ht="14.25">
      <c r="A6">
        <v>9</v>
      </c>
      <c r="B6" s="121" t="s">
        <v>145</v>
      </c>
      <c r="C6" s="120">
        <v>3406</v>
      </c>
      <c r="D6" s="120">
        <v>0</v>
      </c>
      <c r="E6" s="120">
        <v>0</v>
      </c>
      <c r="F6" s="120">
        <v>0</v>
      </c>
      <c r="G6" s="123">
        <v>0</v>
      </c>
      <c r="H6" s="123">
        <v>13</v>
      </c>
      <c r="I6" s="123">
        <v>0</v>
      </c>
      <c r="J6" s="125">
        <v>0</v>
      </c>
      <c r="K6" s="125">
        <v>0</v>
      </c>
      <c r="L6" s="125">
        <v>0</v>
      </c>
      <c r="M6" s="127">
        <v>0</v>
      </c>
      <c r="N6" s="127">
        <v>0</v>
      </c>
      <c r="O6" s="127">
        <v>0</v>
      </c>
      <c r="P6" s="129">
        <v>0</v>
      </c>
      <c r="Q6" s="129">
        <v>0</v>
      </c>
      <c r="R6" s="129">
        <v>0</v>
      </c>
      <c r="S6" s="125">
        <v>18372</v>
      </c>
      <c r="T6" s="125">
        <v>795</v>
      </c>
      <c r="U6" s="125">
        <v>0</v>
      </c>
      <c r="V6" s="136">
        <v>0</v>
      </c>
      <c r="W6" s="136">
        <v>10116</v>
      </c>
      <c r="X6" s="136">
        <v>212</v>
      </c>
      <c r="Y6" s="137">
        <v>0</v>
      </c>
      <c r="Z6" s="137">
        <v>0</v>
      </c>
      <c r="AA6" s="137">
        <v>4</v>
      </c>
      <c r="AB6" s="141">
        <v>0</v>
      </c>
      <c r="AC6" s="141">
        <v>0</v>
      </c>
      <c r="AD6" s="141">
        <v>0</v>
      </c>
    </row>
    <row r="7" spans="1:30" ht="14.25">
      <c r="A7">
        <v>10</v>
      </c>
      <c r="B7" s="121" t="s">
        <v>146</v>
      </c>
      <c r="C7" s="120">
        <v>21665</v>
      </c>
      <c r="D7" s="120">
        <v>0</v>
      </c>
      <c r="E7" s="120">
        <v>0</v>
      </c>
      <c r="F7" s="120">
        <v>0</v>
      </c>
      <c r="G7" s="123">
        <v>346</v>
      </c>
      <c r="H7" s="123">
        <v>5159</v>
      </c>
      <c r="I7" s="123">
        <v>0</v>
      </c>
      <c r="J7" s="125">
        <v>0</v>
      </c>
      <c r="K7" s="125">
        <v>0</v>
      </c>
      <c r="L7" s="125">
        <v>0</v>
      </c>
      <c r="M7" s="127">
        <v>0</v>
      </c>
      <c r="N7" s="127">
        <v>0</v>
      </c>
      <c r="O7" s="127">
        <v>0</v>
      </c>
      <c r="P7" s="129">
        <v>0</v>
      </c>
      <c r="Q7" s="129">
        <v>0</v>
      </c>
      <c r="R7" s="129">
        <v>0</v>
      </c>
      <c r="S7" s="125">
        <v>92219</v>
      </c>
      <c r="T7" s="125">
        <v>2982</v>
      </c>
      <c r="U7" s="125">
        <v>222</v>
      </c>
      <c r="V7" s="136">
        <v>782</v>
      </c>
      <c r="W7" s="136">
        <v>51289</v>
      </c>
      <c r="X7" s="136">
        <v>1031</v>
      </c>
      <c r="Y7" s="137">
        <v>13</v>
      </c>
      <c r="Z7" s="137">
        <v>310</v>
      </c>
      <c r="AA7" s="137">
        <v>0</v>
      </c>
      <c r="AB7" s="141">
        <v>0</v>
      </c>
      <c r="AC7" s="141">
        <v>0</v>
      </c>
      <c r="AD7" s="141">
        <v>0</v>
      </c>
    </row>
    <row r="8" spans="1:30" ht="14.25">
      <c r="A8">
        <v>16</v>
      </c>
      <c r="B8" s="121" t="s">
        <v>147</v>
      </c>
      <c r="C8" s="120">
        <v>11752</v>
      </c>
      <c r="D8" s="120">
        <v>0</v>
      </c>
      <c r="E8" s="120">
        <v>4</v>
      </c>
      <c r="F8" s="120">
        <v>571</v>
      </c>
      <c r="G8" s="123">
        <v>34</v>
      </c>
      <c r="H8" s="123">
        <v>326</v>
      </c>
      <c r="I8" s="123">
        <v>0</v>
      </c>
      <c r="J8" s="125">
        <v>0</v>
      </c>
      <c r="K8" s="125">
        <v>0</v>
      </c>
      <c r="L8" s="125">
        <v>0</v>
      </c>
      <c r="M8" s="127">
        <v>0</v>
      </c>
      <c r="N8" s="127">
        <v>0</v>
      </c>
      <c r="O8" s="127">
        <v>0</v>
      </c>
      <c r="P8" s="129">
        <v>0</v>
      </c>
      <c r="Q8" s="129">
        <v>0</v>
      </c>
      <c r="R8" s="129">
        <v>0</v>
      </c>
      <c r="S8" s="125">
        <v>54180</v>
      </c>
      <c r="T8" s="125">
        <v>2037</v>
      </c>
      <c r="U8" s="125">
        <v>572</v>
      </c>
      <c r="V8" s="136">
        <v>974</v>
      </c>
      <c r="W8" s="136">
        <v>29470</v>
      </c>
      <c r="X8" s="136">
        <v>760</v>
      </c>
      <c r="Y8" s="137">
        <v>0</v>
      </c>
      <c r="Z8" s="137">
        <v>0</v>
      </c>
      <c r="AA8" s="137">
        <v>0</v>
      </c>
      <c r="AB8" s="141">
        <v>0</v>
      </c>
      <c r="AC8" s="141">
        <v>19</v>
      </c>
      <c r="AD8" s="141">
        <v>1</v>
      </c>
    </row>
    <row r="9" spans="1:30" ht="14.25">
      <c r="A9">
        <v>18</v>
      </c>
      <c r="B9" s="121" t="s">
        <v>148</v>
      </c>
      <c r="C9" s="120">
        <v>7183</v>
      </c>
      <c r="D9" s="120">
        <v>0</v>
      </c>
      <c r="E9" s="120">
        <v>0</v>
      </c>
      <c r="F9" s="120">
        <v>0</v>
      </c>
      <c r="G9" s="123">
        <v>6</v>
      </c>
      <c r="H9" s="123">
        <v>1343</v>
      </c>
      <c r="I9" s="123">
        <v>111</v>
      </c>
      <c r="J9" s="125">
        <v>0</v>
      </c>
      <c r="K9" s="125">
        <v>0</v>
      </c>
      <c r="L9" s="125">
        <v>0</v>
      </c>
      <c r="M9" s="127">
        <v>0</v>
      </c>
      <c r="N9" s="127">
        <v>0</v>
      </c>
      <c r="O9" s="127">
        <v>0</v>
      </c>
      <c r="P9" s="129">
        <v>0</v>
      </c>
      <c r="Q9" s="129">
        <v>0</v>
      </c>
      <c r="R9" s="129">
        <v>0</v>
      </c>
      <c r="S9" s="125">
        <v>32291</v>
      </c>
      <c r="T9" s="125">
        <v>1104</v>
      </c>
      <c r="U9" s="125">
        <v>0</v>
      </c>
      <c r="V9" s="136">
        <v>286</v>
      </c>
      <c r="W9" s="136">
        <v>16073</v>
      </c>
      <c r="X9" s="136">
        <v>466</v>
      </c>
      <c r="Y9" s="137">
        <v>0</v>
      </c>
      <c r="Z9" s="137">
        <v>106</v>
      </c>
      <c r="AA9" s="137">
        <v>100</v>
      </c>
      <c r="AB9" s="141">
        <v>0</v>
      </c>
      <c r="AC9" s="141">
        <v>0</v>
      </c>
      <c r="AD9" s="141">
        <v>0</v>
      </c>
    </row>
    <row r="10" spans="1:30" ht="14.25">
      <c r="A10">
        <v>19</v>
      </c>
      <c r="B10" s="121" t="s">
        <v>149</v>
      </c>
      <c r="C10" s="120">
        <v>5078</v>
      </c>
      <c r="D10" s="120">
        <v>0</v>
      </c>
      <c r="E10" s="120">
        <v>0</v>
      </c>
      <c r="F10" s="120">
        <v>595</v>
      </c>
      <c r="G10" s="123">
        <v>8</v>
      </c>
      <c r="H10" s="123">
        <v>888</v>
      </c>
      <c r="I10" s="123">
        <v>0</v>
      </c>
      <c r="J10" s="125">
        <v>0</v>
      </c>
      <c r="K10" s="125">
        <v>0</v>
      </c>
      <c r="L10" s="125">
        <v>0</v>
      </c>
      <c r="M10" s="127">
        <v>0</v>
      </c>
      <c r="N10" s="127">
        <v>0</v>
      </c>
      <c r="O10" s="127">
        <v>0</v>
      </c>
      <c r="P10" s="129">
        <v>5</v>
      </c>
      <c r="Q10" s="129">
        <v>85</v>
      </c>
      <c r="R10" s="129">
        <v>0</v>
      </c>
      <c r="S10" s="125">
        <v>23725</v>
      </c>
      <c r="T10" s="125">
        <v>784</v>
      </c>
      <c r="U10" s="125">
        <v>619</v>
      </c>
      <c r="V10" s="136">
        <v>217</v>
      </c>
      <c r="W10" s="136">
        <v>12202</v>
      </c>
      <c r="X10" s="136">
        <v>289</v>
      </c>
      <c r="Y10" s="137">
        <v>0</v>
      </c>
      <c r="Z10" s="137">
        <v>0</v>
      </c>
      <c r="AA10" s="137">
        <v>0</v>
      </c>
      <c r="AB10" s="141">
        <v>1</v>
      </c>
      <c r="AC10" s="141">
        <v>261</v>
      </c>
      <c r="AD10" s="141">
        <v>16</v>
      </c>
    </row>
    <row r="11" spans="1:30" ht="14.25">
      <c r="A11">
        <v>20</v>
      </c>
      <c r="B11" s="121" t="s">
        <v>127</v>
      </c>
      <c r="C11" s="120">
        <v>35170</v>
      </c>
      <c r="D11" s="120">
        <v>0</v>
      </c>
      <c r="E11" s="120">
        <v>0</v>
      </c>
      <c r="F11" s="120">
        <v>0</v>
      </c>
      <c r="G11" s="123">
        <v>166</v>
      </c>
      <c r="H11" s="123">
        <v>18148</v>
      </c>
      <c r="I11" s="123">
        <v>0</v>
      </c>
      <c r="J11" s="125">
        <v>0</v>
      </c>
      <c r="K11" s="125">
        <v>0</v>
      </c>
      <c r="L11" s="125">
        <v>0</v>
      </c>
      <c r="M11" s="127">
        <v>0</v>
      </c>
      <c r="N11" s="127">
        <v>0</v>
      </c>
      <c r="O11" s="127">
        <v>0</v>
      </c>
      <c r="P11" s="129">
        <v>0</v>
      </c>
      <c r="Q11" s="129">
        <v>0</v>
      </c>
      <c r="R11" s="129">
        <v>0</v>
      </c>
      <c r="S11" s="125">
        <v>122902</v>
      </c>
      <c r="T11" s="125">
        <v>4202</v>
      </c>
      <c r="U11" s="125">
        <v>0</v>
      </c>
      <c r="V11" s="136">
        <v>1119</v>
      </c>
      <c r="W11" s="136">
        <v>73201</v>
      </c>
      <c r="X11" s="136">
        <v>1187</v>
      </c>
      <c r="Y11" s="137">
        <v>0</v>
      </c>
      <c r="Z11" s="137">
        <v>71</v>
      </c>
      <c r="AA11" s="137">
        <v>0</v>
      </c>
      <c r="AB11" s="141">
        <v>0</v>
      </c>
      <c r="AC11" s="141">
        <v>0</v>
      </c>
      <c r="AD11" s="141">
        <v>0</v>
      </c>
    </row>
    <row r="12" spans="1:30" ht="14.25">
      <c r="A12">
        <v>46</v>
      </c>
      <c r="B12" s="121" t="s">
        <v>150</v>
      </c>
      <c r="C12" s="120">
        <v>3374</v>
      </c>
      <c r="D12" s="120">
        <v>0</v>
      </c>
      <c r="E12" s="120">
        <v>0</v>
      </c>
      <c r="F12" s="120">
        <v>11</v>
      </c>
      <c r="G12" s="123">
        <v>7</v>
      </c>
      <c r="H12" s="123">
        <v>592</v>
      </c>
      <c r="I12" s="123">
        <v>0</v>
      </c>
      <c r="J12" s="125">
        <v>0</v>
      </c>
      <c r="K12" s="125">
        <v>0</v>
      </c>
      <c r="L12" s="125">
        <v>0</v>
      </c>
      <c r="M12" s="127">
        <v>0</v>
      </c>
      <c r="N12" s="127">
        <v>0</v>
      </c>
      <c r="O12" s="127">
        <v>0</v>
      </c>
      <c r="P12" s="129">
        <v>0</v>
      </c>
      <c r="Q12" s="129">
        <v>0</v>
      </c>
      <c r="R12" s="129">
        <v>0</v>
      </c>
      <c r="S12" s="125">
        <v>12505</v>
      </c>
      <c r="T12" s="125">
        <v>511</v>
      </c>
      <c r="U12" s="125">
        <v>11</v>
      </c>
      <c r="V12" s="136">
        <v>8</v>
      </c>
      <c r="W12" s="136">
        <v>6921</v>
      </c>
      <c r="X12" s="136">
        <v>139</v>
      </c>
      <c r="Y12" s="137">
        <v>0</v>
      </c>
      <c r="Z12" s="137">
        <v>8</v>
      </c>
      <c r="AA12" s="137">
        <v>0</v>
      </c>
      <c r="AB12" s="141">
        <v>0</v>
      </c>
      <c r="AC12" s="141">
        <v>0</v>
      </c>
      <c r="AD12" s="141">
        <v>0</v>
      </c>
    </row>
    <row r="13" spans="1:30" ht="14.25">
      <c r="A13">
        <v>47</v>
      </c>
      <c r="B13" s="121" t="s">
        <v>151</v>
      </c>
      <c r="C13" s="120">
        <v>2812</v>
      </c>
      <c r="D13" s="120">
        <v>0</v>
      </c>
      <c r="E13" s="120">
        <v>0</v>
      </c>
      <c r="F13" s="120">
        <v>664</v>
      </c>
      <c r="G13" s="123">
        <v>17</v>
      </c>
      <c r="H13" s="123">
        <v>636</v>
      </c>
      <c r="I13" s="123">
        <v>0</v>
      </c>
      <c r="J13" s="125">
        <v>0</v>
      </c>
      <c r="K13" s="125">
        <v>0</v>
      </c>
      <c r="L13" s="125">
        <v>0</v>
      </c>
      <c r="M13" s="127">
        <v>0</v>
      </c>
      <c r="N13" s="127">
        <v>0</v>
      </c>
      <c r="O13" s="127">
        <v>0</v>
      </c>
      <c r="P13" s="129">
        <v>0</v>
      </c>
      <c r="Q13" s="129">
        <v>0</v>
      </c>
      <c r="R13" s="129">
        <v>0</v>
      </c>
      <c r="S13" s="125">
        <v>17553</v>
      </c>
      <c r="T13" s="125">
        <v>484</v>
      </c>
      <c r="U13" s="125">
        <v>664</v>
      </c>
      <c r="V13" s="136">
        <v>55</v>
      </c>
      <c r="W13" s="136">
        <v>9063</v>
      </c>
      <c r="X13" s="136">
        <v>308</v>
      </c>
      <c r="Y13" s="137">
        <v>0</v>
      </c>
      <c r="Z13" s="137">
        <v>36</v>
      </c>
      <c r="AA13" s="137">
        <v>0</v>
      </c>
      <c r="AB13" s="141">
        <v>4</v>
      </c>
      <c r="AC13" s="141">
        <v>78</v>
      </c>
      <c r="AD13" s="141">
        <v>0</v>
      </c>
    </row>
    <row r="14" spans="1:30" ht="14.25">
      <c r="A14">
        <v>49</v>
      </c>
      <c r="B14" s="121" t="s">
        <v>152</v>
      </c>
      <c r="C14" s="120">
        <v>682628</v>
      </c>
      <c r="D14" s="120">
        <v>0</v>
      </c>
      <c r="E14" s="120">
        <v>105609</v>
      </c>
      <c r="F14" s="120">
        <v>15741</v>
      </c>
      <c r="G14" s="123">
        <v>1094</v>
      </c>
      <c r="H14" s="123">
        <v>101470</v>
      </c>
      <c r="I14" s="123">
        <v>12005</v>
      </c>
      <c r="J14" s="125">
        <v>0</v>
      </c>
      <c r="K14" s="125">
        <v>0</v>
      </c>
      <c r="L14" s="125">
        <v>0</v>
      </c>
      <c r="M14" s="127">
        <v>0</v>
      </c>
      <c r="N14" s="127">
        <v>233</v>
      </c>
      <c r="O14" s="127">
        <v>0</v>
      </c>
      <c r="P14" s="129">
        <v>0</v>
      </c>
      <c r="Q14" s="129">
        <v>0</v>
      </c>
      <c r="R14" s="129">
        <v>0</v>
      </c>
      <c r="S14" s="125">
        <v>2101249</v>
      </c>
      <c r="T14" s="125">
        <v>126708</v>
      </c>
      <c r="U14" s="125">
        <v>15736</v>
      </c>
      <c r="V14" s="136">
        <v>22670</v>
      </c>
      <c r="W14" s="136">
        <v>804116</v>
      </c>
      <c r="X14" s="136">
        <v>28592</v>
      </c>
      <c r="Y14" s="137">
        <v>4</v>
      </c>
      <c r="Z14" s="137">
        <v>2128</v>
      </c>
      <c r="AA14" s="137">
        <v>1436</v>
      </c>
      <c r="AB14" s="141">
        <v>192</v>
      </c>
      <c r="AC14" s="141">
        <v>4275</v>
      </c>
      <c r="AD14" s="141">
        <v>432</v>
      </c>
    </row>
    <row r="15" spans="1:30" ht="14.25">
      <c r="A15">
        <v>50</v>
      </c>
      <c r="B15" s="121" t="s">
        <v>153</v>
      </c>
      <c r="C15" s="120">
        <v>19747</v>
      </c>
      <c r="D15" s="120">
        <v>0</v>
      </c>
      <c r="E15" s="120">
        <v>0</v>
      </c>
      <c r="F15" s="120">
        <v>1167</v>
      </c>
      <c r="G15" s="123">
        <v>66</v>
      </c>
      <c r="H15" s="123">
        <v>4047</v>
      </c>
      <c r="I15" s="123">
        <v>0</v>
      </c>
      <c r="J15" s="125">
        <v>0</v>
      </c>
      <c r="K15" s="125">
        <v>0</v>
      </c>
      <c r="L15" s="125">
        <v>0</v>
      </c>
      <c r="M15" s="127">
        <v>0</v>
      </c>
      <c r="N15" s="127">
        <v>0</v>
      </c>
      <c r="O15" s="127">
        <v>0</v>
      </c>
      <c r="P15" s="129">
        <v>0</v>
      </c>
      <c r="Q15" s="129">
        <v>0</v>
      </c>
      <c r="R15" s="129">
        <v>0</v>
      </c>
      <c r="S15" s="125">
        <v>85715</v>
      </c>
      <c r="T15" s="125">
        <v>3300</v>
      </c>
      <c r="U15" s="125">
        <v>1166</v>
      </c>
      <c r="V15" s="136">
        <v>175</v>
      </c>
      <c r="W15" s="136">
        <v>45430</v>
      </c>
      <c r="X15" s="136">
        <v>1398</v>
      </c>
      <c r="Y15" s="137">
        <v>0</v>
      </c>
      <c r="Z15" s="137">
        <v>127</v>
      </c>
      <c r="AA15" s="137">
        <v>0</v>
      </c>
      <c r="AB15" s="141">
        <v>0</v>
      </c>
      <c r="AC15" s="141">
        <v>575</v>
      </c>
      <c r="AD15" s="141">
        <v>0</v>
      </c>
    </row>
    <row r="16" spans="1:30" ht="14.25">
      <c r="A16">
        <v>51</v>
      </c>
      <c r="B16" s="121" t="s">
        <v>154</v>
      </c>
      <c r="C16" s="120">
        <v>5257</v>
      </c>
      <c r="D16" s="120">
        <v>0</v>
      </c>
      <c r="E16" s="120">
        <v>0</v>
      </c>
      <c r="F16" s="120">
        <v>1510</v>
      </c>
      <c r="G16" s="123">
        <v>18</v>
      </c>
      <c r="H16" s="123">
        <v>1358</v>
      </c>
      <c r="I16" s="123">
        <v>0</v>
      </c>
      <c r="J16" s="125">
        <v>0</v>
      </c>
      <c r="K16" s="125">
        <v>0</v>
      </c>
      <c r="L16" s="125">
        <v>0</v>
      </c>
      <c r="M16" s="127">
        <v>0</v>
      </c>
      <c r="N16" s="127">
        <v>0</v>
      </c>
      <c r="O16" s="127">
        <v>0</v>
      </c>
      <c r="P16" s="129">
        <v>0</v>
      </c>
      <c r="Q16" s="129">
        <v>0</v>
      </c>
      <c r="R16" s="129">
        <v>0</v>
      </c>
      <c r="S16" s="125">
        <v>43167</v>
      </c>
      <c r="T16" s="125">
        <v>3314</v>
      </c>
      <c r="U16" s="125">
        <v>1510</v>
      </c>
      <c r="V16" s="136">
        <v>424</v>
      </c>
      <c r="W16" s="136">
        <v>21151</v>
      </c>
      <c r="X16" s="136">
        <v>558</v>
      </c>
      <c r="Y16" s="137">
        <v>0</v>
      </c>
      <c r="Z16" s="137">
        <v>9</v>
      </c>
      <c r="AA16" s="137">
        <v>0</v>
      </c>
      <c r="AB16" s="141">
        <v>0</v>
      </c>
      <c r="AC16" s="141">
        <v>0</v>
      </c>
      <c r="AD16" s="141">
        <v>0</v>
      </c>
    </row>
    <row r="17" spans="1:30" ht="14.25">
      <c r="A17">
        <v>52</v>
      </c>
      <c r="B17" s="121" t="s">
        <v>155</v>
      </c>
      <c r="C17" s="120">
        <v>2124</v>
      </c>
      <c r="D17" s="120">
        <v>0</v>
      </c>
      <c r="E17" s="120">
        <v>0</v>
      </c>
      <c r="F17" s="120">
        <v>40</v>
      </c>
      <c r="G17" s="123">
        <v>0</v>
      </c>
      <c r="H17" s="123">
        <v>0</v>
      </c>
      <c r="I17" s="123">
        <v>102</v>
      </c>
      <c r="J17" s="125">
        <v>0</v>
      </c>
      <c r="K17" s="125">
        <v>0</v>
      </c>
      <c r="L17" s="125">
        <v>0</v>
      </c>
      <c r="M17" s="127">
        <v>0</v>
      </c>
      <c r="N17" s="127">
        <v>0</v>
      </c>
      <c r="O17" s="127">
        <v>0</v>
      </c>
      <c r="P17" s="129">
        <v>0</v>
      </c>
      <c r="Q17" s="129">
        <v>0</v>
      </c>
      <c r="R17" s="129">
        <v>0</v>
      </c>
      <c r="S17" s="125">
        <v>18401</v>
      </c>
      <c r="T17" s="125">
        <v>409</v>
      </c>
      <c r="U17" s="125">
        <v>39</v>
      </c>
      <c r="V17" s="136">
        <v>62</v>
      </c>
      <c r="W17" s="136">
        <v>10781</v>
      </c>
      <c r="X17" s="136">
        <v>256</v>
      </c>
      <c r="Y17" s="137">
        <v>0</v>
      </c>
      <c r="Z17" s="137">
        <v>0</v>
      </c>
      <c r="AA17" s="137">
        <v>20</v>
      </c>
      <c r="AB17" s="141">
        <v>0</v>
      </c>
      <c r="AC17" s="141">
        <v>0</v>
      </c>
      <c r="AD17" s="141">
        <v>0</v>
      </c>
    </row>
    <row r="18" spans="1:30" ht="14.25">
      <c r="A18">
        <v>61</v>
      </c>
      <c r="B18" s="121" t="s">
        <v>156</v>
      </c>
      <c r="C18" s="120">
        <v>26748</v>
      </c>
      <c r="D18" s="120">
        <v>0</v>
      </c>
      <c r="E18" s="120">
        <v>0</v>
      </c>
      <c r="F18" s="120">
        <v>0</v>
      </c>
      <c r="G18" s="123">
        <v>1023</v>
      </c>
      <c r="H18" s="123">
        <v>1669</v>
      </c>
      <c r="I18" s="123">
        <v>1</v>
      </c>
      <c r="J18" s="125">
        <v>0</v>
      </c>
      <c r="K18" s="125">
        <v>0</v>
      </c>
      <c r="L18" s="125">
        <v>0</v>
      </c>
      <c r="M18" s="127">
        <v>0</v>
      </c>
      <c r="N18" s="127">
        <v>0</v>
      </c>
      <c r="O18" s="127">
        <v>0</v>
      </c>
      <c r="P18" s="129">
        <v>0</v>
      </c>
      <c r="Q18" s="129">
        <v>0</v>
      </c>
      <c r="R18" s="129">
        <v>0</v>
      </c>
      <c r="S18" s="125">
        <v>119276</v>
      </c>
      <c r="T18" s="125">
        <v>5985</v>
      </c>
      <c r="U18" s="125">
        <v>0</v>
      </c>
      <c r="V18" s="136">
        <v>3276</v>
      </c>
      <c r="W18" s="136">
        <v>63082</v>
      </c>
      <c r="X18" s="136">
        <v>1362</v>
      </c>
      <c r="Y18" s="137">
        <v>0</v>
      </c>
      <c r="Z18" s="137">
        <v>9</v>
      </c>
      <c r="AA18" s="137">
        <v>0</v>
      </c>
      <c r="AB18" s="141">
        <v>0</v>
      </c>
      <c r="AC18" s="141">
        <v>0</v>
      </c>
      <c r="AD18" s="141">
        <v>0</v>
      </c>
    </row>
    <row r="19" spans="1:30" ht="14.25">
      <c r="A19">
        <v>69</v>
      </c>
      <c r="B19" s="121" t="s">
        <v>157</v>
      </c>
      <c r="C19" s="120">
        <v>8707</v>
      </c>
      <c r="D19" s="120">
        <v>0</v>
      </c>
      <c r="E19" s="120">
        <v>0</v>
      </c>
      <c r="F19" s="120">
        <v>341</v>
      </c>
      <c r="G19" s="123">
        <v>0</v>
      </c>
      <c r="H19" s="123">
        <v>80</v>
      </c>
      <c r="I19" s="123">
        <v>0</v>
      </c>
      <c r="J19" s="125">
        <v>0</v>
      </c>
      <c r="K19" s="125">
        <v>0</v>
      </c>
      <c r="L19" s="125">
        <v>0</v>
      </c>
      <c r="M19" s="127">
        <v>0</v>
      </c>
      <c r="N19" s="127">
        <v>0</v>
      </c>
      <c r="O19" s="127">
        <v>0</v>
      </c>
      <c r="P19" s="129">
        <v>0</v>
      </c>
      <c r="Q19" s="129">
        <v>0</v>
      </c>
      <c r="R19" s="129">
        <v>0</v>
      </c>
      <c r="S19" s="125">
        <v>53364</v>
      </c>
      <c r="T19" s="125">
        <v>1623</v>
      </c>
      <c r="U19" s="125">
        <v>340</v>
      </c>
      <c r="V19" s="136">
        <v>580</v>
      </c>
      <c r="W19" s="136">
        <v>28183</v>
      </c>
      <c r="X19" s="136">
        <v>698</v>
      </c>
      <c r="Y19" s="137">
        <v>0</v>
      </c>
      <c r="Z19" s="137">
        <v>0</v>
      </c>
      <c r="AA19" s="137">
        <v>24</v>
      </c>
      <c r="AB19" s="141">
        <v>0</v>
      </c>
      <c r="AC19" s="141">
        <v>23</v>
      </c>
      <c r="AD19" s="141">
        <v>0</v>
      </c>
    </row>
    <row r="20" spans="1:30" ht="14.25">
      <c r="A20">
        <v>71</v>
      </c>
      <c r="B20" s="121" t="s">
        <v>158</v>
      </c>
      <c r="C20" s="120">
        <v>44611</v>
      </c>
      <c r="D20" s="120">
        <v>0</v>
      </c>
      <c r="E20" s="120">
        <v>111</v>
      </c>
      <c r="F20" s="120">
        <v>0</v>
      </c>
      <c r="G20" s="123">
        <v>0</v>
      </c>
      <c r="H20" s="123">
        <v>25958</v>
      </c>
      <c r="I20" s="123">
        <v>0</v>
      </c>
      <c r="J20" s="125">
        <v>0</v>
      </c>
      <c r="K20" s="125">
        <v>0</v>
      </c>
      <c r="L20" s="125">
        <v>0</v>
      </c>
      <c r="M20" s="127">
        <v>0</v>
      </c>
      <c r="N20" s="127">
        <v>0</v>
      </c>
      <c r="O20" s="127">
        <v>0</v>
      </c>
      <c r="P20" s="129">
        <v>0</v>
      </c>
      <c r="Q20" s="129">
        <v>0</v>
      </c>
      <c r="R20" s="129">
        <v>0</v>
      </c>
      <c r="S20" s="125">
        <v>87144</v>
      </c>
      <c r="T20" s="125">
        <v>2398</v>
      </c>
      <c r="U20" s="125">
        <v>0</v>
      </c>
      <c r="V20" s="136">
        <v>0</v>
      </c>
      <c r="W20" s="136">
        <v>51555</v>
      </c>
      <c r="X20" s="136">
        <v>696</v>
      </c>
      <c r="Y20" s="137">
        <v>0</v>
      </c>
      <c r="Z20" s="137">
        <v>221</v>
      </c>
      <c r="AA20" s="137">
        <v>0</v>
      </c>
      <c r="AB20" s="141">
        <v>0</v>
      </c>
      <c r="AC20" s="141">
        <v>0</v>
      </c>
      <c r="AD20" s="141">
        <v>0</v>
      </c>
    </row>
    <row r="21" spans="1:30" ht="14.25">
      <c r="A21">
        <v>72</v>
      </c>
      <c r="B21" s="121" t="s">
        <v>159</v>
      </c>
      <c r="C21" s="120">
        <v>2008</v>
      </c>
      <c r="D21" s="120">
        <v>0</v>
      </c>
      <c r="E21" s="120">
        <v>0</v>
      </c>
      <c r="F21" s="120">
        <v>0</v>
      </c>
      <c r="G21" s="123">
        <v>3</v>
      </c>
      <c r="H21" s="123">
        <v>491</v>
      </c>
      <c r="I21" s="123">
        <v>0</v>
      </c>
      <c r="J21" s="125">
        <v>0</v>
      </c>
      <c r="K21" s="125">
        <v>0</v>
      </c>
      <c r="L21" s="125">
        <v>0</v>
      </c>
      <c r="M21" s="127">
        <v>0</v>
      </c>
      <c r="N21" s="127">
        <v>0</v>
      </c>
      <c r="O21" s="127">
        <v>0</v>
      </c>
      <c r="P21" s="129">
        <v>0</v>
      </c>
      <c r="Q21" s="129">
        <v>0</v>
      </c>
      <c r="R21" s="129">
        <v>0</v>
      </c>
      <c r="S21" s="125">
        <v>8355</v>
      </c>
      <c r="T21" s="125">
        <v>415</v>
      </c>
      <c r="U21" s="125">
        <v>0</v>
      </c>
      <c r="V21" s="136">
        <v>11</v>
      </c>
      <c r="W21" s="136">
        <v>4483</v>
      </c>
      <c r="X21" s="136">
        <v>63</v>
      </c>
      <c r="Y21" s="137">
        <v>0</v>
      </c>
      <c r="Z21" s="137">
        <v>13</v>
      </c>
      <c r="AA21" s="137">
        <v>0</v>
      </c>
      <c r="AB21" s="141">
        <v>0</v>
      </c>
      <c r="AC21" s="141">
        <v>0</v>
      </c>
      <c r="AD21" s="141">
        <v>0</v>
      </c>
    </row>
    <row r="22" spans="1:30" ht="14.25">
      <c r="A22">
        <v>74</v>
      </c>
      <c r="B22" s="121" t="s">
        <v>160</v>
      </c>
      <c r="C22" s="120">
        <v>1064</v>
      </c>
      <c r="D22" s="120">
        <v>0</v>
      </c>
      <c r="E22" s="120">
        <v>0</v>
      </c>
      <c r="F22" s="120">
        <v>150</v>
      </c>
      <c r="G22" s="123">
        <v>0</v>
      </c>
      <c r="H22" s="123">
        <v>8</v>
      </c>
      <c r="I22" s="123">
        <v>0</v>
      </c>
      <c r="J22" s="125">
        <v>0</v>
      </c>
      <c r="K22" s="125">
        <v>0</v>
      </c>
      <c r="L22" s="125">
        <v>0</v>
      </c>
      <c r="M22" s="127">
        <v>0</v>
      </c>
      <c r="N22" s="127">
        <v>0</v>
      </c>
      <c r="O22" s="127">
        <v>0</v>
      </c>
      <c r="P22" s="129">
        <v>0</v>
      </c>
      <c r="Q22" s="129">
        <v>0</v>
      </c>
      <c r="R22" s="129">
        <v>0</v>
      </c>
      <c r="S22" s="125">
        <v>8553</v>
      </c>
      <c r="T22" s="125">
        <v>121</v>
      </c>
      <c r="U22" s="125">
        <v>150</v>
      </c>
      <c r="V22" s="136">
        <v>3</v>
      </c>
      <c r="W22" s="136">
        <v>4996</v>
      </c>
      <c r="X22" s="136">
        <v>106</v>
      </c>
      <c r="Y22" s="137">
        <v>0</v>
      </c>
      <c r="Z22" s="137">
        <v>0</v>
      </c>
      <c r="AA22" s="137">
        <v>16</v>
      </c>
      <c r="AB22" s="141">
        <v>0</v>
      </c>
      <c r="AC22" s="141">
        <v>0</v>
      </c>
      <c r="AD22" s="141">
        <v>0</v>
      </c>
    </row>
    <row r="23" spans="1:30" ht="14.25">
      <c r="A23">
        <v>75</v>
      </c>
      <c r="B23" s="121" t="s">
        <v>161</v>
      </c>
      <c r="C23" s="120">
        <v>46752</v>
      </c>
      <c r="D23" s="120">
        <v>0</v>
      </c>
      <c r="E23" s="120">
        <v>529</v>
      </c>
      <c r="F23" s="120">
        <v>3466</v>
      </c>
      <c r="G23" s="123">
        <v>342</v>
      </c>
      <c r="H23" s="123">
        <v>8538</v>
      </c>
      <c r="I23" s="123">
        <v>0</v>
      </c>
      <c r="J23" s="125">
        <v>0</v>
      </c>
      <c r="K23" s="125">
        <v>0</v>
      </c>
      <c r="L23" s="125">
        <v>0</v>
      </c>
      <c r="M23" s="127">
        <v>0</v>
      </c>
      <c r="N23" s="127">
        <v>0</v>
      </c>
      <c r="O23" s="127">
        <v>0</v>
      </c>
      <c r="P23" s="129">
        <v>0</v>
      </c>
      <c r="Q23" s="129">
        <v>314</v>
      </c>
      <c r="R23" s="129">
        <v>0</v>
      </c>
      <c r="S23" s="125">
        <v>155207</v>
      </c>
      <c r="T23" s="125">
        <v>9506</v>
      </c>
      <c r="U23" s="125">
        <v>3466</v>
      </c>
      <c r="V23" s="136">
        <v>2241</v>
      </c>
      <c r="W23" s="136">
        <v>82879</v>
      </c>
      <c r="X23" s="136">
        <v>2665</v>
      </c>
      <c r="Y23" s="137">
        <v>0</v>
      </c>
      <c r="Z23" s="137">
        <v>209</v>
      </c>
      <c r="AA23" s="137">
        <v>0</v>
      </c>
      <c r="AB23" s="141">
        <v>9</v>
      </c>
      <c r="AC23" s="141">
        <v>1456</v>
      </c>
      <c r="AD23" s="141">
        <v>0</v>
      </c>
    </row>
    <row r="24" spans="1:30" ht="14.25">
      <c r="A24">
        <v>77</v>
      </c>
      <c r="B24" s="121" t="s">
        <v>162</v>
      </c>
      <c r="C24" s="120">
        <v>13120</v>
      </c>
      <c r="D24" s="120">
        <v>0</v>
      </c>
      <c r="E24" s="120">
        <v>0</v>
      </c>
      <c r="F24" s="120">
        <v>889</v>
      </c>
      <c r="G24" s="123">
        <v>44</v>
      </c>
      <c r="H24" s="123">
        <v>2673</v>
      </c>
      <c r="I24" s="123">
        <v>0</v>
      </c>
      <c r="J24" s="125">
        <v>0</v>
      </c>
      <c r="K24" s="125">
        <v>0</v>
      </c>
      <c r="L24" s="125">
        <v>0</v>
      </c>
      <c r="M24" s="127">
        <v>0</v>
      </c>
      <c r="N24" s="127">
        <v>0</v>
      </c>
      <c r="O24" s="127">
        <v>0</v>
      </c>
      <c r="P24" s="129">
        <v>0</v>
      </c>
      <c r="Q24" s="129">
        <v>0</v>
      </c>
      <c r="R24" s="129">
        <v>0</v>
      </c>
      <c r="S24" s="125">
        <v>46066</v>
      </c>
      <c r="T24" s="125">
        <v>1634</v>
      </c>
      <c r="U24" s="125">
        <v>880</v>
      </c>
      <c r="V24" s="136">
        <v>209</v>
      </c>
      <c r="W24" s="136">
        <v>24643</v>
      </c>
      <c r="X24" s="136">
        <v>403</v>
      </c>
      <c r="Y24" s="137">
        <v>0</v>
      </c>
      <c r="Z24" s="137">
        <v>64</v>
      </c>
      <c r="AA24" s="137">
        <v>0</v>
      </c>
      <c r="AB24" s="141">
        <v>3</v>
      </c>
      <c r="AC24" s="141">
        <v>301</v>
      </c>
      <c r="AD24" s="141">
        <v>11</v>
      </c>
    </row>
    <row r="25" spans="1:30" ht="14.25">
      <c r="A25">
        <v>78</v>
      </c>
      <c r="B25" s="121" t="s">
        <v>163</v>
      </c>
      <c r="C25" s="120">
        <v>21398</v>
      </c>
      <c r="D25" s="120">
        <v>0</v>
      </c>
      <c r="E25" s="120">
        <v>428</v>
      </c>
      <c r="F25" s="120">
        <v>0</v>
      </c>
      <c r="G25" s="123">
        <v>276</v>
      </c>
      <c r="H25" s="123">
        <v>5369</v>
      </c>
      <c r="I25" s="123">
        <v>0</v>
      </c>
      <c r="J25" s="125">
        <v>0</v>
      </c>
      <c r="K25" s="125">
        <v>0</v>
      </c>
      <c r="L25" s="125">
        <v>0</v>
      </c>
      <c r="M25" s="127">
        <v>0</v>
      </c>
      <c r="N25" s="127">
        <v>0</v>
      </c>
      <c r="O25" s="127">
        <v>0</v>
      </c>
      <c r="P25" s="129">
        <v>0</v>
      </c>
      <c r="Q25" s="129">
        <v>0</v>
      </c>
      <c r="R25" s="129">
        <v>0</v>
      </c>
      <c r="S25" s="125">
        <v>73317</v>
      </c>
      <c r="T25" s="125">
        <v>3745</v>
      </c>
      <c r="U25" s="125">
        <v>0</v>
      </c>
      <c r="V25" s="136">
        <v>1011</v>
      </c>
      <c r="W25" s="136">
        <v>40956</v>
      </c>
      <c r="X25" s="136">
        <v>683</v>
      </c>
      <c r="Y25" s="137">
        <v>0</v>
      </c>
      <c r="Z25" s="137">
        <v>0</v>
      </c>
      <c r="AA25" s="137">
        <v>0</v>
      </c>
      <c r="AB25" s="141">
        <v>0</v>
      </c>
      <c r="AC25" s="141">
        <v>0</v>
      </c>
      <c r="AD25" s="141">
        <v>0</v>
      </c>
    </row>
    <row r="26" spans="1:30" ht="14.25">
      <c r="A26">
        <v>79</v>
      </c>
      <c r="B26" s="121" t="s">
        <v>164</v>
      </c>
      <c r="C26" s="120">
        <v>11406</v>
      </c>
      <c r="D26" s="120">
        <v>0</v>
      </c>
      <c r="E26" s="120">
        <v>14</v>
      </c>
      <c r="F26" s="120">
        <v>604</v>
      </c>
      <c r="G26" s="123">
        <v>131</v>
      </c>
      <c r="H26" s="123">
        <v>1987</v>
      </c>
      <c r="I26" s="123">
        <v>0</v>
      </c>
      <c r="J26" s="125">
        <v>0</v>
      </c>
      <c r="K26" s="125">
        <v>0</v>
      </c>
      <c r="L26" s="125">
        <v>0</v>
      </c>
      <c r="M26" s="127">
        <v>0</v>
      </c>
      <c r="N26" s="127">
        <v>0</v>
      </c>
      <c r="O26" s="127">
        <v>0</v>
      </c>
      <c r="P26" s="129">
        <v>0</v>
      </c>
      <c r="Q26" s="129">
        <v>61</v>
      </c>
      <c r="R26" s="129">
        <v>0</v>
      </c>
      <c r="S26" s="125">
        <v>53136</v>
      </c>
      <c r="T26" s="125">
        <v>2180</v>
      </c>
      <c r="U26" s="125">
        <v>604</v>
      </c>
      <c r="V26" s="136">
        <v>614</v>
      </c>
      <c r="W26" s="136">
        <v>30311</v>
      </c>
      <c r="X26" s="136">
        <v>777</v>
      </c>
      <c r="Y26" s="137">
        <v>0</v>
      </c>
      <c r="Z26" s="137">
        <v>0</v>
      </c>
      <c r="AA26" s="137">
        <v>0</v>
      </c>
      <c r="AB26" s="141">
        <v>10</v>
      </c>
      <c r="AC26" s="141">
        <v>186</v>
      </c>
      <c r="AD26" s="141">
        <v>1</v>
      </c>
    </row>
    <row r="27" spans="1:30" ht="14.25">
      <c r="A27">
        <v>81</v>
      </c>
      <c r="B27" s="121" t="s">
        <v>165</v>
      </c>
      <c r="C27" s="120">
        <v>4668</v>
      </c>
      <c r="D27" s="120">
        <v>0</v>
      </c>
      <c r="E27" s="120">
        <v>47</v>
      </c>
      <c r="F27" s="120">
        <v>311</v>
      </c>
      <c r="G27" s="123">
        <v>0</v>
      </c>
      <c r="H27" s="123">
        <v>17</v>
      </c>
      <c r="I27" s="123">
        <v>0</v>
      </c>
      <c r="J27" s="125">
        <v>0</v>
      </c>
      <c r="K27" s="125">
        <v>0</v>
      </c>
      <c r="L27" s="125">
        <v>0</v>
      </c>
      <c r="M27" s="127">
        <v>0</v>
      </c>
      <c r="N27" s="127">
        <v>0</v>
      </c>
      <c r="O27" s="127">
        <v>0</v>
      </c>
      <c r="P27" s="129">
        <v>0</v>
      </c>
      <c r="Q27" s="129">
        <v>0</v>
      </c>
      <c r="R27" s="129">
        <v>0</v>
      </c>
      <c r="S27" s="125">
        <v>22222</v>
      </c>
      <c r="T27" s="125">
        <v>556</v>
      </c>
      <c r="U27" s="125">
        <v>311</v>
      </c>
      <c r="V27" s="136">
        <v>331</v>
      </c>
      <c r="W27" s="136">
        <v>12750</v>
      </c>
      <c r="X27" s="136">
        <v>272</v>
      </c>
      <c r="Y27" s="137">
        <v>0</v>
      </c>
      <c r="Z27" s="137">
        <v>0</v>
      </c>
      <c r="AA27" s="137">
        <v>0</v>
      </c>
      <c r="AB27" s="141">
        <v>0</v>
      </c>
      <c r="AC27" s="141">
        <v>0</v>
      </c>
      <c r="AD27" s="141">
        <v>1</v>
      </c>
    </row>
    <row r="28" spans="1:30" ht="14.25">
      <c r="A28">
        <v>82</v>
      </c>
      <c r="B28" s="121" t="s">
        <v>166</v>
      </c>
      <c r="C28" s="120">
        <v>10551</v>
      </c>
      <c r="D28" s="120">
        <v>0</v>
      </c>
      <c r="E28" s="120">
        <v>15</v>
      </c>
      <c r="F28" s="120">
        <v>0</v>
      </c>
      <c r="G28" s="123">
        <v>113</v>
      </c>
      <c r="H28" s="123">
        <v>2428</v>
      </c>
      <c r="I28" s="123">
        <v>0</v>
      </c>
      <c r="J28" s="125">
        <v>0</v>
      </c>
      <c r="K28" s="125">
        <v>0</v>
      </c>
      <c r="L28" s="125">
        <v>0</v>
      </c>
      <c r="M28" s="127">
        <v>0</v>
      </c>
      <c r="N28" s="127">
        <v>0</v>
      </c>
      <c r="O28" s="127">
        <v>0</v>
      </c>
      <c r="P28" s="129">
        <v>0</v>
      </c>
      <c r="Q28" s="129">
        <v>0</v>
      </c>
      <c r="R28" s="129">
        <v>0</v>
      </c>
      <c r="S28" s="125">
        <v>53612</v>
      </c>
      <c r="T28" s="125">
        <v>1549</v>
      </c>
      <c r="U28" s="125">
        <v>0</v>
      </c>
      <c r="V28" s="136">
        <v>636</v>
      </c>
      <c r="W28" s="136">
        <v>27360</v>
      </c>
      <c r="X28" s="136">
        <v>600</v>
      </c>
      <c r="Y28" s="137">
        <v>3</v>
      </c>
      <c r="Z28" s="137">
        <v>81</v>
      </c>
      <c r="AA28" s="137">
        <v>0</v>
      </c>
      <c r="AB28" s="141">
        <v>0</v>
      </c>
      <c r="AC28" s="141">
        <v>0</v>
      </c>
      <c r="AD28" s="141">
        <v>0</v>
      </c>
    </row>
    <row r="29" spans="1:30" ht="14.25">
      <c r="A29">
        <v>86</v>
      </c>
      <c r="B29" s="121" t="s">
        <v>167</v>
      </c>
      <c r="C29" s="120">
        <v>10739</v>
      </c>
      <c r="D29" s="120">
        <v>0</v>
      </c>
      <c r="E29" s="120">
        <v>33</v>
      </c>
      <c r="F29" s="120">
        <v>1071</v>
      </c>
      <c r="G29" s="123">
        <v>46</v>
      </c>
      <c r="H29" s="123">
        <v>2517</v>
      </c>
      <c r="I29" s="123">
        <v>0</v>
      </c>
      <c r="J29" s="125">
        <v>0</v>
      </c>
      <c r="K29" s="125">
        <v>0</v>
      </c>
      <c r="L29" s="125">
        <v>0</v>
      </c>
      <c r="M29" s="127">
        <v>0</v>
      </c>
      <c r="N29" s="127">
        <v>0</v>
      </c>
      <c r="O29" s="127">
        <v>0</v>
      </c>
      <c r="P29" s="129">
        <v>0</v>
      </c>
      <c r="Q29" s="129">
        <v>0</v>
      </c>
      <c r="R29" s="129">
        <v>0</v>
      </c>
      <c r="S29" s="125">
        <v>51953</v>
      </c>
      <c r="T29" s="125">
        <v>2386</v>
      </c>
      <c r="U29" s="125">
        <v>1071</v>
      </c>
      <c r="V29" s="136">
        <v>88</v>
      </c>
      <c r="W29" s="136">
        <v>28161</v>
      </c>
      <c r="X29" s="136">
        <v>547</v>
      </c>
      <c r="Y29" s="137">
        <v>0</v>
      </c>
      <c r="Z29" s="137">
        <v>14</v>
      </c>
      <c r="AA29" s="137">
        <v>16</v>
      </c>
      <c r="AB29" s="141">
        <v>3</v>
      </c>
      <c r="AC29" s="141">
        <v>381</v>
      </c>
      <c r="AD29" s="141">
        <v>15</v>
      </c>
    </row>
    <row r="30" spans="1:30" ht="14.25">
      <c r="A30">
        <v>90</v>
      </c>
      <c r="B30" s="121" t="s">
        <v>169</v>
      </c>
      <c r="C30" s="120">
        <v>7939</v>
      </c>
      <c r="D30" s="120">
        <v>0</v>
      </c>
      <c r="E30" s="120">
        <v>0</v>
      </c>
      <c r="F30" s="120">
        <v>565</v>
      </c>
      <c r="G30" s="123">
        <v>48</v>
      </c>
      <c r="H30" s="123">
        <v>2132</v>
      </c>
      <c r="I30" s="123">
        <v>0</v>
      </c>
      <c r="J30" s="125">
        <v>0</v>
      </c>
      <c r="K30" s="125">
        <v>0</v>
      </c>
      <c r="L30" s="125">
        <v>0</v>
      </c>
      <c r="M30" s="127">
        <v>0</v>
      </c>
      <c r="N30" s="127">
        <v>0</v>
      </c>
      <c r="O30" s="127">
        <v>0</v>
      </c>
      <c r="P30" s="129">
        <v>0</v>
      </c>
      <c r="Q30" s="129">
        <v>0</v>
      </c>
      <c r="R30" s="129">
        <v>0</v>
      </c>
      <c r="S30" s="125">
        <v>32301</v>
      </c>
      <c r="T30" s="125">
        <v>1677</v>
      </c>
      <c r="U30" s="125">
        <v>565</v>
      </c>
      <c r="V30" s="136">
        <v>236</v>
      </c>
      <c r="W30" s="136">
        <v>20120</v>
      </c>
      <c r="X30" s="136">
        <v>358</v>
      </c>
      <c r="Y30" s="137">
        <v>0</v>
      </c>
      <c r="Z30" s="137">
        <v>55</v>
      </c>
      <c r="AA30" s="137">
        <v>0</v>
      </c>
      <c r="AB30" s="141">
        <v>8</v>
      </c>
      <c r="AC30" s="141">
        <v>246</v>
      </c>
      <c r="AD30" s="141">
        <v>0</v>
      </c>
    </row>
    <row r="31" spans="1:30" ht="14.25">
      <c r="A31">
        <v>91</v>
      </c>
      <c r="B31" s="121" t="s">
        <v>170</v>
      </c>
      <c r="C31" s="120">
        <v>1937815</v>
      </c>
      <c r="D31" s="120">
        <v>0</v>
      </c>
      <c r="E31" s="120">
        <v>114805</v>
      </c>
      <c r="F31" s="120">
        <v>0</v>
      </c>
      <c r="G31" s="123">
        <v>738</v>
      </c>
      <c r="H31" s="123">
        <v>306975</v>
      </c>
      <c r="I31" s="123">
        <v>14943</v>
      </c>
      <c r="J31" s="125">
        <v>0</v>
      </c>
      <c r="K31" s="125">
        <v>0</v>
      </c>
      <c r="L31" s="125">
        <v>0</v>
      </c>
      <c r="M31" s="127">
        <v>0</v>
      </c>
      <c r="N31" s="127">
        <v>0</v>
      </c>
      <c r="O31" s="127">
        <v>0</v>
      </c>
      <c r="P31" s="129">
        <v>0</v>
      </c>
      <c r="Q31" s="129">
        <v>0</v>
      </c>
      <c r="R31" s="129">
        <v>0</v>
      </c>
      <c r="S31" s="125">
        <v>5163159</v>
      </c>
      <c r="T31" s="125">
        <v>385620</v>
      </c>
      <c r="U31" s="125">
        <v>0</v>
      </c>
      <c r="V31" s="136">
        <v>86650</v>
      </c>
      <c r="W31" s="136">
        <v>2310024</v>
      </c>
      <c r="X31" s="136">
        <v>51826</v>
      </c>
      <c r="Y31" s="137">
        <v>61</v>
      </c>
      <c r="Z31" s="137">
        <v>6310</v>
      </c>
      <c r="AA31" s="137">
        <v>1629</v>
      </c>
      <c r="AB31" s="141">
        <v>0</v>
      </c>
      <c r="AC31" s="141">
        <v>0</v>
      </c>
      <c r="AD31" s="141">
        <v>0</v>
      </c>
    </row>
    <row r="32" spans="1:30" ht="14.25">
      <c r="A32">
        <v>92</v>
      </c>
      <c r="B32" s="121" t="s">
        <v>412</v>
      </c>
      <c r="C32" s="120">
        <v>408106</v>
      </c>
      <c r="D32" s="120">
        <v>0</v>
      </c>
      <c r="E32" s="120">
        <v>109842</v>
      </c>
      <c r="F32" s="120">
        <v>36951</v>
      </c>
      <c r="G32" s="123">
        <v>747</v>
      </c>
      <c r="H32" s="123">
        <v>94044</v>
      </c>
      <c r="I32" s="123">
        <v>17616</v>
      </c>
      <c r="J32" s="125">
        <v>0</v>
      </c>
      <c r="K32" s="125">
        <v>0</v>
      </c>
      <c r="L32" s="125">
        <v>0</v>
      </c>
      <c r="M32" s="127">
        <v>0</v>
      </c>
      <c r="N32" s="127">
        <v>762</v>
      </c>
      <c r="O32" s="127">
        <v>0</v>
      </c>
      <c r="P32" s="129">
        <v>0</v>
      </c>
      <c r="Q32" s="129">
        <v>0</v>
      </c>
      <c r="R32" s="129">
        <v>0</v>
      </c>
      <c r="S32" s="125">
        <v>1533544</v>
      </c>
      <c r="T32" s="125">
        <v>98084</v>
      </c>
      <c r="U32" s="125">
        <v>36953</v>
      </c>
      <c r="V32" s="136">
        <v>21495</v>
      </c>
      <c r="W32" s="136">
        <v>697547</v>
      </c>
      <c r="X32" s="136">
        <v>24864</v>
      </c>
      <c r="Y32" s="137">
        <v>0</v>
      </c>
      <c r="Z32" s="137">
        <v>853</v>
      </c>
      <c r="AA32" s="137">
        <v>1748</v>
      </c>
      <c r="AB32" s="141">
        <v>849</v>
      </c>
      <c r="AC32" s="141">
        <v>13518</v>
      </c>
      <c r="AD32" s="141">
        <v>0</v>
      </c>
    </row>
    <row r="33" spans="1:30" ht="14.25">
      <c r="A33">
        <v>97</v>
      </c>
      <c r="B33" s="121" t="s">
        <v>171</v>
      </c>
      <c r="C33" s="120">
        <v>3739</v>
      </c>
      <c r="D33" s="120">
        <v>0</v>
      </c>
      <c r="E33" s="120">
        <v>0</v>
      </c>
      <c r="F33" s="120">
        <v>0</v>
      </c>
      <c r="G33" s="123">
        <v>0</v>
      </c>
      <c r="H33" s="123">
        <v>264</v>
      </c>
      <c r="I33" s="123">
        <v>0</v>
      </c>
      <c r="J33" s="125">
        <v>0</v>
      </c>
      <c r="K33" s="125">
        <v>0</v>
      </c>
      <c r="L33" s="125">
        <v>0</v>
      </c>
      <c r="M33" s="127">
        <v>0</v>
      </c>
      <c r="N33" s="127">
        <v>0</v>
      </c>
      <c r="O33" s="127">
        <v>0</v>
      </c>
      <c r="P33" s="129">
        <v>0</v>
      </c>
      <c r="Q33" s="129">
        <v>0</v>
      </c>
      <c r="R33" s="129">
        <v>0</v>
      </c>
      <c r="S33" s="125">
        <v>17256</v>
      </c>
      <c r="T33" s="125">
        <v>816</v>
      </c>
      <c r="U33" s="125">
        <v>0</v>
      </c>
      <c r="V33" s="136">
        <v>175</v>
      </c>
      <c r="W33" s="136">
        <v>9214</v>
      </c>
      <c r="X33" s="136">
        <v>199</v>
      </c>
      <c r="Y33" s="137">
        <v>0</v>
      </c>
      <c r="Z33" s="137">
        <v>0</v>
      </c>
      <c r="AA33" s="137">
        <v>0</v>
      </c>
      <c r="AB33" s="141">
        <v>0</v>
      </c>
      <c r="AC33" s="141">
        <v>0</v>
      </c>
      <c r="AD33" s="141">
        <v>0</v>
      </c>
    </row>
    <row r="34" spans="1:30" ht="14.25">
      <c r="A34">
        <v>98</v>
      </c>
      <c r="B34" s="121" t="s">
        <v>172</v>
      </c>
      <c r="C34" s="120">
        <v>113663</v>
      </c>
      <c r="D34" s="120">
        <v>0</v>
      </c>
      <c r="E34" s="120">
        <v>160</v>
      </c>
      <c r="F34" s="120">
        <v>1823</v>
      </c>
      <c r="G34" s="123">
        <v>1287</v>
      </c>
      <c r="H34" s="123">
        <v>78115</v>
      </c>
      <c r="I34" s="123">
        <v>0</v>
      </c>
      <c r="J34" s="125">
        <v>0</v>
      </c>
      <c r="K34" s="125">
        <v>0</v>
      </c>
      <c r="L34" s="125">
        <v>0</v>
      </c>
      <c r="M34" s="127">
        <v>0</v>
      </c>
      <c r="N34" s="127">
        <v>0</v>
      </c>
      <c r="O34" s="127">
        <v>0</v>
      </c>
      <c r="P34" s="129">
        <v>0</v>
      </c>
      <c r="Q34" s="129">
        <v>4</v>
      </c>
      <c r="R34" s="129">
        <v>0</v>
      </c>
      <c r="S34" s="125">
        <v>218411</v>
      </c>
      <c r="T34" s="125">
        <v>9859</v>
      </c>
      <c r="U34" s="125">
        <v>1823</v>
      </c>
      <c r="V34" s="136">
        <v>3388</v>
      </c>
      <c r="W34" s="136">
        <v>142305</v>
      </c>
      <c r="X34" s="136">
        <v>1933</v>
      </c>
      <c r="Y34" s="137">
        <v>3</v>
      </c>
      <c r="Z34" s="137">
        <v>99</v>
      </c>
      <c r="AA34" s="137">
        <v>0</v>
      </c>
      <c r="AB34" s="141">
        <v>0</v>
      </c>
      <c r="AC34" s="141">
        <v>4</v>
      </c>
      <c r="AD34" s="141">
        <v>0</v>
      </c>
    </row>
    <row r="35" spans="1:30" ht="14.25">
      <c r="A35">
        <v>99</v>
      </c>
      <c r="B35" s="121" t="s">
        <v>173</v>
      </c>
      <c r="C35" s="120">
        <v>8100</v>
      </c>
      <c r="D35" s="120">
        <v>0</v>
      </c>
      <c r="E35" s="120">
        <v>0</v>
      </c>
      <c r="F35" s="120">
        <v>189</v>
      </c>
      <c r="G35" s="123">
        <v>0</v>
      </c>
      <c r="H35" s="123">
        <v>64</v>
      </c>
      <c r="I35" s="123">
        <v>74</v>
      </c>
      <c r="J35" s="125">
        <v>0</v>
      </c>
      <c r="K35" s="125">
        <v>0</v>
      </c>
      <c r="L35" s="125">
        <v>0</v>
      </c>
      <c r="M35" s="127">
        <v>0</v>
      </c>
      <c r="N35" s="127">
        <v>0</v>
      </c>
      <c r="O35" s="127">
        <v>0</v>
      </c>
      <c r="P35" s="129">
        <v>0</v>
      </c>
      <c r="Q35" s="129">
        <v>0</v>
      </c>
      <c r="R35" s="129">
        <v>0</v>
      </c>
      <c r="S35" s="125">
        <v>18043</v>
      </c>
      <c r="T35" s="125">
        <v>354</v>
      </c>
      <c r="U35" s="125">
        <v>189</v>
      </c>
      <c r="V35" s="136">
        <v>63</v>
      </c>
      <c r="W35" s="136">
        <v>6650</v>
      </c>
      <c r="X35" s="136">
        <v>246</v>
      </c>
      <c r="Y35" s="137">
        <v>0</v>
      </c>
      <c r="Z35" s="137">
        <v>0</v>
      </c>
      <c r="AA35" s="137">
        <v>4</v>
      </c>
      <c r="AB35" s="141">
        <v>0</v>
      </c>
      <c r="AC35" s="141">
        <v>2</v>
      </c>
      <c r="AD35" s="141">
        <v>1</v>
      </c>
    </row>
    <row r="36" spans="1:30" ht="14.25">
      <c r="A36">
        <v>102</v>
      </c>
      <c r="B36" s="121" t="s">
        <v>174</v>
      </c>
      <c r="C36" s="120">
        <v>23929</v>
      </c>
      <c r="D36" s="120">
        <v>0</v>
      </c>
      <c r="E36" s="120">
        <v>3</v>
      </c>
      <c r="F36" s="120">
        <v>2404</v>
      </c>
      <c r="G36" s="123">
        <v>366</v>
      </c>
      <c r="H36" s="123">
        <v>5181</v>
      </c>
      <c r="I36" s="123">
        <v>0</v>
      </c>
      <c r="J36" s="125">
        <v>0</v>
      </c>
      <c r="K36" s="125">
        <v>0</v>
      </c>
      <c r="L36" s="125">
        <v>0</v>
      </c>
      <c r="M36" s="127">
        <v>0</v>
      </c>
      <c r="N36" s="127">
        <v>0</v>
      </c>
      <c r="O36" s="127">
        <v>0</v>
      </c>
      <c r="P36" s="129">
        <v>0</v>
      </c>
      <c r="Q36" s="129">
        <v>0</v>
      </c>
      <c r="R36" s="129">
        <v>0</v>
      </c>
      <c r="S36" s="125">
        <v>77139</v>
      </c>
      <c r="T36" s="125">
        <v>3476</v>
      </c>
      <c r="U36" s="125">
        <v>2403</v>
      </c>
      <c r="V36" s="136">
        <v>989</v>
      </c>
      <c r="W36" s="136">
        <v>38903</v>
      </c>
      <c r="X36" s="136">
        <v>1095</v>
      </c>
      <c r="Y36" s="137">
        <v>3</v>
      </c>
      <c r="Z36" s="137">
        <v>90</v>
      </c>
      <c r="AA36" s="137">
        <v>0</v>
      </c>
      <c r="AB36" s="141">
        <v>31</v>
      </c>
      <c r="AC36" s="141">
        <v>1053</v>
      </c>
      <c r="AD36" s="141">
        <v>53</v>
      </c>
    </row>
    <row r="37" spans="1:30" ht="14.25">
      <c r="A37">
        <v>103</v>
      </c>
      <c r="B37" s="121" t="s">
        <v>175</v>
      </c>
      <c r="C37" s="120">
        <v>2426</v>
      </c>
      <c r="D37" s="120">
        <v>0</v>
      </c>
      <c r="E37" s="120">
        <v>0</v>
      </c>
      <c r="F37" s="120">
        <v>330</v>
      </c>
      <c r="G37" s="123">
        <v>22</v>
      </c>
      <c r="H37" s="123">
        <v>70</v>
      </c>
      <c r="I37" s="123">
        <v>0</v>
      </c>
      <c r="J37" s="125">
        <v>0</v>
      </c>
      <c r="K37" s="125">
        <v>0</v>
      </c>
      <c r="L37" s="125">
        <v>0</v>
      </c>
      <c r="M37" s="127">
        <v>0</v>
      </c>
      <c r="N37" s="127">
        <v>0</v>
      </c>
      <c r="O37" s="127">
        <v>0</v>
      </c>
      <c r="P37" s="129">
        <v>0</v>
      </c>
      <c r="Q37" s="129">
        <v>0</v>
      </c>
      <c r="R37" s="129">
        <v>0</v>
      </c>
      <c r="S37" s="125">
        <v>15453</v>
      </c>
      <c r="T37" s="125">
        <v>424</v>
      </c>
      <c r="U37" s="125">
        <v>332</v>
      </c>
      <c r="V37" s="136">
        <v>145</v>
      </c>
      <c r="W37" s="136">
        <v>8249</v>
      </c>
      <c r="X37" s="136">
        <v>195</v>
      </c>
      <c r="Y37" s="137">
        <v>0</v>
      </c>
      <c r="Z37" s="137">
        <v>2</v>
      </c>
      <c r="AA37" s="137">
        <v>0</v>
      </c>
      <c r="AB37" s="141">
        <v>0</v>
      </c>
      <c r="AC37" s="141">
        <v>0</v>
      </c>
      <c r="AD37" s="141">
        <v>0</v>
      </c>
    </row>
    <row r="38" spans="1:30" ht="14.25">
      <c r="A38">
        <v>105</v>
      </c>
      <c r="B38" s="121" t="s">
        <v>176</v>
      </c>
      <c r="C38" s="120">
        <v>3457</v>
      </c>
      <c r="D38" s="120">
        <v>0</v>
      </c>
      <c r="E38" s="120">
        <v>0</v>
      </c>
      <c r="F38" s="120">
        <v>77</v>
      </c>
      <c r="G38" s="123">
        <v>0</v>
      </c>
      <c r="H38" s="123">
        <v>15</v>
      </c>
      <c r="I38" s="123">
        <v>0</v>
      </c>
      <c r="J38" s="125">
        <v>0</v>
      </c>
      <c r="K38" s="125">
        <v>0</v>
      </c>
      <c r="L38" s="125">
        <v>0</v>
      </c>
      <c r="M38" s="127">
        <v>0</v>
      </c>
      <c r="N38" s="127">
        <v>0</v>
      </c>
      <c r="O38" s="127">
        <v>0</v>
      </c>
      <c r="P38" s="129">
        <v>0</v>
      </c>
      <c r="Q38" s="129">
        <v>0</v>
      </c>
      <c r="R38" s="129">
        <v>0</v>
      </c>
      <c r="S38" s="125">
        <v>21316</v>
      </c>
      <c r="T38" s="125">
        <v>535</v>
      </c>
      <c r="U38" s="125">
        <v>77</v>
      </c>
      <c r="V38" s="136">
        <v>36</v>
      </c>
      <c r="W38" s="136">
        <v>12074</v>
      </c>
      <c r="X38" s="136">
        <v>212</v>
      </c>
      <c r="Y38" s="137">
        <v>0</v>
      </c>
      <c r="Z38" s="137">
        <v>0</v>
      </c>
      <c r="AA38" s="137">
        <v>0</v>
      </c>
      <c r="AB38" s="141">
        <v>0</v>
      </c>
      <c r="AC38" s="141">
        <v>0</v>
      </c>
      <c r="AD38" s="141">
        <v>0</v>
      </c>
    </row>
    <row r="39" spans="1:30" ht="14.25">
      <c r="A39">
        <v>106</v>
      </c>
      <c r="B39" s="121" t="s">
        <v>177</v>
      </c>
      <c r="C39" s="120">
        <v>92160</v>
      </c>
      <c r="D39" s="120">
        <v>0</v>
      </c>
      <c r="E39" s="120">
        <v>7527</v>
      </c>
      <c r="F39" s="120">
        <v>16567</v>
      </c>
      <c r="G39" s="123">
        <v>620</v>
      </c>
      <c r="H39" s="123">
        <v>22892</v>
      </c>
      <c r="I39" s="123">
        <v>10</v>
      </c>
      <c r="J39" s="125">
        <v>0</v>
      </c>
      <c r="K39" s="125">
        <v>0</v>
      </c>
      <c r="L39" s="125">
        <v>0</v>
      </c>
      <c r="M39" s="127">
        <v>0</v>
      </c>
      <c r="N39" s="127">
        <v>0</v>
      </c>
      <c r="O39" s="127">
        <v>0</v>
      </c>
      <c r="P39" s="129">
        <v>343</v>
      </c>
      <c r="Q39" s="129">
        <v>7242</v>
      </c>
      <c r="R39" s="129">
        <v>169</v>
      </c>
      <c r="S39" s="125">
        <v>325758</v>
      </c>
      <c r="T39" s="125">
        <v>19721</v>
      </c>
      <c r="U39" s="125">
        <v>16567</v>
      </c>
      <c r="V39" s="136">
        <v>5281</v>
      </c>
      <c r="W39" s="136">
        <v>168534</v>
      </c>
      <c r="X39" s="136">
        <v>3571</v>
      </c>
      <c r="Y39" s="137">
        <v>0</v>
      </c>
      <c r="Z39" s="137">
        <v>197</v>
      </c>
      <c r="AA39" s="137">
        <v>3</v>
      </c>
      <c r="AB39" s="141">
        <v>471</v>
      </c>
      <c r="AC39" s="141">
        <v>8591</v>
      </c>
      <c r="AD39" s="141">
        <v>12</v>
      </c>
    </row>
    <row r="40" spans="1:30" ht="14.25">
      <c r="A40">
        <v>108</v>
      </c>
      <c r="B40" s="121" t="s">
        <v>178</v>
      </c>
      <c r="C40" s="120">
        <v>19201</v>
      </c>
      <c r="D40" s="120">
        <v>0</v>
      </c>
      <c r="E40" s="120">
        <v>138</v>
      </c>
      <c r="F40" s="120">
        <v>0</v>
      </c>
      <c r="G40" s="123">
        <v>193</v>
      </c>
      <c r="H40" s="123">
        <v>6389</v>
      </c>
      <c r="I40" s="123">
        <v>0</v>
      </c>
      <c r="J40" s="125">
        <v>0</v>
      </c>
      <c r="K40" s="125">
        <v>0</v>
      </c>
      <c r="L40" s="125">
        <v>0</v>
      </c>
      <c r="M40" s="127">
        <v>0</v>
      </c>
      <c r="N40" s="127">
        <v>0</v>
      </c>
      <c r="O40" s="127">
        <v>0</v>
      </c>
      <c r="P40" s="129">
        <v>0</v>
      </c>
      <c r="Q40" s="129">
        <v>0</v>
      </c>
      <c r="R40" s="129">
        <v>0</v>
      </c>
      <c r="S40" s="125">
        <v>74720</v>
      </c>
      <c r="T40" s="125">
        <v>3629</v>
      </c>
      <c r="U40" s="125">
        <v>0</v>
      </c>
      <c r="V40" s="136">
        <v>1054</v>
      </c>
      <c r="W40" s="136">
        <v>39211</v>
      </c>
      <c r="X40" s="136">
        <v>717</v>
      </c>
      <c r="Y40" s="137">
        <v>8</v>
      </c>
      <c r="Z40" s="137">
        <v>175</v>
      </c>
      <c r="AA40" s="137">
        <v>0</v>
      </c>
      <c r="AB40" s="141">
        <v>0</v>
      </c>
      <c r="AC40" s="141">
        <v>0</v>
      </c>
      <c r="AD40" s="141">
        <v>0</v>
      </c>
    </row>
    <row r="41" spans="1:30" ht="14.25">
      <c r="A41">
        <v>109</v>
      </c>
      <c r="B41" s="121" t="s">
        <v>179</v>
      </c>
      <c r="C41" s="120">
        <v>136090</v>
      </c>
      <c r="D41" s="120">
        <v>0</v>
      </c>
      <c r="E41" s="120">
        <v>5364</v>
      </c>
      <c r="F41" s="120">
        <v>11028</v>
      </c>
      <c r="G41" s="123">
        <v>52</v>
      </c>
      <c r="H41" s="123">
        <v>35203</v>
      </c>
      <c r="I41" s="123">
        <v>16267</v>
      </c>
      <c r="J41" s="125">
        <v>0</v>
      </c>
      <c r="K41" s="125">
        <v>0</v>
      </c>
      <c r="L41" s="125">
        <v>0</v>
      </c>
      <c r="M41" s="127">
        <v>0</v>
      </c>
      <c r="N41" s="127">
        <v>0</v>
      </c>
      <c r="O41" s="127">
        <v>0</v>
      </c>
      <c r="P41" s="129">
        <v>2</v>
      </c>
      <c r="Q41" s="129">
        <v>3529</v>
      </c>
      <c r="R41" s="129">
        <v>0</v>
      </c>
      <c r="S41" s="125">
        <v>491645</v>
      </c>
      <c r="T41" s="125">
        <v>17467</v>
      </c>
      <c r="U41" s="125">
        <v>11027</v>
      </c>
      <c r="V41" s="136">
        <v>1325</v>
      </c>
      <c r="W41" s="136">
        <v>260180</v>
      </c>
      <c r="X41" s="136">
        <v>22425</v>
      </c>
      <c r="Y41" s="137">
        <v>0</v>
      </c>
      <c r="Z41" s="137">
        <v>217</v>
      </c>
      <c r="AA41" s="137">
        <v>535</v>
      </c>
      <c r="AB41" s="141">
        <v>31</v>
      </c>
      <c r="AC41" s="141">
        <v>6842</v>
      </c>
      <c r="AD41" s="141">
        <v>0</v>
      </c>
    </row>
    <row r="42" spans="1:30" ht="14.25">
      <c r="A42">
        <v>111</v>
      </c>
      <c r="B42" s="121" t="s">
        <v>168</v>
      </c>
      <c r="C42" s="120">
        <v>37965</v>
      </c>
      <c r="D42" s="120">
        <v>0</v>
      </c>
      <c r="E42" s="120">
        <v>439</v>
      </c>
      <c r="F42" s="120">
        <v>716</v>
      </c>
      <c r="G42" s="123">
        <v>88</v>
      </c>
      <c r="H42" s="123">
        <v>8096</v>
      </c>
      <c r="I42" s="123">
        <v>0</v>
      </c>
      <c r="J42" s="125">
        <v>0</v>
      </c>
      <c r="K42" s="125">
        <v>0</v>
      </c>
      <c r="L42" s="125">
        <v>0</v>
      </c>
      <c r="M42" s="127">
        <v>0</v>
      </c>
      <c r="N42" s="127">
        <v>0</v>
      </c>
      <c r="O42" s="127">
        <v>0</v>
      </c>
      <c r="P42" s="129">
        <v>0</v>
      </c>
      <c r="Q42" s="129">
        <v>0</v>
      </c>
      <c r="R42" s="129">
        <v>0</v>
      </c>
      <c r="S42" s="125">
        <v>146195</v>
      </c>
      <c r="T42" s="125">
        <v>5487</v>
      </c>
      <c r="U42" s="125">
        <v>716</v>
      </c>
      <c r="V42" s="136">
        <v>2015</v>
      </c>
      <c r="W42" s="136">
        <v>78921</v>
      </c>
      <c r="X42" s="136">
        <v>2219</v>
      </c>
      <c r="Y42" s="137">
        <v>0</v>
      </c>
      <c r="Z42" s="137">
        <v>836</v>
      </c>
      <c r="AA42" s="137">
        <v>163</v>
      </c>
      <c r="AB42" s="141">
        <v>0</v>
      </c>
      <c r="AC42" s="141">
        <v>251</v>
      </c>
      <c r="AD42" s="141">
        <v>0</v>
      </c>
    </row>
    <row r="43" spans="1:30" ht="14.25">
      <c r="A43">
        <v>139</v>
      </c>
      <c r="B43" s="121" t="s">
        <v>180</v>
      </c>
      <c r="C43" s="120">
        <v>13059</v>
      </c>
      <c r="D43" s="120">
        <v>0</v>
      </c>
      <c r="E43" s="120">
        <v>8</v>
      </c>
      <c r="F43" s="120">
        <v>1045</v>
      </c>
      <c r="G43" s="123">
        <v>0</v>
      </c>
      <c r="H43" s="123">
        <v>0</v>
      </c>
      <c r="I43" s="123">
        <v>0</v>
      </c>
      <c r="J43" s="125">
        <v>0</v>
      </c>
      <c r="K43" s="125">
        <v>0</v>
      </c>
      <c r="L43" s="125">
        <v>0</v>
      </c>
      <c r="M43" s="127">
        <v>0</v>
      </c>
      <c r="N43" s="127">
        <v>0</v>
      </c>
      <c r="O43" s="127">
        <v>0</v>
      </c>
      <c r="P43" s="129">
        <v>0</v>
      </c>
      <c r="Q43" s="129">
        <v>0</v>
      </c>
      <c r="R43" s="129">
        <v>0</v>
      </c>
      <c r="S43" s="125">
        <v>67512</v>
      </c>
      <c r="T43" s="125">
        <v>2603</v>
      </c>
      <c r="U43" s="125">
        <v>1038</v>
      </c>
      <c r="V43" s="136">
        <v>560</v>
      </c>
      <c r="W43" s="136">
        <v>30906</v>
      </c>
      <c r="X43" s="136">
        <v>605</v>
      </c>
      <c r="Y43" s="137">
        <v>0</v>
      </c>
      <c r="Z43" s="137">
        <v>65</v>
      </c>
      <c r="AA43" s="137">
        <v>0</v>
      </c>
      <c r="AB43" s="141">
        <v>3</v>
      </c>
      <c r="AC43" s="141">
        <v>13</v>
      </c>
      <c r="AD43" s="141">
        <v>22</v>
      </c>
    </row>
    <row r="44" spans="1:30" ht="14.25">
      <c r="A44">
        <v>140</v>
      </c>
      <c r="B44" s="121" t="s">
        <v>181</v>
      </c>
      <c r="C44" s="120">
        <v>39308</v>
      </c>
      <c r="D44" s="120">
        <v>0</v>
      </c>
      <c r="E44" s="120">
        <v>0</v>
      </c>
      <c r="F44" s="120">
        <v>4041</v>
      </c>
      <c r="G44" s="123">
        <v>1</v>
      </c>
      <c r="H44" s="123">
        <v>463</v>
      </c>
      <c r="I44" s="123">
        <v>1</v>
      </c>
      <c r="J44" s="125">
        <v>0</v>
      </c>
      <c r="K44" s="125">
        <v>0</v>
      </c>
      <c r="L44" s="125">
        <v>0</v>
      </c>
      <c r="M44" s="127">
        <v>0</v>
      </c>
      <c r="N44" s="127">
        <v>0</v>
      </c>
      <c r="O44" s="127">
        <v>0</v>
      </c>
      <c r="P44" s="129">
        <v>0</v>
      </c>
      <c r="Q44" s="129">
        <v>0</v>
      </c>
      <c r="R44" s="129">
        <v>6</v>
      </c>
      <c r="S44" s="125">
        <v>155743</v>
      </c>
      <c r="T44" s="125">
        <v>7199</v>
      </c>
      <c r="U44" s="125">
        <v>4041</v>
      </c>
      <c r="V44" s="136">
        <v>1224</v>
      </c>
      <c r="W44" s="136">
        <v>75948</v>
      </c>
      <c r="X44" s="136">
        <v>1805</v>
      </c>
      <c r="Y44" s="137">
        <v>0</v>
      </c>
      <c r="Z44" s="137">
        <v>0</v>
      </c>
      <c r="AA44" s="137">
        <v>0</v>
      </c>
      <c r="AB44" s="141">
        <v>11</v>
      </c>
      <c r="AC44" s="141">
        <v>161</v>
      </c>
      <c r="AD44" s="141">
        <v>8</v>
      </c>
    </row>
    <row r="45" spans="1:30" ht="14.25">
      <c r="A45">
        <v>142</v>
      </c>
      <c r="B45" s="121" t="s">
        <v>182</v>
      </c>
      <c r="C45" s="120">
        <v>7348</v>
      </c>
      <c r="D45" s="120">
        <v>0</v>
      </c>
      <c r="E45" s="120">
        <v>0</v>
      </c>
      <c r="F45" s="120">
        <v>0</v>
      </c>
      <c r="G45" s="123">
        <v>0</v>
      </c>
      <c r="H45" s="123">
        <v>0</v>
      </c>
      <c r="I45" s="123">
        <v>0</v>
      </c>
      <c r="J45" s="125">
        <v>0</v>
      </c>
      <c r="K45" s="125">
        <v>0</v>
      </c>
      <c r="L45" s="125">
        <v>0</v>
      </c>
      <c r="M45" s="127">
        <v>0</v>
      </c>
      <c r="N45" s="127">
        <v>0</v>
      </c>
      <c r="O45" s="127">
        <v>0</v>
      </c>
      <c r="P45" s="129">
        <v>0</v>
      </c>
      <c r="Q45" s="129">
        <v>0</v>
      </c>
      <c r="R45" s="129">
        <v>0</v>
      </c>
      <c r="S45" s="125">
        <v>43709</v>
      </c>
      <c r="T45" s="125">
        <v>1810</v>
      </c>
      <c r="U45" s="125">
        <v>0</v>
      </c>
      <c r="V45" s="136">
        <v>733</v>
      </c>
      <c r="W45" s="136">
        <v>24152</v>
      </c>
      <c r="X45" s="136">
        <v>601</v>
      </c>
      <c r="Y45" s="137">
        <v>0</v>
      </c>
      <c r="Z45" s="137">
        <v>2</v>
      </c>
      <c r="AA45" s="137">
        <v>0</v>
      </c>
      <c r="AB45" s="141">
        <v>0</v>
      </c>
      <c r="AC45" s="141">
        <v>0</v>
      </c>
      <c r="AD45" s="141">
        <v>0</v>
      </c>
    </row>
    <row r="46" spans="1:30" ht="14.25">
      <c r="A46">
        <v>143</v>
      </c>
      <c r="B46" s="121" t="s">
        <v>183</v>
      </c>
      <c r="C46" s="120">
        <v>11555</v>
      </c>
      <c r="D46" s="120">
        <v>0</v>
      </c>
      <c r="E46" s="120">
        <v>0</v>
      </c>
      <c r="F46" s="120">
        <v>148</v>
      </c>
      <c r="G46" s="123">
        <v>127</v>
      </c>
      <c r="H46" s="123">
        <v>3435</v>
      </c>
      <c r="I46" s="123">
        <v>0</v>
      </c>
      <c r="J46" s="125">
        <v>0</v>
      </c>
      <c r="K46" s="125">
        <v>0</v>
      </c>
      <c r="L46" s="125">
        <v>0</v>
      </c>
      <c r="M46" s="127">
        <v>0</v>
      </c>
      <c r="N46" s="127">
        <v>0</v>
      </c>
      <c r="O46" s="127">
        <v>0</v>
      </c>
      <c r="P46" s="129">
        <v>0</v>
      </c>
      <c r="Q46" s="129">
        <v>0</v>
      </c>
      <c r="R46" s="129">
        <v>0</v>
      </c>
      <c r="S46" s="125">
        <v>51952</v>
      </c>
      <c r="T46" s="125">
        <v>2386</v>
      </c>
      <c r="U46" s="125">
        <v>523</v>
      </c>
      <c r="V46" s="136">
        <v>414</v>
      </c>
      <c r="W46" s="136">
        <v>28900</v>
      </c>
      <c r="X46" s="136">
        <v>537</v>
      </c>
      <c r="Y46" s="137">
        <v>0</v>
      </c>
      <c r="Z46" s="137">
        <v>146</v>
      </c>
      <c r="AA46" s="137">
        <v>0</v>
      </c>
      <c r="AB46" s="141">
        <v>5</v>
      </c>
      <c r="AC46" s="141">
        <v>241</v>
      </c>
      <c r="AD46" s="141">
        <v>0</v>
      </c>
    </row>
    <row r="47" spans="1:30" ht="14.25">
      <c r="A47">
        <v>145</v>
      </c>
      <c r="B47" s="121" t="s">
        <v>184</v>
      </c>
      <c r="C47" s="120">
        <v>9998</v>
      </c>
      <c r="D47" s="120">
        <v>0</v>
      </c>
      <c r="E47" s="120">
        <v>81</v>
      </c>
      <c r="F47" s="120">
        <v>5847</v>
      </c>
      <c r="G47" s="123">
        <v>169</v>
      </c>
      <c r="H47" s="123">
        <v>874</v>
      </c>
      <c r="I47" s="123">
        <v>0</v>
      </c>
      <c r="J47" s="125">
        <v>0</v>
      </c>
      <c r="K47" s="125">
        <v>0</v>
      </c>
      <c r="L47" s="125">
        <v>0</v>
      </c>
      <c r="M47" s="127">
        <v>0</v>
      </c>
      <c r="N47" s="127">
        <v>0</v>
      </c>
      <c r="O47" s="127">
        <v>0</v>
      </c>
      <c r="P47" s="129">
        <v>0</v>
      </c>
      <c r="Q47" s="129">
        <v>0</v>
      </c>
      <c r="R47" s="129">
        <v>0</v>
      </c>
      <c r="S47" s="125">
        <v>72705</v>
      </c>
      <c r="T47" s="125">
        <v>3059</v>
      </c>
      <c r="U47" s="125">
        <v>5845</v>
      </c>
      <c r="V47" s="136">
        <v>243</v>
      </c>
      <c r="W47" s="136">
        <v>38006</v>
      </c>
      <c r="X47" s="136">
        <v>1002</v>
      </c>
      <c r="Y47" s="137">
        <v>6</v>
      </c>
      <c r="Z47" s="137">
        <v>25</v>
      </c>
      <c r="AA47" s="137">
        <v>53</v>
      </c>
      <c r="AB47" s="141">
        <v>8</v>
      </c>
      <c r="AC47" s="141">
        <v>258</v>
      </c>
      <c r="AD47" s="141">
        <v>0</v>
      </c>
    </row>
    <row r="48" spans="1:30" ht="14.25">
      <c r="A48">
        <v>146</v>
      </c>
      <c r="B48" s="121" t="s">
        <v>185</v>
      </c>
      <c r="C48" s="120">
        <v>11839</v>
      </c>
      <c r="D48" s="120">
        <v>0</v>
      </c>
      <c r="E48" s="120">
        <v>267</v>
      </c>
      <c r="F48" s="120">
        <v>0</v>
      </c>
      <c r="G48" s="123">
        <v>16</v>
      </c>
      <c r="H48" s="123">
        <v>4283</v>
      </c>
      <c r="I48" s="123">
        <v>0</v>
      </c>
      <c r="J48" s="125">
        <v>0</v>
      </c>
      <c r="K48" s="125">
        <v>0</v>
      </c>
      <c r="L48" s="125">
        <v>0</v>
      </c>
      <c r="M48" s="127">
        <v>0</v>
      </c>
      <c r="N48" s="127">
        <v>0</v>
      </c>
      <c r="O48" s="127">
        <v>0</v>
      </c>
      <c r="P48" s="129">
        <v>0</v>
      </c>
      <c r="Q48" s="129">
        <v>0</v>
      </c>
      <c r="R48" s="129">
        <v>0</v>
      </c>
      <c r="S48" s="125">
        <v>51070</v>
      </c>
      <c r="T48" s="125">
        <v>1772</v>
      </c>
      <c r="U48" s="125">
        <v>0</v>
      </c>
      <c r="V48" s="136">
        <v>445</v>
      </c>
      <c r="W48" s="136">
        <v>31132</v>
      </c>
      <c r="X48" s="136">
        <v>402</v>
      </c>
      <c r="Y48" s="137">
        <v>0</v>
      </c>
      <c r="Z48" s="137">
        <v>121</v>
      </c>
      <c r="AA48" s="137">
        <v>0</v>
      </c>
      <c r="AB48" s="141">
        <v>0</v>
      </c>
      <c r="AC48" s="141">
        <v>0</v>
      </c>
      <c r="AD48" s="141">
        <v>0</v>
      </c>
    </row>
    <row r="49" spans="1:30" ht="14.25">
      <c r="A49">
        <v>148</v>
      </c>
      <c r="B49" s="121" t="s">
        <v>187</v>
      </c>
      <c r="C49" s="120">
        <v>14712</v>
      </c>
      <c r="D49" s="120">
        <v>0</v>
      </c>
      <c r="E49" s="120">
        <v>0</v>
      </c>
      <c r="F49" s="120">
        <v>197</v>
      </c>
      <c r="G49" s="123">
        <v>80</v>
      </c>
      <c r="H49" s="123">
        <v>4771</v>
      </c>
      <c r="I49" s="123">
        <v>0</v>
      </c>
      <c r="J49" s="125">
        <v>0</v>
      </c>
      <c r="K49" s="125">
        <v>0</v>
      </c>
      <c r="L49" s="125">
        <v>0</v>
      </c>
      <c r="M49" s="127">
        <v>0</v>
      </c>
      <c r="N49" s="127">
        <v>0</v>
      </c>
      <c r="O49" s="127">
        <v>0</v>
      </c>
      <c r="P49" s="129">
        <v>0</v>
      </c>
      <c r="Q49" s="129">
        <v>197</v>
      </c>
      <c r="R49" s="129">
        <v>0</v>
      </c>
      <c r="S49" s="125">
        <v>60171</v>
      </c>
      <c r="T49" s="125">
        <v>1851</v>
      </c>
      <c r="U49" s="125">
        <v>197</v>
      </c>
      <c r="V49" s="136">
        <v>954</v>
      </c>
      <c r="W49" s="136">
        <v>31809</v>
      </c>
      <c r="X49" s="136">
        <v>704</v>
      </c>
      <c r="Y49" s="137">
        <v>0</v>
      </c>
      <c r="Z49" s="137">
        <v>193</v>
      </c>
      <c r="AA49" s="137">
        <v>10</v>
      </c>
      <c r="AB49" s="141">
        <v>0</v>
      </c>
      <c r="AC49" s="141">
        <v>197</v>
      </c>
      <c r="AD49" s="141">
        <v>0</v>
      </c>
    </row>
    <row r="50" spans="1:30" ht="14.25">
      <c r="A50">
        <v>149</v>
      </c>
      <c r="B50" s="121" t="s">
        <v>188</v>
      </c>
      <c r="C50" s="120">
        <v>6382</v>
      </c>
      <c r="D50" s="120">
        <v>0</v>
      </c>
      <c r="E50" s="120">
        <v>0</v>
      </c>
      <c r="F50" s="120">
        <v>0</v>
      </c>
      <c r="G50" s="123">
        <v>23</v>
      </c>
      <c r="H50" s="123">
        <v>1478</v>
      </c>
      <c r="I50" s="123">
        <v>0</v>
      </c>
      <c r="J50" s="125">
        <v>0</v>
      </c>
      <c r="K50" s="125">
        <v>0</v>
      </c>
      <c r="L50" s="125">
        <v>0</v>
      </c>
      <c r="M50" s="127">
        <v>0</v>
      </c>
      <c r="N50" s="127">
        <v>0</v>
      </c>
      <c r="O50" s="127">
        <v>0</v>
      </c>
      <c r="P50" s="129">
        <v>0</v>
      </c>
      <c r="Q50" s="129">
        <v>0</v>
      </c>
      <c r="R50" s="129">
        <v>0</v>
      </c>
      <c r="S50" s="125">
        <v>35401</v>
      </c>
      <c r="T50" s="125">
        <v>1430</v>
      </c>
      <c r="U50" s="125">
        <v>0</v>
      </c>
      <c r="V50" s="136">
        <v>345</v>
      </c>
      <c r="W50" s="136">
        <v>17873</v>
      </c>
      <c r="X50" s="136">
        <v>352</v>
      </c>
      <c r="Y50" s="137">
        <v>1</v>
      </c>
      <c r="Z50" s="137">
        <v>36</v>
      </c>
      <c r="AA50" s="137">
        <v>0</v>
      </c>
      <c r="AB50" s="141">
        <v>0</v>
      </c>
      <c r="AC50" s="141">
        <v>0</v>
      </c>
      <c r="AD50" s="141">
        <v>0</v>
      </c>
    </row>
    <row r="51" spans="1:30" ht="14.25">
      <c r="A51">
        <v>151</v>
      </c>
      <c r="B51" s="121" t="s">
        <v>189</v>
      </c>
      <c r="C51" s="120">
        <v>2371</v>
      </c>
      <c r="D51" s="120">
        <v>0</v>
      </c>
      <c r="E51" s="120">
        <v>0</v>
      </c>
      <c r="F51" s="120">
        <v>473</v>
      </c>
      <c r="G51" s="123">
        <v>0</v>
      </c>
      <c r="H51" s="123">
        <v>37</v>
      </c>
      <c r="I51" s="123">
        <v>0</v>
      </c>
      <c r="J51" s="125">
        <v>0</v>
      </c>
      <c r="K51" s="125">
        <v>0</v>
      </c>
      <c r="L51" s="125">
        <v>0</v>
      </c>
      <c r="M51" s="127">
        <v>0</v>
      </c>
      <c r="N51" s="127">
        <v>0</v>
      </c>
      <c r="O51" s="127">
        <v>0</v>
      </c>
      <c r="P51" s="129">
        <v>0</v>
      </c>
      <c r="Q51" s="129">
        <v>0</v>
      </c>
      <c r="R51" s="129">
        <v>0</v>
      </c>
      <c r="S51" s="125">
        <v>16251</v>
      </c>
      <c r="T51" s="125">
        <v>529</v>
      </c>
      <c r="U51" s="125">
        <v>818</v>
      </c>
      <c r="V51" s="136">
        <v>35</v>
      </c>
      <c r="W51" s="136">
        <v>10019</v>
      </c>
      <c r="X51" s="136">
        <v>187</v>
      </c>
      <c r="Y51" s="137">
        <v>0</v>
      </c>
      <c r="Z51" s="137">
        <v>0</v>
      </c>
      <c r="AA51" s="137">
        <v>0</v>
      </c>
      <c r="AB51" s="141">
        <v>0</v>
      </c>
      <c r="AC51" s="141">
        <v>0</v>
      </c>
      <c r="AD51" s="141">
        <v>6</v>
      </c>
    </row>
    <row r="52" spans="1:30" ht="14.25">
      <c r="A52">
        <v>152</v>
      </c>
      <c r="B52" s="121" t="s">
        <v>190</v>
      </c>
      <c r="C52" s="120">
        <v>7561</v>
      </c>
      <c r="D52" s="120">
        <v>0</v>
      </c>
      <c r="E52" s="120">
        <v>0</v>
      </c>
      <c r="F52" s="120">
        <v>165</v>
      </c>
      <c r="G52" s="123">
        <v>0</v>
      </c>
      <c r="H52" s="123">
        <v>1560</v>
      </c>
      <c r="I52" s="123">
        <v>0</v>
      </c>
      <c r="J52" s="125">
        <v>0</v>
      </c>
      <c r="K52" s="125">
        <v>0</v>
      </c>
      <c r="L52" s="125">
        <v>0</v>
      </c>
      <c r="M52" s="127">
        <v>0</v>
      </c>
      <c r="N52" s="127">
        <v>0</v>
      </c>
      <c r="O52" s="127">
        <v>0</v>
      </c>
      <c r="P52" s="129">
        <v>0</v>
      </c>
      <c r="Q52" s="129">
        <v>0</v>
      </c>
      <c r="R52" s="129">
        <v>0</v>
      </c>
      <c r="S52" s="125">
        <v>33095</v>
      </c>
      <c r="T52" s="125">
        <v>1129</v>
      </c>
      <c r="U52" s="125">
        <v>165</v>
      </c>
      <c r="V52" s="136">
        <v>118</v>
      </c>
      <c r="W52" s="136">
        <v>17651</v>
      </c>
      <c r="X52" s="136">
        <v>357</v>
      </c>
      <c r="Y52" s="137">
        <v>0</v>
      </c>
      <c r="Z52" s="137">
        <v>0</v>
      </c>
      <c r="AA52" s="137">
        <v>4</v>
      </c>
      <c r="AB52" s="141">
        <v>0</v>
      </c>
      <c r="AC52" s="141">
        <v>62</v>
      </c>
      <c r="AD52" s="141">
        <v>0</v>
      </c>
    </row>
    <row r="53" spans="1:30" ht="14.25">
      <c r="A53">
        <v>153</v>
      </c>
      <c r="B53" s="121" t="s">
        <v>186</v>
      </c>
      <c r="C53" s="120">
        <v>44305</v>
      </c>
      <c r="D53" s="120">
        <v>0</v>
      </c>
      <c r="E53" s="120">
        <v>0</v>
      </c>
      <c r="F53" s="120">
        <v>0</v>
      </c>
      <c r="G53" s="123">
        <v>1077</v>
      </c>
      <c r="H53" s="123">
        <v>14111</v>
      </c>
      <c r="I53" s="123">
        <v>0</v>
      </c>
      <c r="J53" s="125">
        <v>0</v>
      </c>
      <c r="K53" s="125">
        <v>0</v>
      </c>
      <c r="L53" s="125">
        <v>0</v>
      </c>
      <c r="M53" s="127">
        <v>0</v>
      </c>
      <c r="N53" s="127">
        <v>0</v>
      </c>
      <c r="O53" s="127">
        <v>0</v>
      </c>
      <c r="P53" s="129">
        <v>0</v>
      </c>
      <c r="Q53" s="129">
        <v>0</v>
      </c>
      <c r="R53" s="129">
        <v>0</v>
      </c>
      <c r="S53" s="125">
        <v>188557</v>
      </c>
      <c r="T53" s="125">
        <v>8439</v>
      </c>
      <c r="U53" s="125">
        <v>0</v>
      </c>
      <c r="V53" s="136">
        <v>4281</v>
      </c>
      <c r="W53" s="136">
        <v>103481</v>
      </c>
      <c r="X53" s="136">
        <v>2390</v>
      </c>
      <c r="Y53" s="137">
        <v>8</v>
      </c>
      <c r="Z53" s="137">
        <v>306</v>
      </c>
      <c r="AA53" s="137">
        <v>0</v>
      </c>
      <c r="AB53" s="141">
        <v>0</v>
      </c>
      <c r="AC53" s="141">
        <v>0</v>
      </c>
      <c r="AD53" s="141">
        <v>0</v>
      </c>
    </row>
    <row r="54" spans="1:30" ht="14.25">
      <c r="A54">
        <v>164</v>
      </c>
      <c r="B54" s="121" t="s">
        <v>524</v>
      </c>
      <c r="C54" s="120">
        <v>17781</v>
      </c>
      <c r="D54" s="120">
        <v>0</v>
      </c>
      <c r="E54" s="120">
        <v>0</v>
      </c>
      <c r="F54" s="120">
        <v>826</v>
      </c>
      <c r="G54" s="123">
        <v>179</v>
      </c>
      <c r="H54" s="123">
        <v>492</v>
      </c>
      <c r="I54" s="123">
        <v>0</v>
      </c>
      <c r="J54" s="125">
        <v>0</v>
      </c>
      <c r="K54" s="125">
        <v>0</v>
      </c>
      <c r="L54" s="125">
        <v>0</v>
      </c>
      <c r="M54" s="127">
        <v>0</v>
      </c>
      <c r="N54" s="127">
        <v>0</v>
      </c>
      <c r="O54" s="127">
        <v>0</v>
      </c>
      <c r="P54" s="129">
        <v>0</v>
      </c>
      <c r="Q54" s="129">
        <v>0</v>
      </c>
      <c r="R54" s="129">
        <v>0</v>
      </c>
      <c r="S54" s="125">
        <v>66010</v>
      </c>
      <c r="T54" s="125">
        <v>2289</v>
      </c>
      <c r="U54" s="125">
        <v>827</v>
      </c>
      <c r="V54" s="136">
        <v>350</v>
      </c>
      <c r="W54" s="136">
        <v>29931</v>
      </c>
      <c r="X54" s="136">
        <v>694</v>
      </c>
      <c r="Y54" s="137">
        <v>0</v>
      </c>
      <c r="Z54" s="137">
        <v>0</v>
      </c>
      <c r="AA54" s="137">
        <v>0</v>
      </c>
      <c r="AB54" s="141">
        <v>0</v>
      </c>
      <c r="AC54" s="141">
        <v>45</v>
      </c>
      <c r="AD54" s="141">
        <v>0</v>
      </c>
    </row>
    <row r="55" spans="1:30" ht="14.25">
      <c r="A55">
        <v>165</v>
      </c>
      <c r="B55" s="121" t="s">
        <v>191</v>
      </c>
      <c r="C55" s="120">
        <v>32617</v>
      </c>
      <c r="D55" s="120">
        <v>0</v>
      </c>
      <c r="E55" s="120">
        <v>167</v>
      </c>
      <c r="F55" s="120">
        <v>2101</v>
      </c>
      <c r="G55" s="123">
        <v>127</v>
      </c>
      <c r="H55" s="123">
        <v>11979</v>
      </c>
      <c r="I55" s="123">
        <v>0</v>
      </c>
      <c r="J55" s="125">
        <v>0</v>
      </c>
      <c r="K55" s="125">
        <v>0</v>
      </c>
      <c r="L55" s="125">
        <v>0</v>
      </c>
      <c r="M55" s="127">
        <v>0</v>
      </c>
      <c r="N55" s="127">
        <v>33</v>
      </c>
      <c r="O55" s="127">
        <v>0</v>
      </c>
      <c r="P55" s="129">
        <v>0</v>
      </c>
      <c r="Q55" s="129">
        <v>0</v>
      </c>
      <c r="R55" s="129">
        <v>0</v>
      </c>
      <c r="S55" s="125">
        <v>114192</v>
      </c>
      <c r="T55" s="125">
        <v>5126</v>
      </c>
      <c r="U55" s="125">
        <v>2101</v>
      </c>
      <c r="V55" s="136">
        <v>502</v>
      </c>
      <c r="W55" s="136">
        <v>62205</v>
      </c>
      <c r="X55" s="136">
        <v>1130</v>
      </c>
      <c r="Y55" s="137">
        <v>3</v>
      </c>
      <c r="Z55" s="137">
        <v>124</v>
      </c>
      <c r="AA55" s="137">
        <v>0</v>
      </c>
      <c r="AB55" s="141">
        <v>24</v>
      </c>
      <c r="AC55" s="141">
        <v>921</v>
      </c>
      <c r="AD55" s="141">
        <v>7</v>
      </c>
    </row>
    <row r="56" spans="1:30" ht="14.25">
      <c r="A56">
        <v>167</v>
      </c>
      <c r="B56" s="121" t="s">
        <v>192</v>
      </c>
      <c r="C56" s="120">
        <v>257220</v>
      </c>
      <c r="D56" s="120">
        <v>0</v>
      </c>
      <c r="E56" s="120">
        <v>5880</v>
      </c>
      <c r="F56" s="120">
        <v>0</v>
      </c>
      <c r="G56" s="123">
        <v>906</v>
      </c>
      <c r="H56" s="123">
        <v>115468</v>
      </c>
      <c r="I56" s="123">
        <v>7701</v>
      </c>
      <c r="J56" s="125">
        <v>0</v>
      </c>
      <c r="K56" s="125">
        <v>0</v>
      </c>
      <c r="L56" s="125">
        <v>0</v>
      </c>
      <c r="M56" s="127">
        <v>0</v>
      </c>
      <c r="N56" s="127">
        <v>1</v>
      </c>
      <c r="O56" s="127">
        <v>0</v>
      </c>
      <c r="P56" s="129">
        <v>0</v>
      </c>
      <c r="Q56" s="129">
        <v>0</v>
      </c>
      <c r="R56" s="129">
        <v>0</v>
      </c>
      <c r="S56" s="125">
        <v>628196</v>
      </c>
      <c r="T56" s="125">
        <v>27095</v>
      </c>
      <c r="U56" s="125">
        <v>0</v>
      </c>
      <c r="V56" s="136">
        <v>10698</v>
      </c>
      <c r="W56" s="136">
        <v>358964</v>
      </c>
      <c r="X56" s="136">
        <v>12544</v>
      </c>
      <c r="Y56" s="137">
        <v>2</v>
      </c>
      <c r="Z56" s="137">
        <v>811</v>
      </c>
      <c r="AA56" s="137">
        <v>502</v>
      </c>
      <c r="AB56" s="141">
        <v>0</v>
      </c>
      <c r="AC56" s="141">
        <v>0</v>
      </c>
      <c r="AD56" s="141">
        <v>0</v>
      </c>
    </row>
    <row r="57" spans="1:30" ht="14.25">
      <c r="A57">
        <v>169</v>
      </c>
      <c r="B57" s="121" t="s">
        <v>193</v>
      </c>
      <c r="C57" s="120">
        <v>7097</v>
      </c>
      <c r="D57" s="120">
        <v>0</v>
      </c>
      <c r="E57" s="120">
        <v>0</v>
      </c>
      <c r="F57" s="120">
        <v>668</v>
      </c>
      <c r="G57" s="123">
        <v>20</v>
      </c>
      <c r="H57" s="123">
        <v>50</v>
      </c>
      <c r="I57" s="123">
        <v>0</v>
      </c>
      <c r="J57" s="125">
        <v>0</v>
      </c>
      <c r="K57" s="125">
        <v>0</v>
      </c>
      <c r="L57" s="125">
        <v>0</v>
      </c>
      <c r="M57" s="127">
        <v>0</v>
      </c>
      <c r="N57" s="127">
        <v>0</v>
      </c>
      <c r="O57" s="127">
        <v>0</v>
      </c>
      <c r="P57" s="129">
        <v>0</v>
      </c>
      <c r="Q57" s="129">
        <v>0</v>
      </c>
      <c r="R57" s="129">
        <v>0</v>
      </c>
      <c r="S57" s="125">
        <v>33400</v>
      </c>
      <c r="T57" s="125">
        <v>1366</v>
      </c>
      <c r="U57" s="125">
        <v>667</v>
      </c>
      <c r="V57" s="136">
        <v>28</v>
      </c>
      <c r="W57" s="136">
        <v>15306</v>
      </c>
      <c r="X57" s="136">
        <v>374</v>
      </c>
      <c r="Y57" s="137">
        <v>0</v>
      </c>
      <c r="Z57" s="137">
        <v>0</v>
      </c>
      <c r="AA57" s="137">
        <v>0</v>
      </c>
      <c r="AB57" s="141">
        <v>0</v>
      </c>
      <c r="AC57" s="141">
        <v>0</v>
      </c>
      <c r="AD57" s="141">
        <v>0</v>
      </c>
    </row>
    <row r="58" spans="1:30" ht="14.25">
      <c r="A58">
        <v>171</v>
      </c>
      <c r="B58" s="121" t="s">
        <v>194</v>
      </c>
      <c r="C58" s="120">
        <v>6375</v>
      </c>
      <c r="D58" s="120">
        <v>0</v>
      </c>
      <c r="E58" s="120">
        <v>61</v>
      </c>
      <c r="F58" s="120">
        <v>0</v>
      </c>
      <c r="G58" s="123">
        <v>0</v>
      </c>
      <c r="H58" s="123">
        <v>117</v>
      </c>
      <c r="I58" s="123">
        <v>0</v>
      </c>
      <c r="J58" s="125">
        <v>0</v>
      </c>
      <c r="K58" s="125">
        <v>0</v>
      </c>
      <c r="L58" s="125">
        <v>0</v>
      </c>
      <c r="M58" s="127">
        <v>0</v>
      </c>
      <c r="N58" s="127">
        <v>0</v>
      </c>
      <c r="O58" s="127">
        <v>0</v>
      </c>
      <c r="P58" s="129">
        <v>0</v>
      </c>
      <c r="Q58" s="129">
        <v>0</v>
      </c>
      <c r="R58" s="129">
        <v>0</v>
      </c>
      <c r="S58" s="125">
        <v>34640</v>
      </c>
      <c r="T58" s="125">
        <v>1034</v>
      </c>
      <c r="U58" s="125">
        <v>0</v>
      </c>
      <c r="V58" s="136">
        <v>121</v>
      </c>
      <c r="W58" s="136">
        <v>18336</v>
      </c>
      <c r="X58" s="136">
        <v>469</v>
      </c>
      <c r="Y58" s="137">
        <v>0</v>
      </c>
      <c r="Z58" s="137">
        <v>0</v>
      </c>
      <c r="AA58" s="137">
        <v>4</v>
      </c>
      <c r="AB58" s="141">
        <v>0</v>
      </c>
      <c r="AC58" s="141">
        <v>0</v>
      </c>
      <c r="AD58" s="141">
        <v>0</v>
      </c>
    </row>
    <row r="59" spans="1:30" ht="14.25">
      <c r="A59">
        <v>172</v>
      </c>
      <c r="B59" s="121" t="s">
        <v>195</v>
      </c>
      <c r="C59" s="120">
        <v>9905</v>
      </c>
      <c r="D59" s="120">
        <v>0</v>
      </c>
      <c r="E59" s="120">
        <v>37</v>
      </c>
      <c r="F59" s="120">
        <v>0</v>
      </c>
      <c r="G59" s="123">
        <v>73</v>
      </c>
      <c r="H59" s="123">
        <v>2023</v>
      </c>
      <c r="I59" s="123">
        <v>0</v>
      </c>
      <c r="J59" s="125">
        <v>0</v>
      </c>
      <c r="K59" s="125">
        <v>0</v>
      </c>
      <c r="L59" s="125">
        <v>0</v>
      </c>
      <c r="M59" s="127">
        <v>0</v>
      </c>
      <c r="N59" s="127">
        <v>0</v>
      </c>
      <c r="O59" s="127">
        <v>0</v>
      </c>
      <c r="P59" s="129">
        <v>0</v>
      </c>
      <c r="Q59" s="129">
        <v>0</v>
      </c>
      <c r="R59" s="129">
        <v>0</v>
      </c>
      <c r="S59" s="125">
        <v>36291</v>
      </c>
      <c r="T59" s="125">
        <v>1268</v>
      </c>
      <c r="U59" s="125">
        <v>0</v>
      </c>
      <c r="V59" s="136">
        <v>585</v>
      </c>
      <c r="W59" s="136">
        <v>20383</v>
      </c>
      <c r="X59" s="136">
        <v>407</v>
      </c>
      <c r="Y59" s="137">
        <v>0</v>
      </c>
      <c r="Z59" s="137">
        <v>0</v>
      </c>
      <c r="AA59" s="137">
        <v>0</v>
      </c>
      <c r="AB59" s="141">
        <v>0</v>
      </c>
      <c r="AC59" s="141">
        <v>0</v>
      </c>
      <c r="AD59" s="141">
        <v>0</v>
      </c>
    </row>
    <row r="60" spans="1:30" ht="14.25">
      <c r="A60">
        <v>174</v>
      </c>
      <c r="B60" s="121" t="s">
        <v>196</v>
      </c>
      <c r="C60" s="120">
        <v>10673</v>
      </c>
      <c r="D60" s="120">
        <v>0</v>
      </c>
      <c r="E60" s="120">
        <v>0</v>
      </c>
      <c r="F60" s="120">
        <v>640</v>
      </c>
      <c r="G60" s="123">
        <v>15</v>
      </c>
      <c r="H60" s="123">
        <v>2042</v>
      </c>
      <c r="I60" s="123">
        <v>0</v>
      </c>
      <c r="J60" s="125">
        <v>0</v>
      </c>
      <c r="K60" s="125">
        <v>0</v>
      </c>
      <c r="L60" s="125">
        <v>0</v>
      </c>
      <c r="M60" s="127">
        <v>0</v>
      </c>
      <c r="N60" s="127">
        <v>0</v>
      </c>
      <c r="O60" s="127">
        <v>0</v>
      </c>
      <c r="P60" s="129">
        <v>0</v>
      </c>
      <c r="Q60" s="129">
        <v>104</v>
      </c>
      <c r="R60" s="129">
        <v>0</v>
      </c>
      <c r="S60" s="125">
        <v>40776</v>
      </c>
      <c r="T60" s="125">
        <v>1454</v>
      </c>
      <c r="U60" s="125">
        <v>640</v>
      </c>
      <c r="V60" s="136">
        <v>480</v>
      </c>
      <c r="W60" s="136">
        <v>23945</v>
      </c>
      <c r="X60" s="136">
        <v>386</v>
      </c>
      <c r="Y60" s="137">
        <v>0</v>
      </c>
      <c r="Z60" s="137">
        <v>11</v>
      </c>
      <c r="AA60" s="137">
        <v>0</v>
      </c>
      <c r="AB60" s="141">
        <v>0</v>
      </c>
      <c r="AC60" s="141">
        <v>217</v>
      </c>
      <c r="AD60" s="141">
        <v>0</v>
      </c>
    </row>
    <row r="61" spans="1:30" ht="14.25">
      <c r="A61">
        <v>176</v>
      </c>
      <c r="B61" s="121" t="s">
        <v>197</v>
      </c>
      <c r="C61" s="120">
        <v>14053</v>
      </c>
      <c r="D61" s="120">
        <v>0</v>
      </c>
      <c r="E61" s="120">
        <v>0</v>
      </c>
      <c r="F61" s="120">
        <v>0</v>
      </c>
      <c r="G61" s="123">
        <v>113</v>
      </c>
      <c r="H61" s="123">
        <v>4175</v>
      </c>
      <c r="I61" s="123">
        <v>0</v>
      </c>
      <c r="J61" s="125">
        <v>0</v>
      </c>
      <c r="K61" s="125">
        <v>0</v>
      </c>
      <c r="L61" s="125">
        <v>0</v>
      </c>
      <c r="M61" s="127">
        <v>0</v>
      </c>
      <c r="N61" s="127">
        <v>0</v>
      </c>
      <c r="O61" s="127">
        <v>0</v>
      </c>
      <c r="P61" s="129">
        <v>0</v>
      </c>
      <c r="Q61" s="129">
        <v>0</v>
      </c>
      <c r="R61" s="129">
        <v>0</v>
      </c>
      <c r="S61" s="125">
        <v>47310</v>
      </c>
      <c r="T61" s="125">
        <v>2021</v>
      </c>
      <c r="U61" s="125">
        <v>0</v>
      </c>
      <c r="V61" s="136">
        <v>630</v>
      </c>
      <c r="W61" s="136">
        <v>28871</v>
      </c>
      <c r="X61" s="136">
        <v>400</v>
      </c>
      <c r="Y61" s="137">
        <v>0</v>
      </c>
      <c r="Z61" s="137">
        <v>84</v>
      </c>
      <c r="AA61" s="137">
        <v>0</v>
      </c>
      <c r="AB61" s="141">
        <v>0</v>
      </c>
      <c r="AC61" s="141">
        <v>0</v>
      </c>
      <c r="AD61" s="141">
        <v>0</v>
      </c>
    </row>
    <row r="62" spans="1:30" ht="14.25">
      <c r="A62">
        <v>177</v>
      </c>
      <c r="B62" s="121" t="s">
        <v>198</v>
      </c>
      <c r="C62" s="120">
        <v>1881</v>
      </c>
      <c r="D62" s="120">
        <v>0</v>
      </c>
      <c r="E62" s="120">
        <v>0</v>
      </c>
      <c r="F62" s="120">
        <v>309</v>
      </c>
      <c r="G62" s="123">
        <v>0</v>
      </c>
      <c r="H62" s="123">
        <v>14</v>
      </c>
      <c r="I62" s="123">
        <v>0</v>
      </c>
      <c r="J62" s="125">
        <v>0</v>
      </c>
      <c r="K62" s="125">
        <v>0</v>
      </c>
      <c r="L62" s="125">
        <v>0</v>
      </c>
      <c r="M62" s="127">
        <v>0</v>
      </c>
      <c r="N62" s="127">
        <v>0</v>
      </c>
      <c r="O62" s="127">
        <v>0</v>
      </c>
      <c r="P62" s="129">
        <v>0</v>
      </c>
      <c r="Q62" s="129">
        <v>0</v>
      </c>
      <c r="R62" s="129">
        <v>0</v>
      </c>
      <c r="S62" s="125">
        <v>12637</v>
      </c>
      <c r="T62" s="125">
        <v>475</v>
      </c>
      <c r="U62" s="125">
        <v>309</v>
      </c>
      <c r="V62" s="136">
        <v>9</v>
      </c>
      <c r="W62" s="136">
        <v>6960</v>
      </c>
      <c r="X62" s="136">
        <v>140</v>
      </c>
      <c r="Y62" s="137">
        <v>0</v>
      </c>
      <c r="Z62" s="137">
        <v>0</v>
      </c>
      <c r="AA62" s="137">
        <v>0</v>
      </c>
      <c r="AB62" s="141">
        <v>0</v>
      </c>
      <c r="AC62" s="141">
        <v>44</v>
      </c>
      <c r="AD62" s="141">
        <v>0</v>
      </c>
    </row>
    <row r="63" spans="1:30" ht="14.25">
      <c r="A63">
        <v>178</v>
      </c>
      <c r="B63" s="121" t="s">
        <v>199</v>
      </c>
      <c r="C63" s="120">
        <v>8602</v>
      </c>
      <c r="D63" s="120">
        <v>0</v>
      </c>
      <c r="E63" s="120">
        <v>0</v>
      </c>
      <c r="F63" s="120">
        <v>0</v>
      </c>
      <c r="G63" s="123">
        <v>41</v>
      </c>
      <c r="H63" s="123">
        <v>4076</v>
      </c>
      <c r="I63" s="123">
        <v>12</v>
      </c>
      <c r="J63" s="125">
        <v>0</v>
      </c>
      <c r="K63" s="125">
        <v>0</v>
      </c>
      <c r="L63" s="125">
        <v>0</v>
      </c>
      <c r="M63" s="127">
        <v>0</v>
      </c>
      <c r="N63" s="127">
        <v>0</v>
      </c>
      <c r="O63" s="127">
        <v>0</v>
      </c>
      <c r="P63" s="129">
        <v>0</v>
      </c>
      <c r="Q63" s="129">
        <v>0</v>
      </c>
      <c r="R63" s="129">
        <v>0</v>
      </c>
      <c r="S63" s="125">
        <v>46686</v>
      </c>
      <c r="T63" s="125">
        <v>1594</v>
      </c>
      <c r="U63" s="125">
        <v>0</v>
      </c>
      <c r="V63" s="136">
        <v>188</v>
      </c>
      <c r="W63" s="136">
        <v>29157</v>
      </c>
      <c r="X63" s="136">
        <v>537</v>
      </c>
      <c r="Y63" s="137">
        <v>0</v>
      </c>
      <c r="Z63" s="137">
        <v>329</v>
      </c>
      <c r="AA63" s="137">
        <v>0</v>
      </c>
      <c r="AB63" s="141">
        <v>0</v>
      </c>
      <c r="AC63" s="141">
        <v>0</v>
      </c>
      <c r="AD63" s="141">
        <v>0</v>
      </c>
    </row>
    <row r="64" spans="1:30" ht="14.25">
      <c r="A64">
        <v>179</v>
      </c>
      <c r="B64" s="121" t="s">
        <v>200</v>
      </c>
      <c r="C64" s="120">
        <v>315008</v>
      </c>
      <c r="D64" s="120">
        <v>0</v>
      </c>
      <c r="E64" s="120">
        <v>0</v>
      </c>
      <c r="F64" s="120">
        <v>0</v>
      </c>
      <c r="G64" s="123">
        <v>2111</v>
      </c>
      <c r="H64" s="123">
        <v>74485</v>
      </c>
      <c r="I64" s="123">
        <v>20103</v>
      </c>
      <c r="J64" s="125">
        <v>0</v>
      </c>
      <c r="K64" s="125">
        <v>0</v>
      </c>
      <c r="L64" s="125">
        <v>0</v>
      </c>
      <c r="M64" s="127">
        <v>0</v>
      </c>
      <c r="N64" s="127">
        <v>0</v>
      </c>
      <c r="O64" s="127">
        <v>0</v>
      </c>
      <c r="P64" s="129">
        <v>0</v>
      </c>
      <c r="Q64" s="129">
        <v>0</v>
      </c>
      <c r="R64" s="129">
        <v>0</v>
      </c>
      <c r="S64" s="125">
        <v>934412</v>
      </c>
      <c r="T64" s="125">
        <v>54039</v>
      </c>
      <c r="U64" s="125">
        <v>0</v>
      </c>
      <c r="V64" s="136">
        <v>24253</v>
      </c>
      <c r="W64" s="136">
        <v>470462</v>
      </c>
      <c r="X64" s="136">
        <v>29402</v>
      </c>
      <c r="Y64" s="137">
        <v>1</v>
      </c>
      <c r="Z64" s="137">
        <v>1838</v>
      </c>
      <c r="AA64" s="137">
        <v>1368</v>
      </c>
      <c r="AB64" s="141">
        <v>0</v>
      </c>
      <c r="AC64" s="141">
        <v>0</v>
      </c>
      <c r="AD64" s="141">
        <v>0</v>
      </c>
    </row>
    <row r="65" spans="1:30" ht="14.25">
      <c r="A65">
        <v>181</v>
      </c>
      <c r="B65" s="121" t="s">
        <v>201</v>
      </c>
      <c r="C65" s="120">
        <v>1124</v>
      </c>
      <c r="D65" s="120">
        <v>0</v>
      </c>
      <c r="E65" s="120">
        <v>0</v>
      </c>
      <c r="F65" s="120">
        <v>0</v>
      </c>
      <c r="G65" s="123">
        <v>0</v>
      </c>
      <c r="H65" s="123">
        <v>22</v>
      </c>
      <c r="I65" s="123">
        <v>48</v>
      </c>
      <c r="J65" s="125">
        <v>0</v>
      </c>
      <c r="K65" s="125">
        <v>0</v>
      </c>
      <c r="L65" s="125">
        <v>0</v>
      </c>
      <c r="M65" s="127">
        <v>0</v>
      </c>
      <c r="N65" s="127">
        <v>0</v>
      </c>
      <c r="O65" s="127">
        <v>0</v>
      </c>
      <c r="P65" s="129">
        <v>0</v>
      </c>
      <c r="Q65" s="129">
        <v>0</v>
      </c>
      <c r="R65" s="129">
        <v>0</v>
      </c>
      <c r="S65" s="125">
        <v>12344</v>
      </c>
      <c r="T65" s="125">
        <v>354</v>
      </c>
      <c r="U65" s="125">
        <v>0</v>
      </c>
      <c r="V65" s="136">
        <v>55</v>
      </c>
      <c r="W65" s="136">
        <v>7428</v>
      </c>
      <c r="X65" s="136">
        <v>226</v>
      </c>
      <c r="Y65" s="137">
        <v>0</v>
      </c>
      <c r="Z65" s="137">
        <v>0</v>
      </c>
      <c r="AA65" s="137">
        <v>2</v>
      </c>
      <c r="AB65" s="141">
        <v>0</v>
      </c>
      <c r="AC65" s="141">
        <v>0</v>
      </c>
      <c r="AD65" s="141">
        <v>0</v>
      </c>
    </row>
    <row r="66" spans="1:30" ht="14.25">
      <c r="A66">
        <v>182</v>
      </c>
      <c r="B66" s="121" t="s">
        <v>128</v>
      </c>
      <c r="C66" s="120">
        <v>62287</v>
      </c>
      <c r="D66" s="120">
        <v>0</v>
      </c>
      <c r="E66" s="120">
        <v>381</v>
      </c>
      <c r="F66" s="120">
        <v>876</v>
      </c>
      <c r="G66" s="123">
        <v>220</v>
      </c>
      <c r="H66" s="123">
        <v>28597</v>
      </c>
      <c r="I66" s="123">
        <v>0</v>
      </c>
      <c r="J66" s="125">
        <v>0</v>
      </c>
      <c r="K66" s="125">
        <v>0</v>
      </c>
      <c r="L66" s="125">
        <v>0</v>
      </c>
      <c r="M66" s="127">
        <v>0</v>
      </c>
      <c r="N66" s="127">
        <v>0</v>
      </c>
      <c r="O66" s="127">
        <v>0</v>
      </c>
      <c r="P66" s="129">
        <v>0</v>
      </c>
      <c r="Q66" s="129">
        <v>0</v>
      </c>
      <c r="R66" s="129">
        <v>0</v>
      </c>
      <c r="S66" s="125">
        <v>185169</v>
      </c>
      <c r="T66" s="125">
        <v>8197</v>
      </c>
      <c r="U66" s="125">
        <v>876</v>
      </c>
      <c r="V66" s="136">
        <v>3482</v>
      </c>
      <c r="W66" s="136">
        <v>113103</v>
      </c>
      <c r="X66" s="136">
        <v>1798</v>
      </c>
      <c r="Y66" s="137">
        <v>0</v>
      </c>
      <c r="Z66" s="137">
        <v>243</v>
      </c>
      <c r="AA66" s="137">
        <v>0</v>
      </c>
      <c r="AB66" s="141">
        <v>9</v>
      </c>
      <c r="AC66" s="141">
        <v>9</v>
      </c>
      <c r="AD66" s="141">
        <v>19</v>
      </c>
    </row>
    <row r="67" spans="1:30" ht="14.25">
      <c r="A67">
        <v>186</v>
      </c>
      <c r="B67" s="121" t="s">
        <v>202</v>
      </c>
      <c r="C67" s="120">
        <v>68434</v>
      </c>
      <c r="D67" s="120">
        <v>0</v>
      </c>
      <c r="E67" s="120">
        <v>1184</v>
      </c>
      <c r="F67" s="120">
        <v>8100</v>
      </c>
      <c r="G67" s="123">
        <v>546</v>
      </c>
      <c r="H67" s="123">
        <v>16094</v>
      </c>
      <c r="I67" s="123">
        <v>0</v>
      </c>
      <c r="J67" s="125">
        <v>0</v>
      </c>
      <c r="K67" s="125">
        <v>0</v>
      </c>
      <c r="L67" s="125">
        <v>0</v>
      </c>
      <c r="M67" s="127">
        <v>0</v>
      </c>
      <c r="N67" s="127">
        <v>0</v>
      </c>
      <c r="O67" s="127">
        <v>0</v>
      </c>
      <c r="P67" s="129">
        <v>0</v>
      </c>
      <c r="Q67" s="129">
        <v>0</v>
      </c>
      <c r="R67" s="129">
        <v>0</v>
      </c>
      <c r="S67" s="125">
        <v>259398</v>
      </c>
      <c r="T67" s="125">
        <v>15149</v>
      </c>
      <c r="U67" s="125">
        <v>8100</v>
      </c>
      <c r="V67" s="136">
        <v>4726</v>
      </c>
      <c r="W67" s="136">
        <v>135870</v>
      </c>
      <c r="X67" s="136">
        <v>2777</v>
      </c>
      <c r="Y67" s="137">
        <v>1</v>
      </c>
      <c r="Z67" s="137">
        <v>121</v>
      </c>
      <c r="AA67" s="137">
        <v>7</v>
      </c>
      <c r="AB67" s="141">
        <v>182</v>
      </c>
      <c r="AC67" s="141">
        <v>3832</v>
      </c>
      <c r="AD67" s="141">
        <v>47</v>
      </c>
    </row>
    <row r="68" spans="1:30" ht="14.25">
      <c r="A68">
        <v>202</v>
      </c>
      <c r="B68" s="121" t="s">
        <v>203</v>
      </c>
      <c r="C68" s="120">
        <v>54181</v>
      </c>
      <c r="D68" s="120">
        <v>0</v>
      </c>
      <c r="E68" s="120">
        <v>292</v>
      </c>
      <c r="F68" s="120">
        <v>2059</v>
      </c>
      <c r="G68" s="123">
        <v>403</v>
      </c>
      <c r="H68" s="123">
        <v>11626</v>
      </c>
      <c r="I68" s="123">
        <v>0</v>
      </c>
      <c r="J68" s="125">
        <v>0</v>
      </c>
      <c r="K68" s="125">
        <v>0</v>
      </c>
      <c r="L68" s="125">
        <v>0</v>
      </c>
      <c r="M68" s="127">
        <v>0</v>
      </c>
      <c r="N68" s="127">
        <v>0</v>
      </c>
      <c r="O68" s="127">
        <v>0</v>
      </c>
      <c r="P68" s="129">
        <v>127</v>
      </c>
      <c r="Q68" s="129">
        <v>2059</v>
      </c>
      <c r="R68" s="129">
        <v>0</v>
      </c>
      <c r="S68" s="125">
        <v>206692</v>
      </c>
      <c r="T68" s="125">
        <v>7877</v>
      </c>
      <c r="U68" s="125">
        <v>2059</v>
      </c>
      <c r="V68" s="136">
        <v>1791</v>
      </c>
      <c r="W68" s="136">
        <v>102298</v>
      </c>
      <c r="X68" s="136">
        <v>2242</v>
      </c>
      <c r="Y68" s="137">
        <v>0</v>
      </c>
      <c r="Z68" s="137">
        <v>274</v>
      </c>
      <c r="AA68" s="137">
        <v>0</v>
      </c>
      <c r="AB68" s="141">
        <v>0</v>
      </c>
      <c r="AC68" s="141">
        <v>2025</v>
      </c>
      <c r="AD68" s="141">
        <v>0</v>
      </c>
    </row>
    <row r="69" spans="1:30" ht="14.25">
      <c r="A69">
        <v>204</v>
      </c>
      <c r="B69" s="121" t="s">
        <v>204</v>
      </c>
      <c r="C69" s="120">
        <v>6208</v>
      </c>
      <c r="D69" s="120">
        <v>0</v>
      </c>
      <c r="E69" s="120">
        <v>0</v>
      </c>
      <c r="F69" s="120">
        <v>0</v>
      </c>
      <c r="G69" s="123">
        <v>43</v>
      </c>
      <c r="H69" s="123">
        <v>1270</v>
      </c>
      <c r="I69" s="123">
        <v>0</v>
      </c>
      <c r="J69" s="125">
        <v>0</v>
      </c>
      <c r="K69" s="125">
        <v>0</v>
      </c>
      <c r="L69" s="125">
        <v>0</v>
      </c>
      <c r="M69" s="127">
        <v>0</v>
      </c>
      <c r="N69" s="127">
        <v>0</v>
      </c>
      <c r="O69" s="127">
        <v>0</v>
      </c>
      <c r="P69" s="129">
        <v>0</v>
      </c>
      <c r="Q69" s="129">
        <v>0</v>
      </c>
      <c r="R69" s="129">
        <v>0</v>
      </c>
      <c r="S69" s="125">
        <v>27455</v>
      </c>
      <c r="T69" s="125">
        <v>709</v>
      </c>
      <c r="U69" s="125">
        <v>0</v>
      </c>
      <c r="V69" s="136">
        <v>285</v>
      </c>
      <c r="W69" s="136">
        <v>16661</v>
      </c>
      <c r="X69" s="136">
        <v>273</v>
      </c>
      <c r="Y69" s="137">
        <v>0</v>
      </c>
      <c r="Z69" s="137">
        <v>6</v>
      </c>
      <c r="AA69" s="137">
        <v>0</v>
      </c>
      <c r="AB69" s="141">
        <v>0</v>
      </c>
      <c r="AC69" s="141">
        <v>0</v>
      </c>
      <c r="AD69" s="141">
        <v>0</v>
      </c>
    </row>
    <row r="70" spans="1:30" ht="14.25">
      <c r="A70">
        <v>205</v>
      </c>
      <c r="B70" s="121" t="s">
        <v>205</v>
      </c>
      <c r="C70" s="120">
        <v>73662</v>
      </c>
      <c r="D70" s="120">
        <v>0</v>
      </c>
      <c r="E70" s="120">
        <v>876</v>
      </c>
      <c r="F70" s="120">
        <v>5787</v>
      </c>
      <c r="G70" s="123">
        <v>0</v>
      </c>
      <c r="H70" s="123">
        <v>4849</v>
      </c>
      <c r="I70" s="123">
        <v>3866</v>
      </c>
      <c r="J70" s="125">
        <v>0</v>
      </c>
      <c r="K70" s="125">
        <v>0</v>
      </c>
      <c r="L70" s="125">
        <v>0</v>
      </c>
      <c r="M70" s="127">
        <v>0</v>
      </c>
      <c r="N70" s="127">
        <v>0</v>
      </c>
      <c r="O70" s="127">
        <v>0</v>
      </c>
      <c r="P70" s="129">
        <v>0</v>
      </c>
      <c r="Q70" s="129">
        <v>0</v>
      </c>
      <c r="R70" s="129">
        <v>0</v>
      </c>
      <c r="S70" s="125">
        <v>308074</v>
      </c>
      <c r="T70" s="125">
        <v>13353</v>
      </c>
      <c r="U70" s="125">
        <v>5787</v>
      </c>
      <c r="V70" s="136">
        <v>512</v>
      </c>
      <c r="W70" s="136">
        <v>132985</v>
      </c>
      <c r="X70" s="136">
        <v>6987</v>
      </c>
      <c r="Y70" s="137">
        <v>0</v>
      </c>
      <c r="Z70" s="137">
        <v>0</v>
      </c>
      <c r="AA70" s="137">
        <v>321</v>
      </c>
      <c r="AB70" s="141">
        <v>0</v>
      </c>
      <c r="AC70" s="141">
        <v>29</v>
      </c>
      <c r="AD70" s="141">
        <v>43</v>
      </c>
    </row>
    <row r="71" spans="1:30" ht="14.25">
      <c r="A71">
        <v>208</v>
      </c>
      <c r="B71" s="121" t="s">
        <v>206</v>
      </c>
      <c r="C71" s="120">
        <v>21745</v>
      </c>
      <c r="D71" s="120">
        <v>0</v>
      </c>
      <c r="E71" s="120">
        <v>288</v>
      </c>
      <c r="F71" s="120">
        <v>11963</v>
      </c>
      <c r="G71" s="123">
        <v>602</v>
      </c>
      <c r="H71" s="123">
        <v>10410</v>
      </c>
      <c r="I71" s="123">
        <v>46</v>
      </c>
      <c r="J71" s="125">
        <v>0</v>
      </c>
      <c r="K71" s="125">
        <v>0</v>
      </c>
      <c r="L71" s="125">
        <v>0</v>
      </c>
      <c r="M71" s="127">
        <v>0</v>
      </c>
      <c r="N71" s="127">
        <v>0</v>
      </c>
      <c r="O71" s="127">
        <v>0</v>
      </c>
      <c r="P71" s="129">
        <v>402</v>
      </c>
      <c r="Q71" s="129">
        <v>471</v>
      </c>
      <c r="R71" s="129">
        <v>0</v>
      </c>
      <c r="S71" s="125">
        <v>83359</v>
      </c>
      <c r="T71" s="125">
        <v>5005</v>
      </c>
      <c r="U71" s="125">
        <v>11253</v>
      </c>
      <c r="V71" s="136">
        <v>1613</v>
      </c>
      <c r="W71" s="136">
        <v>41222</v>
      </c>
      <c r="X71" s="136">
        <v>1152</v>
      </c>
      <c r="Y71" s="137">
        <v>0</v>
      </c>
      <c r="Z71" s="137">
        <v>102</v>
      </c>
      <c r="AA71" s="137">
        <v>3</v>
      </c>
      <c r="AB71" s="141">
        <v>271</v>
      </c>
      <c r="AC71" s="141">
        <v>2965</v>
      </c>
      <c r="AD71" s="141">
        <v>14</v>
      </c>
    </row>
    <row r="72" spans="1:30" ht="14.25">
      <c r="A72">
        <v>211</v>
      </c>
      <c r="B72" s="121" t="s">
        <v>207</v>
      </c>
      <c r="C72" s="120">
        <v>73567</v>
      </c>
      <c r="D72" s="120">
        <v>0</v>
      </c>
      <c r="E72" s="120">
        <v>35</v>
      </c>
      <c r="F72" s="120">
        <v>0</v>
      </c>
      <c r="G72" s="123">
        <v>153</v>
      </c>
      <c r="H72" s="123">
        <v>28534</v>
      </c>
      <c r="I72" s="123">
        <v>0</v>
      </c>
      <c r="J72" s="125">
        <v>0</v>
      </c>
      <c r="K72" s="125">
        <v>0</v>
      </c>
      <c r="L72" s="125">
        <v>0</v>
      </c>
      <c r="M72" s="127">
        <v>0</v>
      </c>
      <c r="N72" s="127">
        <v>0</v>
      </c>
      <c r="O72" s="127">
        <v>0</v>
      </c>
      <c r="P72" s="129">
        <v>0</v>
      </c>
      <c r="Q72" s="129">
        <v>0</v>
      </c>
      <c r="R72" s="129">
        <v>0</v>
      </c>
      <c r="S72" s="125">
        <v>214111</v>
      </c>
      <c r="T72" s="125">
        <v>12707</v>
      </c>
      <c r="U72" s="125">
        <v>0</v>
      </c>
      <c r="V72" s="136">
        <v>193</v>
      </c>
      <c r="W72" s="136">
        <v>110086</v>
      </c>
      <c r="X72" s="136">
        <v>2057</v>
      </c>
      <c r="Y72" s="137">
        <v>0</v>
      </c>
      <c r="Z72" s="137">
        <v>183</v>
      </c>
      <c r="AA72" s="137">
        <v>0</v>
      </c>
      <c r="AB72" s="141">
        <v>0</v>
      </c>
      <c r="AC72" s="141">
        <v>0</v>
      </c>
      <c r="AD72" s="141">
        <v>0</v>
      </c>
    </row>
    <row r="73" spans="1:30" ht="14.25">
      <c r="A73">
        <v>213</v>
      </c>
      <c r="B73" s="121" t="s">
        <v>208</v>
      </c>
      <c r="C73" s="120">
        <v>9259</v>
      </c>
      <c r="D73" s="120">
        <v>0</v>
      </c>
      <c r="E73" s="120">
        <v>0</v>
      </c>
      <c r="F73" s="120">
        <v>638</v>
      </c>
      <c r="G73" s="123">
        <v>36</v>
      </c>
      <c r="H73" s="123">
        <v>2979</v>
      </c>
      <c r="I73" s="123">
        <v>62</v>
      </c>
      <c r="J73" s="125">
        <v>0</v>
      </c>
      <c r="K73" s="125">
        <v>0</v>
      </c>
      <c r="L73" s="125">
        <v>0</v>
      </c>
      <c r="M73" s="127">
        <v>0</v>
      </c>
      <c r="N73" s="127">
        <v>0</v>
      </c>
      <c r="O73" s="127">
        <v>0</v>
      </c>
      <c r="P73" s="129">
        <v>0</v>
      </c>
      <c r="Q73" s="129">
        <v>0</v>
      </c>
      <c r="R73" s="129">
        <v>0</v>
      </c>
      <c r="S73" s="125">
        <v>44577</v>
      </c>
      <c r="T73" s="125">
        <v>1978</v>
      </c>
      <c r="U73" s="125">
        <v>638</v>
      </c>
      <c r="V73" s="136">
        <v>237</v>
      </c>
      <c r="W73" s="136">
        <v>26561</v>
      </c>
      <c r="X73" s="136">
        <v>554</v>
      </c>
      <c r="Y73" s="137">
        <v>0</v>
      </c>
      <c r="Z73" s="137">
        <v>67</v>
      </c>
      <c r="AA73" s="137">
        <v>9</v>
      </c>
      <c r="AB73" s="141">
        <v>0</v>
      </c>
      <c r="AC73" s="141">
        <v>481</v>
      </c>
      <c r="AD73" s="141">
        <v>0</v>
      </c>
    </row>
    <row r="74" spans="1:30" ht="14.25">
      <c r="A74">
        <v>214</v>
      </c>
      <c r="B74" s="121" t="s">
        <v>209</v>
      </c>
      <c r="C74" s="120">
        <v>14547</v>
      </c>
      <c r="D74" s="120">
        <v>0</v>
      </c>
      <c r="E74" s="120">
        <v>111</v>
      </c>
      <c r="F74" s="120">
        <v>0</v>
      </c>
      <c r="G74" s="123">
        <v>141</v>
      </c>
      <c r="H74" s="123">
        <v>839</v>
      </c>
      <c r="I74" s="123">
        <v>0</v>
      </c>
      <c r="J74" s="125">
        <v>0</v>
      </c>
      <c r="K74" s="125">
        <v>0</v>
      </c>
      <c r="L74" s="125">
        <v>0</v>
      </c>
      <c r="M74" s="127">
        <v>0</v>
      </c>
      <c r="N74" s="127">
        <v>0</v>
      </c>
      <c r="O74" s="127">
        <v>0</v>
      </c>
      <c r="P74" s="129">
        <v>0</v>
      </c>
      <c r="Q74" s="129">
        <v>0</v>
      </c>
      <c r="R74" s="129">
        <v>0</v>
      </c>
      <c r="S74" s="125">
        <v>80213</v>
      </c>
      <c r="T74" s="125">
        <v>2508</v>
      </c>
      <c r="U74" s="125">
        <v>0</v>
      </c>
      <c r="V74" s="136">
        <v>963</v>
      </c>
      <c r="W74" s="136">
        <v>40962</v>
      </c>
      <c r="X74" s="136">
        <v>1153</v>
      </c>
      <c r="Y74" s="137">
        <v>0</v>
      </c>
      <c r="Z74" s="137">
        <v>0</v>
      </c>
      <c r="AA74" s="137">
        <v>0</v>
      </c>
      <c r="AB74" s="141">
        <v>0</v>
      </c>
      <c r="AC74" s="141">
        <v>0</v>
      </c>
      <c r="AD74" s="141">
        <v>0</v>
      </c>
    </row>
    <row r="75" spans="1:30" ht="14.25">
      <c r="A75">
        <v>216</v>
      </c>
      <c r="B75" s="121" t="s">
        <v>210</v>
      </c>
      <c r="C75" s="120">
        <v>6128</v>
      </c>
      <c r="D75" s="120">
        <v>0</v>
      </c>
      <c r="E75" s="120">
        <v>0</v>
      </c>
      <c r="F75" s="120">
        <v>167</v>
      </c>
      <c r="G75" s="123">
        <v>0</v>
      </c>
      <c r="H75" s="123">
        <v>6</v>
      </c>
      <c r="I75" s="123">
        <v>0</v>
      </c>
      <c r="J75" s="125">
        <v>0</v>
      </c>
      <c r="K75" s="125">
        <v>0</v>
      </c>
      <c r="L75" s="125">
        <v>0</v>
      </c>
      <c r="M75" s="127">
        <v>0</v>
      </c>
      <c r="N75" s="127">
        <v>0</v>
      </c>
      <c r="O75" s="127">
        <v>0</v>
      </c>
      <c r="P75" s="129">
        <v>0</v>
      </c>
      <c r="Q75" s="129">
        <v>0</v>
      </c>
      <c r="R75" s="129">
        <v>0</v>
      </c>
      <c r="S75" s="125">
        <v>15235</v>
      </c>
      <c r="T75" s="125">
        <v>943</v>
      </c>
      <c r="U75" s="125">
        <v>167</v>
      </c>
      <c r="V75" s="136">
        <v>117</v>
      </c>
      <c r="W75" s="136">
        <v>6986</v>
      </c>
      <c r="X75" s="136">
        <v>128</v>
      </c>
      <c r="Y75" s="137">
        <v>0</v>
      </c>
      <c r="Z75" s="137">
        <v>0</v>
      </c>
      <c r="AA75" s="137">
        <v>0</v>
      </c>
      <c r="AB75" s="141">
        <v>0</v>
      </c>
      <c r="AC75" s="141">
        <v>0</v>
      </c>
      <c r="AD75" s="141">
        <v>0</v>
      </c>
    </row>
    <row r="76" spans="1:30" ht="14.25">
      <c r="A76">
        <v>217</v>
      </c>
      <c r="B76" s="121" t="s">
        <v>211</v>
      </c>
      <c r="C76" s="120">
        <v>6745</v>
      </c>
      <c r="D76" s="120">
        <v>0</v>
      </c>
      <c r="E76" s="120">
        <v>0</v>
      </c>
      <c r="F76" s="120">
        <v>0</v>
      </c>
      <c r="G76" s="123">
        <v>0</v>
      </c>
      <c r="H76" s="123">
        <v>84</v>
      </c>
      <c r="I76" s="123">
        <v>0</v>
      </c>
      <c r="J76" s="125">
        <v>0</v>
      </c>
      <c r="K76" s="125">
        <v>0</v>
      </c>
      <c r="L76" s="125">
        <v>0</v>
      </c>
      <c r="M76" s="127">
        <v>0</v>
      </c>
      <c r="N76" s="127">
        <v>0</v>
      </c>
      <c r="O76" s="127">
        <v>0</v>
      </c>
      <c r="P76" s="129">
        <v>0</v>
      </c>
      <c r="Q76" s="129">
        <v>0</v>
      </c>
      <c r="R76" s="129">
        <v>0</v>
      </c>
      <c r="S76" s="125">
        <v>36387</v>
      </c>
      <c r="T76" s="125">
        <v>1071</v>
      </c>
      <c r="U76" s="125">
        <v>0</v>
      </c>
      <c r="V76" s="136">
        <v>119</v>
      </c>
      <c r="W76" s="136">
        <v>18437</v>
      </c>
      <c r="X76" s="136">
        <v>462</v>
      </c>
      <c r="Y76" s="137">
        <v>0</v>
      </c>
      <c r="Z76" s="137">
        <v>0</v>
      </c>
      <c r="AA76" s="137">
        <v>20</v>
      </c>
      <c r="AB76" s="141">
        <v>0</v>
      </c>
      <c r="AC76" s="141">
        <v>0</v>
      </c>
      <c r="AD76" s="141">
        <v>0</v>
      </c>
    </row>
    <row r="77" spans="1:30" ht="14.25">
      <c r="A77">
        <v>218</v>
      </c>
      <c r="B77" s="121" t="s">
        <v>212</v>
      </c>
      <c r="C77" s="120">
        <v>1242</v>
      </c>
      <c r="D77" s="120">
        <v>0</v>
      </c>
      <c r="E77" s="120">
        <v>0</v>
      </c>
      <c r="F77" s="120">
        <v>147</v>
      </c>
      <c r="G77" s="123">
        <v>0</v>
      </c>
      <c r="H77" s="123">
        <v>40</v>
      </c>
      <c r="I77" s="123">
        <v>0</v>
      </c>
      <c r="J77" s="125">
        <v>0</v>
      </c>
      <c r="K77" s="125">
        <v>0</v>
      </c>
      <c r="L77" s="125">
        <v>0</v>
      </c>
      <c r="M77" s="127">
        <v>0</v>
      </c>
      <c r="N77" s="127">
        <v>0</v>
      </c>
      <c r="O77" s="127">
        <v>0</v>
      </c>
      <c r="P77" s="129">
        <v>0</v>
      </c>
      <c r="Q77" s="129">
        <v>0</v>
      </c>
      <c r="R77" s="129">
        <v>0</v>
      </c>
      <c r="S77" s="125">
        <v>9288</v>
      </c>
      <c r="T77" s="125">
        <v>249</v>
      </c>
      <c r="U77" s="125">
        <v>147</v>
      </c>
      <c r="V77" s="136">
        <v>12</v>
      </c>
      <c r="W77" s="136">
        <v>5635</v>
      </c>
      <c r="X77" s="136">
        <v>124</v>
      </c>
      <c r="Y77" s="137">
        <v>0</v>
      </c>
      <c r="Z77" s="137">
        <v>0</v>
      </c>
      <c r="AA77" s="137">
        <v>0</v>
      </c>
      <c r="AB77" s="141">
        <v>0</v>
      </c>
      <c r="AC77" s="141">
        <v>0</v>
      </c>
      <c r="AD77" s="141">
        <v>0</v>
      </c>
    </row>
    <row r="78" spans="1:30" ht="14.25">
      <c r="A78">
        <v>224</v>
      </c>
      <c r="B78" s="121" t="s">
        <v>213</v>
      </c>
      <c r="C78" s="120">
        <v>13798</v>
      </c>
      <c r="D78" s="120">
        <v>0</v>
      </c>
      <c r="E78" s="120">
        <v>0</v>
      </c>
      <c r="F78" s="120">
        <v>0</v>
      </c>
      <c r="G78" s="123">
        <v>8</v>
      </c>
      <c r="H78" s="123">
        <v>468</v>
      </c>
      <c r="I78" s="123">
        <v>0</v>
      </c>
      <c r="J78" s="125">
        <v>0</v>
      </c>
      <c r="K78" s="125">
        <v>0</v>
      </c>
      <c r="L78" s="125">
        <v>0</v>
      </c>
      <c r="M78" s="127">
        <v>0</v>
      </c>
      <c r="N78" s="127">
        <v>0</v>
      </c>
      <c r="O78" s="127">
        <v>0</v>
      </c>
      <c r="P78" s="129">
        <v>0</v>
      </c>
      <c r="Q78" s="129">
        <v>0</v>
      </c>
      <c r="R78" s="129">
        <v>0</v>
      </c>
      <c r="S78" s="125">
        <v>58880</v>
      </c>
      <c r="T78" s="125">
        <v>2013</v>
      </c>
      <c r="U78" s="125">
        <v>0</v>
      </c>
      <c r="V78" s="136">
        <v>660</v>
      </c>
      <c r="W78" s="136">
        <v>30999</v>
      </c>
      <c r="X78" s="136">
        <v>604</v>
      </c>
      <c r="Y78" s="137">
        <v>0</v>
      </c>
      <c r="Z78" s="137">
        <v>0</v>
      </c>
      <c r="AA78" s="137">
        <v>0</v>
      </c>
      <c r="AB78" s="141">
        <v>0</v>
      </c>
      <c r="AC78" s="141">
        <v>0</v>
      </c>
      <c r="AD78" s="141">
        <v>0</v>
      </c>
    </row>
    <row r="79" spans="1:30" ht="14.25">
      <c r="A79">
        <v>226</v>
      </c>
      <c r="B79" s="121" t="s">
        <v>214</v>
      </c>
      <c r="C79" s="120">
        <v>11358</v>
      </c>
      <c r="D79" s="120">
        <v>0</v>
      </c>
      <c r="E79" s="120">
        <v>0</v>
      </c>
      <c r="F79" s="120">
        <v>0</v>
      </c>
      <c r="G79" s="123">
        <v>30</v>
      </c>
      <c r="H79" s="123">
        <v>99</v>
      </c>
      <c r="I79" s="123">
        <v>0</v>
      </c>
      <c r="J79" s="125">
        <v>0</v>
      </c>
      <c r="K79" s="125">
        <v>0</v>
      </c>
      <c r="L79" s="125">
        <v>0</v>
      </c>
      <c r="M79" s="127">
        <v>0</v>
      </c>
      <c r="N79" s="127">
        <v>0</v>
      </c>
      <c r="O79" s="127">
        <v>0</v>
      </c>
      <c r="P79" s="129">
        <v>0</v>
      </c>
      <c r="Q79" s="129">
        <v>0</v>
      </c>
      <c r="R79" s="129">
        <v>0</v>
      </c>
      <c r="S79" s="125">
        <v>36119</v>
      </c>
      <c r="T79" s="125">
        <v>1892</v>
      </c>
      <c r="U79" s="125">
        <v>0</v>
      </c>
      <c r="V79" s="136">
        <v>117</v>
      </c>
      <c r="W79" s="136">
        <v>16657</v>
      </c>
      <c r="X79" s="136">
        <v>353</v>
      </c>
      <c r="Y79" s="137">
        <v>0</v>
      </c>
      <c r="Z79" s="137">
        <v>6</v>
      </c>
      <c r="AA79" s="137">
        <v>0</v>
      </c>
      <c r="AB79" s="141">
        <v>0</v>
      </c>
      <c r="AC79" s="141">
        <v>0</v>
      </c>
      <c r="AD79" s="141">
        <v>0</v>
      </c>
    </row>
    <row r="80" spans="1:30" ht="14.25">
      <c r="A80">
        <v>230</v>
      </c>
      <c r="B80" s="121" t="s">
        <v>215</v>
      </c>
      <c r="C80" s="120">
        <v>1556</v>
      </c>
      <c r="D80" s="120">
        <v>0</v>
      </c>
      <c r="E80" s="120">
        <v>0</v>
      </c>
      <c r="F80" s="120">
        <v>881</v>
      </c>
      <c r="G80" s="123">
        <v>0</v>
      </c>
      <c r="H80" s="123">
        <v>46</v>
      </c>
      <c r="I80" s="123">
        <v>0</v>
      </c>
      <c r="J80" s="125">
        <v>0</v>
      </c>
      <c r="K80" s="125">
        <v>0</v>
      </c>
      <c r="L80" s="125">
        <v>0</v>
      </c>
      <c r="M80" s="127">
        <v>0</v>
      </c>
      <c r="N80" s="127">
        <v>0</v>
      </c>
      <c r="O80" s="127">
        <v>0</v>
      </c>
      <c r="P80" s="129">
        <v>0</v>
      </c>
      <c r="Q80" s="129">
        <v>13</v>
      </c>
      <c r="R80" s="129">
        <v>0</v>
      </c>
      <c r="S80" s="125">
        <v>16067</v>
      </c>
      <c r="T80" s="125">
        <v>830</v>
      </c>
      <c r="U80" s="125">
        <v>883</v>
      </c>
      <c r="V80" s="136">
        <v>149</v>
      </c>
      <c r="W80" s="136">
        <v>9355</v>
      </c>
      <c r="X80" s="136">
        <v>387</v>
      </c>
      <c r="Y80" s="137">
        <v>0</v>
      </c>
      <c r="Z80" s="137">
        <v>0</v>
      </c>
      <c r="AA80" s="137">
        <v>0</v>
      </c>
      <c r="AB80" s="141">
        <v>0</v>
      </c>
      <c r="AC80" s="141">
        <v>22</v>
      </c>
      <c r="AD80" s="141">
        <v>1</v>
      </c>
    </row>
    <row r="81" spans="1:30" ht="14.25">
      <c r="A81">
        <v>231</v>
      </c>
      <c r="B81" s="121" t="s">
        <v>216</v>
      </c>
      <c r="C81" s="120">
        <v>4154</v>
      </c>
      <c r="D81" s="120">
        <v>0</v>
      </c>
      <c r="E81" s="120">
        <v>0</v>
      </c>
      <c r="F81" s="120">
        <v>0</v>
      </c>
      <c r="G81" s="123">
        <v>0</v>
      </c>
      <c r="H81" s="123">
        <v>449</v>
      </c>
      <c r="I81" s="123">
        <v>25</v>
      </c>
      <c r="J81" s="125">
        <v>0</v>
      </c>
      <c r="K81" s="125">
        <v>0</v>
      </c>
      <c r="L81" s="125">
        <v>0</v>
      </c>
      <c r="M81" s="127">
        <v>0</v>
      </c>
      <c r="N81" s="127">
        <v>0</v>
      </c>
      <c r="O81" s="127">
        <v>0</v>
      </c>
      <c r="P81" s="129">
        <v>0</v>
      </c>
      <c r="Q81" s="129">
        <v>0</v>
      </c>
      <c r="R81" s="129">
        <v>0</v>
      </c>
      <c r="S81" s="125">
        <v>11884</v>
      </c>
      <c r="T81" s="125">
        <v>900</v>
      </c>
      <c r="U81" s="125">
        <v>0</v>
      </c>
      <c r="V81" s="136">
        <v>0</v>
      </c>
      <c r="W81" s="136">
        <v>5718</v>
      </c>
      <c r="X81" s="136">
        <v>95</v>
      </c>
      <c r="Y81" s="137">
        <v>0</v>
      </c>
      <c r="Z81" s="137">
        <v>6</v>
      </c>
      <c r="AA81" s="137">
        <v>0</v>
      </c>
      <c r="AB81" s="141">
        <v>0</v>
      </c>
      <c r="AC81" s="141">
        <v>0</v>
      </c>
      <c r="AD81" s="141">
        <v>0</v>
      </c>
    </row>
    <row r="82" spans="1:30" ht="14.25">
      <c r="A82">
        <v>232</v>
      </c>
      <c r="B82" s="121" t="s">
        <v>217</v>
      </c>
      <c r="C82" s="120">
        <v>50860</v>
      </c>
      <c r="D82" s="120">
        <v>0</v>
      </c>
      <c r="E82" s="120">
        <v>150</v>
      </c>
      <c r="F82" s="120">
        <v>2356</v>
      </c>
      <c r="G82" s="123">
        <v>126</v>
      </c>
      <c r="H82" s="123">
        <v>38067</v>
      </c>
      <c r="I82" s="123">
        <v>0</v>
      </c>
      <c r="J82" s="125">
        <v>0</v>
      </c>
      <c r="K82" s="125">
        <v>0</v>
      </c>
      <c r="L82" s="125">
        <v>0</v>
      </c>
      <c r="M82" s="127">
        <v>0</v>
      </c>
      <c r="N82" s="127">
        <v>0</v>
      </c>
      <c r="O82" s="127">
        <v>0</v>
      </c>
      <c r="P82" s="129">
        <v>0</v>
      </c>
      <c r="Q82" s="129">
        <v>0</v>
      </c>
      <c r="R82" s="129">
        <v>0</v>
      </c>
      <c r="S82" s="125">
        <v>133243</v>
      </c>
      <c r="T82" s="125">
        <v>4317</v>
      </c>
      <c r="U82" s="125">
        <v>2354</v>
      </c>
      <c r="V82" s="136">
        <v>707</v>
      </c>
      <c r="W82" s="136">
        <v>91530</v>
      </c>
      <c r="X82" s="136">
        <v>1188</v>
      </c>
      <c r="Y82" s="137">
        <v>0</v>
      </c>
      <c r="Z82" s="137">
        <v>0</v>
      </c>
      <c r="AA82" s="137">
        <v>1</v>
      </c>
      <c r="AB82" s="141">
        <v>0</v>
      </c>
      <c r="AC82" s="141">
        <v>4</v>
      </c>
      <c r="AD82" s="141">
        <v>0</v>
      </c>
    </row>
    <row r="83" spans="1:30" ht="14.25">
      <c r="A83">
        <v>233</v>
      </c>
      <c r="B83" s="121" t="s">
        <v>218</v>
      </c>
      <c r="C83" s="120">
        <v>22213</v>
      </c>
      <c r="D83" s="120">
        <v>0</v>
      </c>
      <c r="E83" s="120">
        <v>0</v>
      </c>
      <c r="F83" s="120">
        <v>376</v>
      </c>
      <c r="G83" s="123">
        <v>0</v>
      </c>
      <c r="H83" s="123">
        <v>181</v>
      </c>
      <c r="I83" s="123">
        <v>0</v>
      </c>
      <c r="J83" s="125">
        <v>0</v>
      </c>
      <c r="K83" s="125">
        <v>0</v>
      </c>
      <c r="L83" s="125">
        <v>0</v>
      </c>
      <c r="M83" s="127">
        <v>0</v>
      </c>
      <c r="N83" s="127">
        <v>0</v>
      </c>
      <c r="O83" s="127">
        <v>0</v>
      </c>
      <c r="P83" s="129">
        <v>0</v>
      </c>
      <c r="Q83" s="129">
        <v>0</v>
      </c>
      <c r="R83" s="129">
        <v>0</v>
      </c>
      <c r="S83" s="125">
        <v>118345</v>
      </c>
      <c r="T83" s="125">
        <v>3941</v>
      </c>
      <c r="U83" s="125">
        <v>376</v>
      </c>
      <c r="V83" s="136">
        <v>575</v>
      </c>
      <c r="W83" s="136">
        <v>60293</v>
      </c>
      <c r="X83" s="136">
        <v>1426</v>
      </c>
      <c r="Y83" s="137">
        <v>0</v>
      </c>
      <c r="Z83" s="137">
        <v>0</v>
      </c>
      <c r="AA83" s="137">
        <v>3</v>
      </c>
      <c r="AB83" s="141">
        <v>0</v>
      </c>
      <c r="AC83" s="141">
        <v>5</v>
      </c>
      <c r="AD83" s="141">
        <v>0</v>
      </c>
    </row>
    <row r="84" spans="1:30" ht="14.25">
      <c r="A84">
        <v>235</v>
      </c>
      <c r="B84" s="121" t="s">
        <v>219</v>
      </c>
      <c r="C84" s="120">
        <v>31164</v>
      </c>
      <c r="D84" s="120">
        <v>0</v>
      </c>
      <c r="E84" s="120">
        <v>0</v>
      </c>
      <c r="F84" s="120">
        <v>0</v>
      </c>
      <c r="G84" s="123">
        <v>0</v>
      </c>
      <c r="H84" s="123">
        <v>4098</v>
      </c>
      <c r="I84" s="123">
        <v>0</v>
      </c>
      <c r="J84" s="125">
        <v>0</v>
      </c>
      <c r="K84" s="125">
        <v>0</v>
      </c>
      <c r="L84" s="125">
        <v>0</v>
      </c>
      <c r="M84" s="127">
        <v>0</v>
      </c>
      <c r="N84" s="127">
        <v>0</v>
      </c>
      <c r="O84" s="127">
        <v>0</v>
      </c>
      <c r="P84" s="129">
        <v>0</v>
      </c>
      <c r="Q84" s="129">
        <v>0</v>
      </c>
      <c r="R84" s="129">
        <v>0</v>
      </c>
      <c r="S84" s="125">
        <v>83352</v>
      </c>
      <c r="T84" s="125">
        <v>6882</v>
      </c>
      <c r="U84" s="125">
        <v>0</v>
      </c>
      <c r="V84" s="136">
        <v>278</v>
      </c>
      <c r="W84" s="136">
        <v>31872</v>
      </c>
      <c r="X84" s="136">
        <v>828</v>
      </c>
      <c r="Y84" s="137">
        <v>0</v>
      </c>
      <c r="Z84" s="137">
        <v>5</v>
      </c>
      <c r="AA84" s="137">
        <v>0</v>
      </c>
      <c r="AB84" s="141">
        <v>0</v>
      </c>
      <c r="AC84" s="141">
        <v>0</v>
      </c>
      <c r="AD84" s="141">
        <v>0</v>
      </c>
    </row>
    <row r="85" spans="1:30" ht="14.25">
      <c r="A85">
        <v>236</v>
      </c>
      <c r="B85" s="121" t="s">
        <v>220</v>
      </c>
      <c r="C85" s="120">
        <v>9117</v>
      </c>
      <c r="D85" s="120">
        <v>0</v>
      </c>
      <c r="E85" s="120">
        <v>0</v>
      </c>
      <c r="F85" s="120">
        <v>502</v>
      </c>
      <c r="G85" s="123">
        <v>0</v>
      </c>
      <c r="H85" s="123">
        <v>5</v>
      </c>
      <c r="I85" s="123">
        <v>11</v>
      </c>
      <c r="J85" s="125">
        <v>0</v>
      </c>
      <c r="K85" s="125">
        <v>0</v>
      </c>
      <c r="L85" s="125">
        <v>0</v>
      </c>
      <c r="M85" s="127">
        <v>0</v>
      </c>
      <c r="N85" s="127">
        <v>0</v>
      </c>
      <c r="O85" s="127">
        <v>0</v>
      </c>
      <c r="P85" s="129">
        <v>0</v>
      </c>
      <c r="Q85" s="129">
        <v>0</v>
      </c>
      <c r="R85" s="129">
        <v>0</v>
      </c>
      <c r="S85" s="125">
        <v>31486</v>
      </c>
      <c r="T85" s="125">
        <v>1113</v>
      </c>
      <c r="U85" s="125">
        <v>502</v>
      </c>
      <c r="V85" s="136">
        <v>119</v>
      </c>
      <c r="W85" s="136">
        <v>13208</v>
      </c>
      <c r="X85" s="136">
        <v>288</v>
      </c>
      <c r="Y85" s="137">
        <v>0</v>
      </c>
      <c r="Z85" s="137">
        <v>0</v>
      </c>
      <c r="AA85" s="137">
        <v>22</v>
      </c>
      <c r="AB85" s="141">
        <v>0</v>
      </c>
      <c r="AC85" s="141">
        <v>3</v>
      </c>
      <c r="AD85" s="141">
        <v>2</v>
      </c>
    </row>
    <row r="86" spans="1:30" ht="14.25">
      <c r="A86">
        <v>239</v>
      </c>
      <c r="B86" s="121" t="s">
        <v>221</v>
      </c>
      <c r="C86" s="120">
        <v>3978</v>
      </c>
      <c r="D86" s="120">
        <v>0</v>
      </c>
      <c r="E86" s="120">
        <v>0</v>
      </c>
      <c r="F86" s="120">
        <v>0</v>
      </c>
      <c r="G86" s="123">
        <v>15</v>
      </c>
      <c r="H86" s="123">
        <v>1570</v>
      </c>
      <c r="I86" s="123">
        <v>68</v>
      </c>
      <c r="J86" s="125">
        <v>0</v>
      </c>
      <c r="K86" s="125">
        <v>0</v>
      </c>
      <c r="L86" s="125">
        <v>0</v>
      </c>
      <c r="M86" s="127">
        <v>0</v>
      </c>
      <c r="N86" s="127">
        <v>0</v>
      </c>
      <c r="O86" s="127">
        <v>0</v>
      </c>
      <c r="P86" s="129">
        <v>0</v>
      </c>
      <c r="Q86" s="129">
        <v>0</v>
      </c>
      <c r="R86" s="129">
        <v>0</v>
      </c>
      <c r="S86" s="125">
        <v>18089</v>
      </c>
      <c r="T86" s="125">
        <v>557</v>
      </c>
      <c r="U86" s="125">
        <v>0</v>
      </c>
      <c r="V86" s="136">
        <v>124</v>
      </c>
      <c r="W86" s="136">
        <v>11147</v>
      </c>
      <c r="X86" s="136">
        <v>231</v>
      </c>
      <c r="Y86" s="137">
        <v>0</v>
      </c>
      <c r="Z86" s="137">
        <v>51</v>
      </c>
      <c r="AA86" s="137">
        <v>12</v>
      </c>
      <c r="AB86" s="141">
        <v>0</v>
      </c>
      <c r="AC86" s="141">
        <v>0</v>
      </c>
      <c r="AD86" s="141">
        <v>0</v>
      </c>
    </row>
    <row r="87" spans="1:30" ht="14.25">
      <c r="A87">
        <v>240</v>
      </c>
      <c r="B87" s="121" t="s">
        <v>222</v>
      </c>
      <c r="C87" s="120">
        <v>40129</v>
      </c>
      <c r="D87" s="120">
        <v>0</v>
      </c>
      <c r="E87" s="120">
        <v>294</v>
      </c>
      <c r="F87" s="120">
        <v>185</v>
      </c>
      <c r="G87" s="123">
        <v>947</v>
      </c>
      <c r="H87" s="123">
        <v>13229</v>
      </c>
      <c r="I87" s="123">
        <v>0</v>
      </c>
      <c r="J87" s="125">
        <v>0</v>
      </c>
      <c r="K87" s="125">
        <v>0</v>
      </c>
      <c r="L87" s="125">
        <v>0</v>
      </c>
      <c r="M87" s="127">
        <v>0</v>
      </c>
      <c r="N87" s="127">
        <v>0</v>
      </c>
      <c r="O87" s="127">
        <v>0</v>
      </c>
      <c r="P87" s="129">
        <v>0</v>
      </c>
      <c r="Q87" s="129">
        <v>5</v>
      </c>
      <c r="R87" s="129">
        <v>0</v>
      </c>
      <c r="S87" s="125">
        <v>169950</v>
      </c>
      <c r="T87" s="125">
        <v>4579</v>
      </c>
      <c r="U87" s="125">
        <v>185</v>
      </c>
      <c r="V87" s="136">
        <v>4061</v>
      </c>
      <c r="W87" s="136">
        <v>98649</v>
      </c>
      <c r="X87" s="136">
        <v>2274</v>
      </c>
      <c r="Y87" s="137">
        <v>0</v>
      </c>
      <c r="Z87" s="137">
        <v>178</v>
      </c>
      <c r="AA87" s="137">
        <v>0</v>
      </c>
      <c r="AB87" s="141">
        <v>0</v>
      </c>
      <c r="AC87" s="141">
        <v>5</v>
      </c>
      <c r="AD87" s="141">
        <v>0</v>
      </c>
    </row>
    <row r="88" spans="1:30" ht="14.25">
      <c r="A88">
        <v>241</v>
      </c>
      <c r="B88" s="121" t="s">
        <v>224</v>
      </c>
      <c r="C88" s="120">
        <v>9707</v>
      </c>
      <c r="D88" s="120">
        <v>0</v>
      </c>
      <c r="E88" s="120">
        <v>0</v>
      </c>
      <c r="F88" s="120">
        <v>1055</v>
      </c>
      <c r="G88" s="123">
        <v>33</v>
      </c>
      <c r="H88" s="123">
        <v>3938</v>
      </c>
      <c r="I88" s="123">
        <v>0</v>
      </c>
      <c r="J88" s="125">
        <v>0</v>
      </c>
      <c r="K88" s="125">
        <v>0</v>
      </c>
      <c r="L88" s="125">
        <v>0</v>
      </c>
      <c r="M88" s="127">
        <v>0</v>
      </c>
      <c r="N88" s="127">
        <v>0</v>
      </c>
      <c r="O88" s="127">
        <v>0</v>
      </c>
      <c r="P88" s="129">
        <v>0</v>
      </c>
      <c r="Q88" s="129">
        <v>229</v>
      </c>
      <c r="R88" s="129">
        <v>0</v>
      </c>
      <c r="S88" s="125">
        <v>55812</v>
      </c>
      <c r="T88" s="125">
        <v>1870</v>
      </c>
      <c r="U88" s="125">
        <v>1055</v>
      </c>
      <c r="V88" s="136">
        <v>503</v>
      </c>
      <c r="W88" s="136">
        <v>31773</v>
      </c>
      <c r="X88" s="136">
        <v>573</v>
      </c>
      <c r="Y88" s="137">
        <v>0</v>
      </c>
      <c r="Z88" s="137">
        <v>432</v>
      </c>
      <c r="AA88" s="137">
        <v>0</v>
      </c>
      <c r="AB88" s="141">
        <v>2</v>
      </c>
      <c r="AC88" s="141">
        <v>768</v>
      </c>
      <c r="AD88" s="141">
        <v>9</v>
      </c>
    </row>
    <row r="89" spans="1:30" ht="14.25">
      <c r="A89">
        <v>244</v>
      </c>
      <c r="B89" s="121" t="s">
        <v>225</v>
      </c>
      <c r="C89" s="120">
        <v>21087</v>
      </c>
      <c r="D89" s="120">
        <v>0</v>
      </c>
      <c r="E89" s="120">
        <v>283</v>
      </c>
      <c r="F89" s="120">
        <v>3803</v>
      </c>
      <c r="G89" s="123">
        <v>412</v>
      </c>
      <c r="H89" s="123">
        <v>4245</v>
      </c>
      <c r="I89" s="123">
        <v>0</v>
      </c>
      <c r="J89" s="125">
        <v>0</v>
      </c>
      <c r="K89" s="125">
        <v>0</v>
      </c>
      <c r="L89" s="125">
        <v>0</v>
      </c>
      <c r="M89" s="127">
        <v>0</v>
      </c>
      <c r="N89" s="127">
        <v>0</v>
      </c>
      <c r="O89" s="127">
        <v>0</v>
      </c>
      <c r="P89" s="129">
        <v>901</v>
      </c>
      <c r="Q89" s="129">
        <v>1237</v>
      </c>
      <c r="R89" s="129">
        <v>0</v>
      </c>
      <c r="S89" s="125">
        <v>100000</v>
      </c>
      <c r="T89" s="125">
        <v>5078</v>
      </c>
      <c r="U89" s="125">
        <v>3803</v>
      </c>
      <c r="V89" s="136">
        <v>2006</v>
      </c>
      <c r="W89" s="136">
        <v>46042</v>
      </c>
      <c r="X89" s="136">
        <v>1043</v>
      </c>
      <c r="Y89" s="137">
        <v>0</v>
      </c>
      <c r="Z89" s="137">
        <v>76</v>
      </c>
      <c r="AA89" s="137">
        <v>0</v>
      </c>
      <c r="AB89" s="141">
        <v>412</v>
      </c>
      <c r="AC89" s="141">
        <v>1498</v>
      </c>
      <c r="AD89" s="141">
        <v>42</v>
      </c>
    </row>
    <row r="90" spans="1:30" ht="14.25">
      <c r="A90">
        <v>245</v>
      </c>
      <c r="B90" s="121" t="s">
        <v>226</v>
      </c>
      <c r="C90" s="120">
        <v>65584</v>
      </c>
      <c r="D90" s="120">
        <v>0</v>
      </c>
      <c r="E90" s="120">
        <v>226</v>
      </c>
      <c r="F90" s="120">
        <v>0</v>
      </c>
      <c r="G90" s="123">
        <v>914</v>
      </c>
      <c r="H90" s="123">
        <v>13530</v>
      </c>
      <c r="I90" s="123">
        <v>0</v>
      </c>
      <c r="J90" s="125">
        <v>0</v>
      </c>
      <c r="K90" s="125">
        <v>0</v>
      </c>
      <c r="L90" s="125">
        <v>0</v>
      </c>
      <c r="M90" s="127">
        <v>0</v>
      </c>
      <c r="N90" s="127">
        <v>0</v>
      </c>
      <c r="O90" s="127">
        <v>0</v>
      </c>
      <c r="P90" s="129">
        <v>0</v>
      </c>
      <c r="Q90" s="129">
        <v>0</v>
      </c>
      <c r="R90" s="129">
        <v>0</v>
      </c>
      <c r="S90" s="125">
        <v>220710</v>
      </c>
      <c r="T90" s="125">
        <v>11138</v>
      </c>
      <c r="U90" s="125">
        <v>0</v>
      </c>
      <c r="V90" s="136">
        <v>1699</v>
      </c>
      <c r="W90" s="136">
        <v>109798</v>
      </c>
      <c r="X90" s="136">
        <v>2708</v>
      </c>
      <c r="Y90" s="137">
        <v>14</v>
      </c>
      <c r="Z90" s="137">
        <v>810</v>
      </c>
      <c r="AA90" s="137">
        <v>21</v>
      </c>
      <c r="AB90" s="141">
        <v>0</v>
      </c>
      <c r="AC90" s="141">
        <v>0</v>
      </c>
      <c r="AD90" s="141">
        <v>0</v>
      </c>
    </row>
    <row r="91" spans="1:30" ht="14.25">
      <c r="A91">
        <v>249</v>
      </c>
      <c r="B91" s="121" t="s">
        <v>227</v>
      </c>
      <c r="C91" s="120">
        <v>25538</v>
      </c>
      <c r="D91" s="120">
        <v>0</v>
      </c>
      <c r="E91" s="120">
        <v>0</v>
      </c>
      <c r="F91" s="120">
        <v>886</v>
      </c>
      <c r="G91" s="123">
        <v>583</v>
      </c>
      <c r="H91" s="123">
        <v>5501</v>
      </c>
      <c r="I91" s="123">
        <v>0</v>
      </c>
      <c r="J91" s="125">
        <v>0</v>
      </c>
      <c r="K91" s="125">
        <v>0</v>
      </c>
      <c r="L91" s="125">
        <v>0</v>
      </c>
      <c r="M91" s="127">
        <v>0</v>
      </c>
      <c r="N91" s="127">
        <v>0</v>
      </c>
      <c r="O91" s="127">
        <v>0</v>
      </c>
      <c r="P91" s="129">
        <v>0</v>
      </c>
      <c r="Q91" s="129">
        <v>0</v>
      </c>
      <c r="R91" s="129">
        <v>0</v>
      </c>
      <c r="S91" s="125">
        <v>79898</v>
      </c>
      <c r="T91" s="125">
        <v>4119</v>
      </c>
      <c r="U91" s="125">
        <v>880</v>
      </c>
      <c r="V91" s="136">
        <v>1318</v>
      </c>
      <c r="W91" s="136">
        <v>40802</v>
      </c>
      <c r="X91" s="136">
        <v>837</v>
      </c>
      <c r="Y91" s="137">
        <v>5</v>
      </c>
      <c r="Z91" s="137">
        <v>59</v>
      </c>
      <c r="AA91" s="137">
        <v>0</v>
      </c>
      <c r="AB91" s="141">
        <v>38</v>
      </c>
      <c r="AC91" s="141">
        <v>335</v>
      </c>
      <c r="AD91" s="141">
        <v>0</v>
      </c>
    </row>
    <row r="92" spans="1:30" ht="14.25">
      <c r="A92">
        <v>250</v>
      </c>
      <c r="B92" s="121" t="s">
        <v>228</v>
      </c>
      <c r="C92" s="120">
        <v>2517</v>
      </c>
      <c r="D92" s="120">
        <v>0</v>
      </c>
      <c r="E92" s="120">
        <v>0</v>
      </c>
      <c r="F92" s="120">
        <v>0</v>
      </c>
      <c r="G92" s="123">
        <v>13</v>
      </c>
      <c r="H92" s="123">
        <v>586</v>
      </c>
      <c r="I92" s="123">
        <v>0</v>
      </c>
      <c r="J92" s="125">
        <v>0</v>
      </c>
      <c r="K92" s="125">
        <v>0</v>
      </c>
      <c r="L92" s="125">
        <v>0</v>
      </c>
      <c r="M92" s="127">
        <v>0</v>
      </c>
      <c r="N92" s="127">
        <v>0</v>
      </c>
      <c r="O92" s="127">
        <v>0</v>
      </c>
      <c r="P92" s="129">
        <v>0</v>
      </c>
      <c r="Q92" s="129">
        <v>0</v>
      </c>
      <c r="R92" s="129">
        <v>0</v>
      </c>
      <c r="S92" s="125">
        <v>14868</v>
      </c>
      <c r="T92" s="125">
        <v>807</v>
      </c>
      <c r="U92" s="125">
        <v>0</v>
      </c>
      <c r="V92" s="136">
        <v>29</v>
      </c>
      <c r="W92" s="136">
        <v>9146</v>
      </c>
      <c r="X92" s="136">
        <v>148</v>
      </c>
      <c r="Y92" s="137">
        <v>0</v>
      </c>
      <c r="Z92" s="137">
        <v>111</v>
      </c>
      <c r="AA92" s="137">
        <v>0</v>
      </c>
      <c r="AB92" s="141">
        <v>0</v>
      </c>
      <c r="AC92" s="141">
        <v>0</v>
      </c>
      <c r="AD92" s="141">
        <v>0</v>
      </c>
    </row>
    <row r="93" spans="1:30" ht="14.25">
      <c r="A93">
        <v>256</v>
      </c>
      <c r="B93" s="121" t="s">
        <v>229</v>
      </c>
      <c r="C93" s="120">
        <v>4272</v>
      </c>
      <c r="D93" s="120">
        <v>0</v>
      </c>
      <c r="E93" s="120">
        <v>1</v>
      </c>
      <c r="F93" s="120">
        <v>328</v>
      </c>
      <c r="G93" s="123">
        <v>0</v>
      </c>
      <c r="H93" s="123">
        <v>1023</v>
      </c>
      <c r="I93" s="123">
        <v>41</v>
      </c>
      <c r="J93" s="125">
        <v>0</v>
      </c>
      <c r="K93" s="125">
        <v>0</v>
      </c>
      <c r="L93" s="125">
        <v>0</v>
      </c>
      <c r="M93" s="127">
        <v>0</v>
      </c>
      <c r="N93" s="127">
        <v>0</v>
      </c>
      <c r="O93" s="127">
        <v>0</v>
      </c>
      <c r="P93" s="129">
        <v>0</v>
      </c>
      <c r="Q93" s="129">
        <v>77</v>
      </c>
      <c r="R93" s="129">
        <v>0</v>
      </c>
      <c r="S93" s="125">
        <v>15141</v>
      </c>
      <c r="T93" s="125">
        <v>793</v>
      </c>
      <c r="U93" s="125">
        <v>326</v>
      </c>
      <c r="V93" s="136">
        <v>0</v>
      </c>
      <c r="W93" s="136">
        <v>7954</v>
      </c>
      <c r="X93" s="136">
        <v>164</v>
      </c>
      <c r="Y93" s="137">
        <v>0</v>
      </c>
      <c r="Z93" s="137">
        <v>7</v>
      </c>
      <c r="AA93" s="137">
        <v>9</v>
      </c>
      <c r="AB93" s="141">
        <v>0</v>
      </c>
      <c r="AC93" s="141">
        <v>138</v>
      </c>
      <c r="AD93" s="141">
        <v>2</v>
      </c>
    </row>
    <row r="94" spans="1:30" ht="14.25">
      <c r="A94">
        <v>257</v>
      </c>
      <c r="B94" s="121" t="s">
        <v>230</v>
      </c>
      <c r="C94" s="120">
        <v>62677</v>
      </c>
      <c r="D94" s="120">
        <v>0</v>
      </c>
      <c r="E94" s="120">
        <v>0</v>
      </c>
      <c r="F94" s="120">
        <v>6642</v>
      </c>
      <c r="G94" s="123">
        <v>441</v>
      </c>
      <c r="H94" s="123">
        <v>9975</v>
      </c>
      <c r="I94" s="123">
        <v>0</v>
      </c>
      <c r="J94" s="125">
        <v>0</v>
      </c>
      <c r="K94" s="125">
        <v>0</v>
      </c>
      <c r="L94" s="125">
        <v>0</v>
      </c>
      <c r="M94" s="127">
        <v>0</v>
      </c>
      <c r="N94" s="127">
        <v>0</v>
      </c>
      <c r="O94" s="127">
        <v>0</v>
      </c>
      <c r="P94" s="129">
        <v>59</v>
      </c>
      <c r="Q94" s="129">
        <v>1657</v>
      </c>
      <c r="R94" s="129">
        <v>0</v>
      </c>
      <c r="S94" s="125">
        <v>249329</v>
      </c>
      <c r="T94" s="125">
        <v>12953</v>
      </c>
      <c r="U94" s="125">
        <v>6644</v>
      </c>
      <c r="V94" s="136">
        <v>3397</v>
      </c>
      <c r="W94" s="136">
        <v>108784</v>
      </c>
      <c r="X94" s="136">
        <v>2453</v>
      </c>
      <c r="Y94" s="137">
        <v>2</v>
      </c>
      <c r="Z94" s="137">
        <v>226</v>
      </c>
      <c r="AA94" s="137">
        <v>-9</v>
      </c>
      <c r="AB94" s="141">
        <v>44</v>
      </c>
      <c r="AC94" s="141">
        <v>2108</v>
      </c>
      <c r="AD94" s="141">
        <v>173</v>
      </c>
    </row>
    <row r="95" spans="1:30" ht="14.25">
      <c r="A95">
        <v>260</v>
      </c>
      <c r="B95" s="121" t="s">
        <v>231</v>
      </c>
      <c r="C95" s="120">
        <v>20654</v>
      </c>
      <c r="D95" s="120">
        <v>0</v>
      </c>
      <c r="E95" s="120">
        <v>0</v>
      </c>
      <c r="F95" s="120">
        <v>0</v>
      </c>
      <c r="G95" s="123">
        <v>90</v>
      </c>
      <c r="H95" s="123">
        <v>6100</v>
      </c>
      <c r="I95" s="123">
        <v>0</v>
      </c>
      <c r="J95" s="125">
        <v>0</v>
      </c>
      <c r="K95" s="125">
        <v>0</v>
      </c>
      <c r="L95" s="125">
        <v>0</v>
      </c>
      <c r="M95" s="127">
        <v>0</v>
      </c>
      <c r="N95" s="127">
        <v>0</v>
      </c>
      <c r="O95" s="127">
        <v>0</v>
      </c>
      <c r="P95" s="129">
        <v>0</v>
      </c>
      <c r="Q95" s="129">
        <v>0</v>
      </c>
      <c r="R95" s="129">
        <v>0</v>
      </c>
      <c r="S95" s="125">
        <v>84504</v>
      </c>
      <c r="T95" s="125">
        <v>2890</v>
      </c>
      <c r="U95" s="125">
        <v>0</v>
      </c>
      <c r="V95" s="136">
        <v>867</v>
      </c>
      <c r="W95" s="136">
        <v>49955</v>
      </c>
      <c r="X95" s="136">
        <v>834</v>
      </c>
      <c r="Y95" s="137">
        <v>0</v>
      </c>
      <c r="Z95" s="137">
        <v>119</v>
      </c>
      <c r="AA95" s="137">
        <v>0</v>
      </c>
      <c r="AB95" s="141">
        <v>0</v>
      </c>
      <c r="AC95" s="141">
        <v>0</v>
      </c>
      <c r="AD95" s="141">
        <v>0</v>
      </c>
    </row>
    <row r="96" spans="1:30" ht="14.25">
      <c r="A96">
        <v>261</v>
      </c>
      <c r="B96" s="121" t="s">
        <v>232</v>
      </c>
      <c r="C96" s="120">
        <v>13697</v>
      </c>
      <c r="D96" s="120">
        <v>0</v>
      </c>
      <c r="E96" s="120">
        <v>0</v>
      </c>
      <c r="F96" s="120">
        <v>677</v>
      </c>
      <c r="G96" s="123">
        <v>181</v>
      </c>
      <c r="H96" s="123">
        <v>2572</v>
      </c>
      <c r="I96" s="123">
        <v>0</v>
      </c>
      <c r="J96" s="125">
        <v>0</v>
      </c>
      <c r="K96" s="125">
        <v>0</v>
      </c>
      <c r="L96" s="125">
        <v>0</v>
      </c>
      <c r="M96" s="127">
        <v>0</v>
      </c>
      <c r="N96" s="127">
        <v>0</v>
      </c>
      <c r="O96" s="127">
        <v>0</v>
      </c>
      <c r="P96" s="129">
        <v>0</v>
      </c>
      <c r="Q96" s="129">
        <v>0</v>
      </c>
      <c r="R96" s="129">
        <v>0</v>
      </c>
      <c r="S96" s="125">
        <v>59283</v>
      </c>
      <c r="T96" s="125">
        <v>2595</v>
      </c>
      <c r="U96" s="125">
        <v>677</v>
      </c>
      <c r="V96" s="136">
        <v>758</v>
      </c>
      <c r="W96" s="136">
        <v>28755</v>
      </c>
      <c r="X96" s="136">
        <v>833</v>
      </c>
      <c r="Y96" s="137">
        <v>0</v>
      </c>
      <c r="Z96" s="137">
        <v>144</v>
      </c>
      <c r="AA96" s="137">
        <v>0</v>
      </c>
      <c r="AB96" s="141">
        <v>0</v>
      </c>
      <c r="AC96" s="141">
        <v>252</v>
      </c>
      <c r="AD96" s="141">
        <v>0</v>
      </c>
    </row>
    <row r="97" spans="1:30" ht="14.25">
      <c r="A97">
        <v>263</v>
      </c>
      <c r="B97" s="121" t="s">
        <v>233</v>
      </c>
      <c r="C97" s="120">
        <v>10805</v>
      </c>
      <c r="D97" s="120">
        <v>0</v>
      </c>
      <c r="E97" s="120">
        <v>61</v>
      </c>
      <c r="F97" s="120">
        <v>564</v>
      </c>
      <c r="G97" s="123">
        <v>0</v>
      </c>
      <c r="H97" s="123">
        <v>186</v>
      </c>
      <c r="I97" s="123">
        <v>0</v>
      </c>
      <c r="J97" s="125">
        <v>0</v>
      </c>
      <c r="K97" s="125">
        <v>0</v>
      </c>
      <c r="L97" s="125">
        <v>0</v>
      </c>
      <c r="M97" s="127">
        <v>0</v>
      </c>
      <c r="N97" s="127">
        <v>0</v>
      </c>
      <c r="O97" s="127">
        <v>0</v>
      </c>
      <c r="P97" s="129">
        <v>0</v>
      </c>
      <c r="Q97" s="129">
        <v>0</v>
      </c>
      <c r="R97" s="129">
        <v>0</v>
      </c>
      <c r="S97" s="125">
        <v>63422</v>
      </c>
      <c r="T97" s="125">
        <v>3801</v>
      </c>
      <c r="U97" s="125">
        <v>563</v>
      </c>
      <c r="V97" s="136">
        <v>124</v>
      </c>
      <c r="W97" s="136">
        <v>35043</v>
      </c>
      <c r="X97" s="136">
        <v>678</v>
      </c>
      <c r="Y97" s="137">
        <v>0</v>
      </c>
      <c r="Z97" s="137">
        <v>4</v>
      </c>
      <c r="AA97" s="137">
        <v>0</v>
      </c>
      <c r="AB97" s="141">
        <v>0</v>
      </c>
      <c r="AC97" s="141">
        <v>3</v>
      </c>
      <c r="AD97" s="141">
        <v>0</v>
      </c>
    </row>
    <row r="98" spans="1:30" ht="14.25">
      <c r="A98">
        <v>265</v>
      </c>
      <c r="B98" s="121" t="s">
        <v>234</v>
      </c>
      <c r="C98" s="120">
        <v>2386</v>
      </c>
      <c r="D98" s="120">
        <v>0</v>
      </c>
      <c r="E98" s="120">
        <v>0</v>
      </c>
      <c r="F98" s="120">
        <v>0</v>
      </c>
      <c r="G98" s="123">
        <v>0</v>
      </c>
      <c r="H98" s="123">
        <v>19</v>
      </c>
      <c r="I98" s="123">
        <v>1</v>
      </c>
      <c r="J98" s="125">
        <v>0</v>
      </c>
      <c r="K98" s="125">
        <v>0</v>
      </c>
      <c r="L98" s="125">
        <v>0</v>
      </c>
      <c r="M98" s="127">
        <v>0</v>
      </c>
      <c r="N98" s="127">
        <v>0</v>
      </c>
      <c r="O98" s="127">
        <v>0</v>
      </c>
      <c r="P98" s="129">
        <v>0</v>
      </c>
      <c r="Q98" s="129">
        <v>0</v>
      </c>
      <c r="R98" s="129">
        <v>0</v>
      </c>
      <c r="S98" s="125">
        <v>10700</v>
      </c>
      <c r="T98" s="125">
        <v>476</v>
      </c>
      <c r="U98" s="125">
        <v>0</v>
      </c>
      <c r="V98" s="136">
        <v>53</v>
      </c>
      <c r="W98" s="136">
        <v>6055</v>
      </c>
      <c r="X98" s="136">
        <v>108</v>
      </c>
      <c r="Y98" s="137">
        <v>0</v>
      </c>
      <c r="Z98" s="137">
        <v>0</v>
      </c>
      <c r="AA98" s="137">
        <v>1</v>
      </c>
      <c r="AB98" s="141">
        <v>0</v>
      </c>
      <c r="AC98" s="141">
        <v>0</v>
      </c>
      <c r="AD98" s="141">
        <v>0</v>
      </c>
    </row>
    <row r="99" spans="1:30" ht="14.25">
      <c r="A99">
        <v>271</v>
      </c>
      <c r="B99" s="121" t="s">
        <v>235</v>
      </c>
      <c r="C99" s="120">
        <v>5866</v>
      </c>
      <c r="D99" s="120">
        <v>0</v>
      </c>
      <c r="E99" s="120">
        <v>0</v>
      </c>
      <c r="F99" s="120">
        <v>574</v>
      </c>
      <c r="G99" s="123">
        <v>141</v>
      </c>
      <c r="H99" s="123">
        <v>2294</v>
      </c>
      <c r="I99" s="123">
        <v>246</v>
      </c>
      <c r="J99" s="125">
        <v>0</v>
      </c>
      <c r="K99" s="125">
        <v>0</v>
      </c>
      <c r="L99" s="125">
        <v>0</v>
      </c>
      <c r="M99" s="127">
        <v>0</v>
      </c>
      <c r="N99" s="127">
        <v>0</v>
      </c>
      <c r="O99" s="127">
        <v>0</v>
      </c>
      <c r="P99" s="129">
        <v>0</v>
      </c>
      <c r="Q99" s="129">
        <v>0</v>
      </c>
      <c r="R99" s="129">
        <v>0</v>
      </c>
      <c r="S99" s="125">
        <v>49023</v>
      </c>
      <c r="T99" s="125">
        <v>1677</v>
      </c>
      <c r="U99" s="125">
        <v>574</v>
      </c>
      <c r="V99" s="136">
        <v>1259</v>
      </c>
      <c r="W99" s="136">
        <v>30334</v>
      </c>
      <c r="X99" s="136">
        <v>872</v>
      </c>
      <c r="Y99" s="137">
        <v>1</v>
      </c>
      <c r="Z99" s="137">
        <v>68</v>
      </c>
      <c r="AA99" s="137">
        <v>28</v>
      </c>
      <c r="AB99" s="141">
        <v>6</v>
      </c>
      <c r="AC99" s="141">
        <v>179</v>
      </c>
      <c r="AD99" s="141">
        <v>0</v>
      </c>
    </row>
    <row r="100" spans="1:30" ht="14.25">
      <c r="A100">
        <v>272</v>
      </c>
      <c r="B100" s="121" t="s">
        <v>236</v>
      </c>
      <c r="C100" s="120">
        <v>148533</v>
      </c>
      <c r="D100" s="120">
        <v>0</v>
      </c>
      <c r="E100" s="120">
        <v>1528</v>
      </c>
      <c r="F100" s="120">
        <v>3106</v>
      </c>
      <c r="G100" s="123">
        <v>656</v>
      </c>
      <c r="H100" s="123">
        <v>53295</v>
      </c>
      <c r="I100" s="123">
        <v>8938</v>
      </c>
      <c r="J100" s="125">
        <v>0</v>
      </c>
      <c r="K100" s="125">
        <v>0</v>
      </c>
      <c r="L100" s="125">
        <v>0</v>
      </c>
      <c r="M100" s="127">
        <v>0</v>
      </c>
      <c r="N100" s="127">
        <v>0</v>
      </c>
      <c r="O100" s="127">
        <v>0</v>
      </c>
      <c r="P100" s="129">
        <v>0</v>
      </c>
      <c r="Q100" s="129">
        <v>0</v>
      </c>
      <c r="R100" s="129">
        <v>0</v>
      </c>
      <c r="S100" s="125">
        <v>402248</v>
      </c>
      <c r="T100" s="125">
        <v>15319</v>
      </c>
      <c r="U100" s="125">
        <v>3106</v>
      </c>
      <c r="V100" s="136">
        <v>1155</v>
      </c>
      <c r="W100" s="136">
        <v>209478</v>
      </c>
      <c r="X100" s="136">
        <v>12149</v>
      </c>
      <c r="Y100" s="137">
        <v>0</v>
      </c>
      <c r="Z100" s="137">
        <v>710</v>
      </c>
      <c r="AA100" s="137">
        <v>213</v>
      </c>
      <c r="AB100" s="141">
        <v>11</v>
      </c>
      <c r="AC100" s="141">
        <v>1348</v>
      </c>
      <c r="AD100" s="141">
        <v>137</v>
      </c>
    </row>
    <row r="101" spans="1:30" ht="14.25">
      <c r="A101">
        <v>273</v>
      </c>
      <c r="B101" s="121" t="s">
        <v>237</v>
      </c>
      <c r="C101" s="120">
        <v>9396</v>
      </c>
      <c r="D101" s="120">
        <v>0</v>
      </c>
      <c r="E101" s="120">
        <v>0</v>
      </c>
      <c r="F101" s="120">
        <v>0</v>
      </c>
      <c r="G101" s="123">
        <v>14</v>
      </c>
      <c r="H101" s="123">
        <v>2077</v>
      </c>
      <c r="I101" s="123">
        <v>0</v>
      </c>
      <c r="J101" s="125">
        <v>0</v>
      </c>
      <c r="K101" s="125">
        <v>0</v>
      </c>
      <c r="L101" s="125">
        <v>0</v>
      </c>
      <c r="M101" s="127">
        <v>0</v>
      </c>
      <c r="N101" s="127">
        <v>0</v>
      </c>
      <c r="O101" s="127">
        <v>0</v>
      </c>
      <c r="P101" s="129">
        <v>0</v>
      </c>
      <c r="Q101" s="129">
        <v>0</v>
      </c>
      <c r="R101" s="129">
        <v>0</v>
      </c>
      <c r="S101" s="125">
        <v>32592</v>
      </c>
      <c r="T101" s="125">
        <v>1609</v>
      </c>
      <c r="U101" s="125">
        <v>0</v>
      </c>
      <c r="V101" s="136">
        <v>197</v>
      </c>
      <c r="W101" s="136">
        <v>17078</v>
      </c>
      <c r="X101" s="136">
        <v>477</v>
      </c>
      <c r="Y101" s="137">
        <v>0</v>
      </c>
      <c r="Z101" s="137">
        <v>334</v>
      </c>
      <c r="AA101" s="137">
        <v>0</v>
      </c>
      <c r="AB101" s="141">
        <v>0</v>
      </c>
      <c r="AC101" s="141">
        <v>0</v>
      </c>
      <c r="AD101" s="141">
        <v>0</v>
      </c>
    </row>
    <row r="102" spans="1:30" ht="14.25">
      <c r="A102">
        <v>275</v>
      </c>
      <c r="B102" s="121" t="s">
        <v>238</v>
      </c>
      <c r="C102" s="120">
        <v>4049</v>
      </c>
      <c r="D102" s="120">
        <v>0</v>
      </c>
      <c r="E102" s="120">
        <v>0</v>
      </c>
      <c r="F102" s="120">
        <v>846</v>
      </c>
      <c r="G102" s="123">
        <v>17</v>
      </c>
      <c r="H102" s="123">
        <v>1078</v>
      </c>
      <c r="I102" s="123">
        <v>0</v>
      </c>
      <c r="J102" s="125">
        <v>0</v>
      </c>
      <c r="K102" s="125">
        <v>0</v>
      </c>
      <c r="L102" s="125">
        <v>0</v>
      </c>
      <c r="M102" s="127">
        <v>0</v>
      </c>
      <c r="N102" s="127">
        <v>0</v>
      </c>
      <c r="O102" s="127">
        <v>0</v>
      </c>
      <c r="P102" s="129">
        <v>0</v>
      </c>
      <c r="Q102" s="129">
        <v>0</v>
      </c>
      <c r="R102" s="129">
        <v>0</v>
      </c>
      <c r="S102" s="125">
        <v>23333</v>
      </c>
      <c r="T102" s="125">
        <v>702</v>
      </c>
      <c r="U102" s="125">
        <v>846</v>
      </c>
      <c r="V102" s="136">
        <v>156</v>
      </c>
      <c r="W102" s="136">
        <v>14409</v>
      </c>
      <c r="X102" s="136">
        <v>235</v>
      </c>
      <c r="Y102" s="137">
        <v>0</v>
      </c>
      <c r="Z102" s="137">
        <v>0</v>
      </c>
      <c r="AA102" s="137">
        <v>0</v>
      </c>
      <c r="AB102" s="141">
        <v>3</v>
      </c>
      <c r="AC102" s="141">
        <v>76</v>
      </c>
      <c r="AD102" s="141">
        <v>0</v>
      </c>
    </row>
    <row r="103" spans="1:30" ht="14.25">
      <c r="A103">
        <v>276</v>
      </c>
      <c r="B103" s="121" t="s">
        <v>239</v>
      </c>
      <c r="C103" s="120">
        <v>22737</v>
      </c>
      <c r="D103" s="120">
        <v>0</v>
      </c>
      <c r="E103" s="120">
        <v>0</v>
      </c>
      <c r="F103" s="120">
        <v>279</v>
      </c>
      <c r="G103" s="123">
        <v>0</v>
      </c>
      <c r="H103" s="123">
        <v>1231</v>
      </c>
      <c r="I103" s="123">
        <v>0</v>
      </c>
      <c r="J103" s="125">
        <v>0</v>
      </c>
      <c r="K103" s="125">
        <v>0</v>
      </c>
      <c r="L103" s="125">
        <v>0</v>
      </c>
      <c r="M103" s="127">
        <v>0</v>
      </c>
      <c r="N103" s="127">
        <v>0</v>
      </c>
      <c r="O103" s="127">
        <v>0</v>
      </c>
      <c r="P103" s="129">
        <v>0</v>
      </c>
      <c r="Q103" s="129">
        <v>0</v>
      </c>
      <c r="R103" s="129">
        <v>0</v>
      </c>
      <c r="S103" s="125">
        <v>87971</v>
      </c>
      <c r="T103" s="125">
        <v>4213</v>
      </c>
      <c r="U103" s="125">
        <v>277</v>
      </c>
      <c r="V103" s="136">
        <v>912</v>
      </c>
      <c r="W103" s="136">
        <v>38353</v>
      </c>
      <c r="X103" s="136">
        <v>1087</v>
      </c>
      <c r="Y103" s="137">
        <v>0</v>
      </c>
      <c r="Z103" s="137">
        <v>57</v>
      </c>
      <c r="AA103" s="137">
        <v>0</v>
      </c>
      <c r="AB103" s="141">
        <v>0</v>
      </c>
      <c r="AC103" s="141">
        <v>8</v>
      </c>
      <c r="AD103" s="141">
        <v>0</v>
      </c>
    </row>
    <row r="104" spans="1:30" ht="14.25">
      <c r="A104">
        <v>280</v>
      </c>
      <c r="B104" s="121" t="s">
        <v>240</v>
      </c>
      <c r="C104" s="120">
        <v>3356</v>
      </c>
      <c r="D104" s="120">
        <v>0</v>
      </c>
      <c r="E104" s="120">
        <v>0</v>
      </c>
      <c r="F104" s="120">
        <v>221</v>
      </c>
      <c r="G104" s="123">
        <v>1</v>
      </c>
      <c r="H104" s="123">
        <v>943</v>
      </c>
      <c r="I104" s="123">
        <v>1</v>
      </c>
      <c r="J104" s="125">
        <v>0</v>
      </c>
      <c r="K104" s="125">
        <v>0</v>
      </c>
      <c r="L104" s="125">
        <v>0</v>
      </c>
      <c r="M104" s="127">
        <v>0</v>
      </c>
      <c r="N104" s="127">
        <v>0</v>
      </c>
      <c r="O104" s="127">
        <v>0</v>
      </c>
      <c r="P104" s="129">
        <v>0</v>
      </c>
      <c r="Q104" s="129">
        <v>0</v>
      </c>
      <c r="R104" s="129">
        <v>0</v>
      </c>
      <c r="S104" s="125">
        <v>15981</v>
      </c>
      <c r="T104" s="125">
        <v>937</v>
      </c>
      <c r="U104" s="125">
        <v>221</v>
      </c>
      <c r="V104" s="136">
        <v>29</v>
      </c>
      <c r="W104" s="136">
        <v>8618</v>
      </c>
      <c r="X104" s="136">
        <v>157</v>
      </c>
      <c r="Y104" s="137">
        <v>0</v>
      </c>
      <c r="Z104" s="137">
        <v>113</v>
      </c>
      <c r="AA104" s="137">
        <v>0</v>
      </c>
      <c r="AB104" s="141">
        <v>0</v>
      </c>
      <c r="AC104" s="141">
        <v>38</v>
      </c>
      <c r="AD104" s="141">
        <v>0</v>
      </c>
    </row>
    <row r="105" spans="1:30" ht="14.25">
      <c r="A105">
        <v>283</v>
      </c>
      <c r="B105" s="121" t="s">
        <v>525</v>
      </c>
      <c r="C105" s="120">
        <v>2322</v>
      </c>
      <c r="D105" s="120">
        <v>0</v>
      </c>
      <c r="E105" s="120">
        <v>0</v>
      </c>
      <c r="F105" s="120">
        <v>0</v>
      </c>
      <c r="G105" s="123">
        <v>0</v>
      </c>
      <c r="H105" s="123">
        <v>43</v>
      </c>
      <c r="I105" s="123">
        <v>0</v>
      </c>
      <c r="J105" s="125">
        <v>0</v>
      </c>
      <c r="K105" s="125">
        <v>0</v>
      </c>
      <c r="L105" s="125">
        <v>0</v>
      </c>
      <c r="M105" s="127">
        <v>0</v>
      </c>
      <c r="N105" s="127">
        <v>0</v>
      </c>
      <c r="O105" s="127">
        <v>0</v>
      </c>
      <c r="P105" s="129">
        <v>0</v>
      </c>
      <c r="Q105" s="129">
        <v>0</v>
      </c>
      <c r="R105" s="129">
        <v>0</v>
      </c>
      <c r="S105" s="125">
        <v>13669</v>
      </c>
      <c r="T105" s="125">
        <v>992</v>
      </c>
      <c r="U105" s="125">
        <v>0</v>
      </c>
      <c r="V105" s="136">
        <v>137</v>
      </c>
      <c r="W105" s="136">
        <v>7609</v>
      </c>
      <c r="X105" s="136">
        <v>178</v>
      </c>
      <c r="Y105" s="137">
        <v>0</v>
      </c>
      <c r="Z105" s="137">
        <v>0</v>
      </c>
      <c r="AA105" s="137">
        <v>0</v>
      </c>
      <c r="AB105" s="141">
        <v>0</v>
      </c>
      <c r="AC105" s="141">
        <v>0</v>
      </c>
      <c r="AD105" s="141">
        <v>0</v>
      </c>
    </row>
    <row r="106" spans="1:30" ht="14.25">
      <c r="A106">
        <v>284</v>
      </c>
      <c r="B106" s="121" t="s">
        <v>241</v>
      </c>
      <c r="C106" s="120">
        <v>3276</v>
      </c>
      <c r="D106" s="120">
        <v>0</v>
      </c>
      <c r="E106" s="120">
        <v>0</v>
      </c>
      <c r="F106" s="120">
        <v>1538</v>
      </c>
      <c r="G106" s="123">
        <v>52</v>
      </c>
      <c r="H106" s="123">
        <v>873</v>
      </c>
      <c r="I106" s="123">
        <v>0</v>
      </c>
      <c r="J106" s="125">
        <v>0</v>
      </c>
      <c r="K106" s="125">
        <v>0</v>
      </c>
      <c r="L106" s="125">
        <v>0</v>
      </c>
      <c r="M106" s="127">
        <v>0</v>
      </c>
      <c r="N106" s="127">
        <v>0</v>
      </c>
      <c r="O106" s="127">
        <v>0</v>
      </c>
      <c r="P106" s="129">
        <v>0</v>
      </c>
      <c r="Q106" s="129">
        <v>50</v>
      </c>
      <c r="R106" s="129">
        <v>0</v>
      </c>
      <c r="S106" s="125">
        <v>16689</v>
      </c>
      <c r="T106" s="125">
        <v>629</v>
      </c>
      <c r="U106" s="125">
        <v>1538</v>
      </c>
      <c r="V106" s="136">
        <v>237</v>
      </c>
      <c r="W106" s="136">
        <v>8823</v>
      </c>
      <c r="X106" s="136">
        <v>170</v>
      </c>
      <c r="Y106" s="137">
        <v>0</v>
      </c>
      <c r="Z106" s="137">
        <v>114</v>
      </c>
      <c r="AA106" s="137">
        <v>0</v>
      </c>
      <c r="AB106" s="141">
        <v>3</v>
      </c>
      <c r="AC106" s="141">
        <v>357</v>
      </c>
      <c r="AD106" s="141">
        <v>0</v>
      </c>
    </row>
    <row r="107" spans="1:30" ht="14.25">
      <c r="A107">
        <v>285</v>
      </c>
      <c r="B107" s="121" t="s">
        <v>242</v>
      </c>
      <c r="C107" s="120">
        <v>139084</v>
      </c>
      <c r="D107" s="120">
        <v>0</v>
      </c>
      <c r="E107" s="120">
        <v>1642</v>
      </c>
      <c r="F107" s="120">
        <v>112</v>
      </c>
      <c r="G107" s="123">
        <v>298</v>
      </c>
      <c r="H107" s="123">
        <v>34682</v>
      </c>
      <c r="I107" s="123">
        <v>15379</v>
      </c>
      <c r="J107" s="125">
        <v>0</v>
      </c>
      <c r="K107" s="125">
        <v>0</v>
      </c>
      <c r="L107" s="125">
        <v>0</v>
      </c>
      <c r="M107" s="127">
        <v>0</v>
      </c>
      <c r="N107" s="127">
        <v>0</v>
      </c>
      <c r="O107" s="127">
        <v>0</v>
      </c>
      <c r="P107" s="129">
        <v>0</v>
      </c>
      <c r="Q107" s="129">
        <v>0</v>
      </c>
      <c r="R107" s="129">
        <v>0</v>
      </c>
      <c r="S107" s="125">
        <v>440926</v>
      </c>
      <c r="T107" s="125">
        <v>18684</v>
      </c>
      <c r="U107" s="125">
        <v>112</v>
      </c>
      <c r="V107" s="136">
        <v>10391</v>
      </c>
      <c r="W107" s="136">
        <v>246524</v>
      </c>
      <c r="X107" s="136">
        <v>18025</v>
      </c>
      <c r="Y107" s="137">
        <v>0</v>
      </c>
      <c r="Z107" s="137">
        <v>351</v>
      </c>
      <c r="AA107" s="137">
        <v>1074</v>
      </c>
      <c r="AB107" s="141">
        <v>0</v>
      </c>
      <c r="AC107" s="141">
        <v>0</v>
      </c>
      <c r="AD107" s="141">
        <v>0</v>
      </c>
    </row>
    <row r="108" spans="1:30" ht="14.25">
      <c r="A108">
        <v>286</v>
      </c>
      <c r="B108" s="121" t="s">
        <v>243</v>
      </c>
      <c r="C108" s="120">
        <v>173560</v>
      </c>
      <c r="D108" s="120">
        <v>61</v>
      </c>
      <c r="E108" s="120">
        <v>2378</v>
      </c>
      <c r="F108" s="120">
        <v>0</v>
      </c>
      <c r="G108" s="123">
        <v>368</v>
      </c>
      <c r="H108" s="123">
        <v>39076</v>
      </c>
      <c r="I108" s="123">
        <v>0</v>
      </c>
      <c r="J108" s="125">
        <v>0</v>
      </c>
      <c r="K108" s="125">
        <v>0</v>
      </c>
      <c r="L108" s="125">
        <v>0</v>
      </c>
      <c r="M108" s="127">
        <v>0</v>
      </c>
      <c r="N108" s="127">
        <v>0</v>
      </c>
      <c r="O108" s="127">
        <v>0</v>
      </c>
      <c r="P108" s="129">
        <v>0</v>
      </c>
      <c r="Q108" s="129">
        <v>0</v>
      </c>
      <c r="R108" s="129">
        <v>0</v>
      </c>
      <c r="S108" s="125">
        <v>669462</v>
      </c>
      <c r="T108" s="125">
        <v>20923</v>
      </c>
      <c r="U108" s="125">
        <v>0</v>
      </c>
      <c r="V108" s="136">
        <v>2520</v>
      </c>
      <c r="W108" s="136">
        <v>340555</v>
      </c>
      <c r="X108" s="136">
        <v>6970</v>
      </c>
      <c r="Y108" s="137">
        <v>2</v>
      </c>
      <c r="Z108" s="137">
        <v>895</v>
      </c>
      <c r="AA108" s="137">
        <v>0</v>
      </c>
      <c r="AB108" s="141">
        <v>0</v>
      </c>
      <c r="AC108" s="141">
        <v>0</v>
      </c>
      <c r="AD108" s="141">
        <v>0</v>
      </c>
    </row>
    <row r="109" spans="1:30" ht="14.25">
      <c r="A109">
        <v>287</v>
      </c>
      <c r="B109" s="121" t="s">
        <v>244</v>
      </c>
      <c r="C109" s="120">
        <v>11790</v>
      </c>
      <c r="D109" s="120">
        <v>0</v>
      </c>
      <c r="E109" s="120">
        <v>0</v>
      </c>
      <c r="F109" s="120">
        <v>0</v>
      </c>
      <c r="G109" s="123">
        <v>217</v>
      </c>
      <c r="H109" s="123">
        <v>2799</v>
      </c>
      <c r="I109" s="123">
        <v>0</v>
      </c>
      <c r="J109" s="125">
        <v>0</v>
      </c>
      <c r="K109" s="125">
        <v>0</v>
      </c>
      <c r="L109" s="125">
        <v>0</v>
      </c>
      <c r="M109" s="127">
        <v>0</v>
      </c>
      <c r="N109" s="127">
        <v>0</v>
      </c>
      <c r="O109" s="127">
        <v>0</v>
      </c>
      <c r="P109" s="129">
        <v>0</v>
      </c>
      <c r="Q109" s="129">
        <v>0</v>
      </c>
      <c r="R109" s="129">
        <v>0</v>
      </c>
      <c r="S109" s="125">
        <v>50785</v>
      </c>
      <c r="T109" s="125">
        <v>2279</v>
      </c>
      <c r="U109" s="125">
        <v>1824</v>
      </c>
      <c r="V109" s="136">
        <v>247</v>
      </c>
      <c r="W109" s="136">
        <v>27063</v>
      </c>
      <c r="X109" s="136">
        <v>494</v>
      </c>
      <c r="Y109" s="137">
        <v>0</v>
      </c>
      <c r="Z109" s="137">
        <v>127</v>
      </c>
      <c r="AA109" s="137">
        <v>0</v>
      </c>
      <c r="AB109" s="141">
        <v>0</v>
      </c>
      <c r="AC109" s="141">
        <v>0</v>
      </c>
      <c r="AD109" s="141">
        <v>0</v>
      </c>
    </row>
    <row r="110" spans="1:30" ht="14.25">
      <c r="A110">
        <v>288</v>
      </c>
      <c r="B110" s="121" t="s">
        <v>245</v>
      </c>
      <c r="C110" s="120">
        <v>4170</v>
      </c>
      <c r="D110" s="120">
        <v>0</v>
      </c>
      <c r="E110" s="120">
        <v>0</v>
      </c>
      <c r="F110" s="120">
        <v>0</v>
      </c>
      <c r="G110" s="123">
        <v>0</v>
      </c>
      <c r="H110" s="123">
        <v>179</v>
      </c>
      <c r="I110" s="123">
        <v>0</v>
      </c>
      <c r="J110" s="125">
        <v>0</v>
      </c>
      <c r="K110" s="125">
        <v>0</v>
      </c>
      <c r="L110" s="125">
        <v>0</v>
      </c>
      <c r="M110" s="127">
        <v>0</v>
      </c>
      <c r="N110" s="127">
        <v>0</v>
      </c>
      <c r="O110" s="127">
        <v>0</v>
      </c>
      <c r="P110" s="129">
        <v>0</v>
      </c>
      <c r="Q110" s="129">
        <v>0</v>
      </c>
      <c r="R110" s="129">
        <v>0</v>
      </c>
      <c r="S110" s="125">
        <v>41923</v>
      </c>
      <c r="T110" s="125">
        <v>1090</v>
      </c>
      <c r="U110" s="125">
        <v>0</v>
      </c>
      <c r="V110" s="136">
        <v>210</v>
      </c>
      <c r="W110" s="136">
        <v>22436</v>
      </c>
      <c r="X110" s="136">
        <v>510</v>
      </c>
      <c r="Y110" s="137">
        <v>0</v>
      </c>
      <c r="Z110" s="137">
        <v>2</v>
      </c>
      <c r="AA110" s="137">
        <v>98</v>
      </c>
      <c r="AB110" s="141">
        <v>0</v>
      </c>
      <c r="AC110" s="141">
        <v>0</v>
      </c>
      <c r="AD110" s="141">
        <v>0</v>
      </c>
    </row>
    <row r="111" spans="1:30" ht="14.25">
      <c r="A111">
        <v>290</v>
      </c>
      <c r="B111" s="121" t="s">
        <v>246</v>
      </c>
      <c r="C111" s="120">
        <v>10963</v>
      </c>
      <c r="D111" s="120">
        <v>0</v>
      </c>
      <c r="E111" s="120">
        <v>0</v>
      </c>
      <c r="F111" s="120">
        <v>444</v>
      </c>
      <c r="G111" s="123">
        <v>533</v>
      </c>
      <c r="H111" s="123">
        <v>533</v>
      </c>
      <c r="I111" s="123">
        <v>0</v>
      </c>
      <c r="J111" s="125">
        <v>0</v>
      </c>
      <c r="K111" s="125">
        <v>0</v>
      </c>
      <c r="L111" s="125">
        <v>0</v>
      </c>
      <c r="M111" s="127">
        <v>0</v>
      </c>
      <c r="N111" s="127">
        <v>0</v>
      </c>
      <c r="O111" s="127">
        <v>0</v>
      </c>
      <c r="P111" s="129">
        <v>0</v>
      </c>
      <c r="Q111" s="129">
        <v>0</v>
      </c>
      <c r="R111" s="129">
        <v>0</v>
      </c>
      <c r="S111" s="125">
        <v>71408</v>
      </c>
      <c r="T111" s="125">
        <v>1920</v>
      </c>
      <c r="U111" s="125">
        <v>444</v>
      </c>
      <c r="V111" s="136">
        <v>828</v>
      </c>
      <c r="W111" s="136">
        <v>38662</v>
      </c>
      <c r="X111" s="136">
        <v>763</v>
      </c>
      <c r="Y111" s="137">
        <v>0</v>
      </c>
      <c r="Z111" s="137">
        <v>0</v>
      </c>
      <c r="AA111" s="137">
        <v>0</v>
      </c>
      <c r="AB111" s="141">
        <v>0</v>
      </c>
      <c r="AC111" s="141">
        <v>0</v>
      </c>
      <c r="AD111" s="141">
        <v>0</v>
      </c>
    </row>
    <row r="112" spans="1:30" ht="14.25">
      <c r="A112">
        <v>291</v>
      </c>
      <c r="B112" s="121" t="s">
        <v>247</v>
      </c>
      <c r="C112" s="120">
        <v>3439</v>
      </c>
      <c r="D112" s="120">
        <v>0</v>
      </c>
      <c r="E112" s="120">
        <v>0</v>
      </c>
      <c r="F112" s="120">
        <v>384</v>
      </c>
      <c r="G112" s="123">
        <v>0</v>
      </c>
      <c r="H112" s="123">
        <v>34</v>
      </c>
      <c r="I112" s="123">
        <v>30</v>
      </c>
      <c r="J112" s="125">
        <v>0</v>
      </c>
      <c r="K112" s="125">
        <v>0</v>
      </c>
      <c r="L112" s="125">
        <v>0</v>
      </c>
      <c r="M112" s="127">
        <v>0</v>
      </c>
      <c r="N112" s="127">
        <v>0</v>
      </c>
      <c r="O112" s="127">
        <v>0</v>
      </c>
      <c r="P112" s="129">
        <v>0</v>
      </c>
      <c r="Q112" s="129">
        <v>0</v>
      </c>
      <c r="R112" s="129">
        <v>0</v>
      </c>
      <c r="S112" s="125">
        <v>18900</v>
      </c>
      <c r="T112" s="125">
        <v>1113</v>
      </c>
      <c r="U112" s="125">
        <v>383</v>
      </c>
      <c r="V112" s="136">
        <v>73</v>
      </c>
      <c r="W112" s="136">
        <v>10356</v>
      </c>
      <c r="X112" s="136">
        <v>233</v>
      </c>
      <c r="Y112" s="137">
        <v>0</v>
      </c>
      <c r="Z112" s="137">
        <v>0</v>
      </c>
      <c r="AA112" s="137">
        <v>14</v>
      </c>
      <c r="AB112" s="141">
        <v>0</v>
      </c>
      <c r="AC112" s="141">
        <v>0</v>
      </c>
      <c r="AD112" s="141">
        <v>6</v>
      </c>
    </row>
    <row r="113" spans="1:30" ht="14.25">
      <c r="A113">
        <v>297</v>
      </c>
      <c r="B113" s="121" t="s">
        <v>248</v>
      </c>
      <c r="C113" s="120">
        <v>274398</v>
      </c>
      <c r="D113" s="120">
        <v>0</v>
      </c>
      <c r="E113" s="120">
        <v>15845</v>
      </c>
      <c r="F113" s="120">
        <v>2689</v>
      </c>
      <c r="G113" s="123">
        <v>1317</v>
      </c>
      <c r="H113" s="123">
        <v>51090</v>
      </c>
      <c r="I113" s="123">
        <v>17878</v>
      </c>
      <c r="J113" s="125">
        <v>0</v>
      </c>
      <c r="K113" s="125">
        <v>0</v>
      </c>
      <c r="L113" s="125">
        <v>0</v>
      </c>
      <c r="M113" s="127">
        <v>0</v>
      </c>
      <c r="N113" s="127">
        <v>0</v>
      </c>
      <c r="O113" s="127">
        <v>0</v>
      </c>
      <c r="P113" s="129">
        <v>0</v>
      </c>
      <c r="Q113" s="129">
        <v>0</v>
      </c>
      <c r="R113" s="129">
        <v>0</v>
      </c>
      <c r="S113" s="125">
        <v>852954</v>
      </c>
      <c r="T113" s="125">
        <v>50470</v>
      </c>
      <c r="U113" s="125">
        <v>2689</v>
      </c>
      <c r="V113" s="136">
        <v>14459</v>
      </c>
      <c r="W113" s="136">
        <v>432767</v>
      </c>
      <c r="X113" s="136">
        <v>23393</v>
      </c>
      <c r="Y113" s="137">
        <v>0</v>
      </c>
      <c r="Z113" s="137">
        <v>571</v>
      </c>
      <c r="AA113" s="137">
        <v>792</v>
      </c>
      <c r="AB113" s="141">
        <v>26</v>
      </c>
      <c r="AC113" s="141">
        <v>1865</v>
      </c>
      <c r="AD113" s="141">
        <v>0</v>
      </c>
    </row>
    <row r="114" spans="1:30" ht="14.25">
      <c r="A114">
        <v>300</v>
      </c>
      <c r="B114" s="121" t="s">
        <v>249</v>
      </c>
      <c r="C114" s="120">
        <v>6753</v>
      </c>
      <c r="D114" s="120">
        <v>0</v>
      </c>
      <c r="E114" s="120">
        <v>0</v>
      </c>
      <c r="F114" s="120">
        <v>0</v>
      </c>
      <c r="G114" s="123">
        <v>19</v>
      </c>
      <c r="H114" s="123">
        <v>1622</v>
      </c>
      <c r="I114" s="123">
        <v>0</v>
      </c>
      <c r="J114" s="125">
        <v>0</v>
      </c>
      <c r="K114" s="125">
        <v>0</v>
      </c>
      <c r="L114" s="125">
        <v>0</v>
      </c>
      <c r="M114" s="127">
        <v>0</v>
      </c>
      <c r="N114" s="127">
        <v>0</v>
      </c>
      <c r="O114" s="127">
        <v>0</v>
      </c>
      <c r="P114" s="129">
        <v>0</v>
      </c>
      <c r="Q114" s="129">
        <v>0</v>
      </c>
      <c r="R114" s="129">
        <v>0</v>
      </c>
      <c r="S114" s="125">
        <v>29437</v>
      </c>
      <c r="T114" s="125">
        <v>1142</v>
      </c>
      <c r="U114" s="125">
        <v>0</v>
      </c>
      <c r="V114" s="136">
        <v>34</v>
      </c>
      <c r="W114" s="136">
        <v>15764</v>
      </c>
      <c r="X114" s="136">
        <v>314</v>
      </c>
      <c r="Y114" s="137">
        <v>0</v>
      </c>
      <c r="Z114" s="137">
        <v>26</v>
      </c>
      <c r="AA114" s="137">
        <v>0</v>
      </c>
      <c r="AB114" s="141">
        <v>0</v>
      </c>
      <c r="AC114" s="141">
        <v>0</v>
      </c>
      <c r="AD114" s="141">
        <v>0</v>
      </c>
    </row>
    <row r="115" spans="1:30" ht="14.25">
      <c r="A115">
        <v>301</v>
      </c>
      <c r="B115" s="121" t="s">
        <v>250</v>
      </c>
      <c r="C115" s="120">
        <v>9965</v>
      </c>
      <c r="D115" s="120">
        <v>0</v>
      </c>
      <c r="E115" s="120">
        <v>0</v>
      </c>
      <c r="F115" s="120">
        <v>3772</v>
      </c>
      <c r="G115" s="123">
        <v>76</v>
      </c>
      <c r="H115" s="123">
        <v>527</v>
      </c>
      <c r="I115" s="123">
        <v>0</v>
      </c>
      <c r="J115" s="125">
        <v>0</v>
      </c>
      <c r="K115" s="125">
        <v>0</v>
      </c>
      <c r="L115" s="125">
        <v>0</v>
      </c>
      <c r="M115" s="127">
        <v>0</v>
      </c>
      <c r="N115" s="127">
        <v>0</v>
      </c>
      <c r="O115" s="127">
        <v>0</v>
      </c>
      <c r="P115" s="129">
        <v>43</v>
      </c>
      <c r="Q115" s="129">
        <v>43</v>
      </c>
      <c r="R115" s="129">
        <v>0</v>
      </c>
      <c r="S115" s="125">
        <v>91937</v>
      </c>
      <c r="T115" s="125">
        <v>4155</v>
      </c>
      <c r="U115" s="125">
        <v>3772</v>
      </c>
      <c r="V115" s="136">
        <v>673</v>
      </c>
      <c r="W115" s="136">
        <v>51678</v>
      </c>
      <c r="X115" s="136">
        <v>1218</v>
      </c>
      <c r="Y115" s="137">
        <v>0</v>
      </c>
      <c r="Z115" s="137">
        <v>8</v>
      </c>
      <c r="AA115" s="137">
        <v>0</v>
      </c>
      <c r="AB115" s="141">
        <v>33</v>
      </c>
      <c r="AC115" s="141">
        <v>33</v>
      </c>
      <c r="AD115" s="141">
        <v>0</v>
      </c>
    </row>
    <row r="116" spans="1:30" ht="14.25">
      <c r="A116">
        <v>304</v>
      </c>
      <c r="B116" s="121" t="s">
        <v>251</v>
      </c>
      <c r="C116" s="120">
        <v>1761</v>
      </c>
      <c r="D116" s="120">
        <v>0</v>
      </c>
      <c r="E116" s="120">
        <v>0</v>
      </c>
      <c r="F116" s="120">
        <v>0</v>
      </c>
      <c r="G116" s="123">
        <v>0</v>
      </c>
      <c r="H116" s="123">
        <v>384</v>
      </c>
      <c r="I116" s="123">
        <v>20</v>
      </c>
      <c r="J116" s="125">
        <v>0</v>
      </c>
      <c r="K116" s="125">
        <v>0</v>
      </c>
      <c r="L116" s="125">
        <v>0</v>
      </c>
      <c r="M116" s="127">
        <v>0</v>
      </c>
      <c r="N116" s="127">
        <v>0</v>
      </c>
      <c r="O116" s="127">
        <v>0</v>
      </c>
      <c r="P116" s="129">
        <v>0</v>
      </c>
      <c r="Q116" s="129">
        <v>0</v>
      </c>
      <c r="R116" s="129">
        <v>0</v>
      </c>
      <c r="S116" s="125">
        <v>7661</v>
      </c>
      <c r="T116" s="125">
        <v>271</v>
      </c>
      <c r="U116" s="125">
        <v>0</v>
      </c>
      <c r="V116" s="136">
        <v>67</v>
      </c>
      <c r="W116" s="136">
        <v>4465</v>
      </c>
      <c r="X116" s="136">
        <v>86</v>
      </c>
      <c r="Y116" s="137">
        <v>0</v>
      </c>
      <c r="Z116" s="137">
        <v>9</v>
      </c>
      <c r="AA116" s="137">
        <v>0</v>
      </c>
      <c r="AB116" s="141">
        <v>0</v>
      </c>
      <c r="AC116" s="141">
        <v>0</v>
      </c>
      <c r="AD116" s="141">
        <v>0</v>
      </c>
    </row>
    <row r="117" spans="1:30" ht="14.25">
      <c r="A117">
        <v>305</v>
      </c>
      <c r="B117" s="121" t="s">
        <v>252</v>
      </c>
      <c r="C117" s="120">
        <v>38571</v>
      </c>
      <c r="D117" s="120">
        <v>0</v>
      </c>
      <c r="E117" s="120">
        <v>497</v>
      </c>
      <c r="F117" s="120">
        <v>0</v>
      </c>
      <c r="G117" s="123">
        <v>333</v>
      </c>
      <c r="H117" s="123">
        <v>10743</v>
      </c>
      <c r="I117" s="123">
        <v>0</v>
      </c>
      <c r="J117" s="125">
        <v>0</v>
      </c>
      <c r="K117" s="125">
        <v>0</v>
      </c>
      <c r="L117" s="125">
        <v>0</v>
      </c>
      <c r="M117" s="127">
        <v>0</v>
      </c>
      <c r="N117" s="127">
        <v>0</v>
      </c>
      <c r="O117" s="127">
        <v>0</v>
      </c>
      <c r="P117" s="129">
        <v>0</v>
      </c>
      <c r="Q117" s="129">
        <v>0</v>
      </c>
      <c r="R117" s="129">
        <v>0</v>
      </c>
      <c r="S117" s="125">
        <v>132424</v>
      </c>
      <c r="T117" s="125">
        <v>5147</v>
      </c>
      <c r="U117" s="125">
        <v>0</v>
      </c>
      <c r="V117" s="136">
        <v>1838</v>
      </c>
      <c r="W117" s="136">
        <v>73615</v>
      </c>
      <c r="X117" s="136">
        <v>1077</v>
      </c>
      <c r="Y117" s="137">
        <v>0</v>
      </c>
      <c r="Z117" s="137">
        <v>380</v>
      </c>
      <c r="AA117" s="137">
        <v>0</v>
      </c>
      <c r="AB117" s="141">
        <v>0</v>
      </c>
      <c r="AC117" s="141">
        <v>0</v>
      </c>
      <c r="AD117" s="141">
        <v>0</v>
      </c>
    </row>
    <row r="118" spans="1:30" ht="14.25">
      <c r="A118">
        <v>309</v>
      </c>
      <c r="B118" s="121" t="s">
        <v>312</v>
      </c>
      <c r="C118" s="120">
        <v>12051</v>
      </c>
      <c r="D118" s="120">
        <v>0</v>
      </c>
      <c r="E118" s="120">
        <v>0</v>
      </c>
      <c r="F118" s="120">
        <v>0</v>
      </c>
      <c r="G118" s="123">
        <v>227</v>
      </c>
      <c r="H118" s="123">
        <v>310</v>
      </c>
      <c r="I118" s="123">
        <v>0</v>
      </c>
      <c r="J118" s="125">
        <v>0</v>
      </c>
      <c r="K118" s="125">
        <v>0</v>
      </c>
      <c r="L118" s="125">
        <v>0</v>
      </c>
      <c r="M118" s="127">
        <v>0</v>
      </c>
      <c r="N118" s="127">
        <v>0</v>
      </c>
      <c r="O118" s="127">
        <v>0</v>
      </c>
      <c r="P118" s="129">
        <v>0</v>
      </c>
      <c r="Q118" s="129">
        <v>0</v>
      </c>
      <c r="R118" s="129">
        <v>0</v>
      </c>
      <c r="S118" s="125">
        <v>51511</v>
      </c>
      <c r="T118" s="125">
        <v>1733</v>
      </c>
      <c r="U118" s="125">
        <v>0</v>
      </c>
      <c r="V118" s="136">
        <v>636</v>
      </c>
      <c r="W118" s="136">
        <v>27537</v>
      </c>
      <c r="X118" s="136">
        <v>523</v>
      </c>
      <c r="Y118" s="137">
        <v>0</v>
      </c>
      <c r="Z118" s="137">
        <v>23</v>
      </c>
      <c r="AA118" s="137">
        <v>0</v>
      </c>
      <c r="AB118" s="141">
        <v>0</v>
      </c>
      <c r="AC118" s="141">
        <v>0</v>
      </c>
      <c r="AD118" s="141">
        <v>0</v>
      </c>
    </row>
    <row r="119" spans="1:30" ht="14.25">
      <c r="A119">
        <v>312</v>
      </c>
      <c r="B119" s="121" t="s">
        <v>253</v>
      </c>
      <c r="C119" s="120">
        <v>2395</v>
      </c>
      <c r="D119" s="120">
        <v>0</v>
      </c>
      <c r="E119" s="120">
        <v>0</v>
      </c>
      <c r="F119" s="120">
        <v>174</v>
      </c>
      <c r="G119" s="123">
        <v>52</v>
      </c>
      <c r="H119" s="123">
        <v>65</v>
      </c>
      <c r="I119" s="123">
        <v>0</v>
      </c>
      <c r="J119" s="125">
        <v>0</v>
      </c>
      <c r="K119" s="125">
        <v>0</v>
      </c>
      <c r="L119" s="125">
        <v>0</v>
      </c>
      <c r="M119" s="127">
        <v>0</v>
      </c>
      <c r="N119" s="127">
        <v>0</v>
      </c>
      <c r="O119" s="127">
        <v>0</v>
      </c>
      <c r="P119" s="129">
        <v>0</v>
      </c>
      <c r="Q119" s="129">
        <v>6</v>
      </c>
      <c r="R119" s="129">
        <v>0</v>
      </c>
      <c r="S119" s="125">
        <v>11004</v>
      </c>
      <c r="T119" s="125">
        <v>523</v>
      </c>
      <c r="U119" s="125">
        <v>174</v>
      </c>
      <c r="V119" s="136">
        <v>130</v>
      </c>
      <c r="W119" s="136">
        <v>5944</v>
      </c>
      <c r="X119" s="136">
        <v>119</v>
      </c>
      <c r="Y119" s="137">
        <v>0</v>
      </c>
      <c r="Z119" s="137">
        <v>0</v>
      </c>
      <c r="AA119" s="137">
        <v>0</v>
      </c>
      <c r="AB119" s="141">
        <v>3</v>
      </c>
      <c r="AC119" s="141">
        <v>9</v>
      </c>
      <c r="AD119" s="141">
        <v>0</v>
      </c>
    </row>
    <row r="120" spans="1:30" ht="14.25">
      <c r="A120">
        <v>316</v>
      </c>
      <c r="B120" s="121" t="s">
        <v>254</v>
      </c>
      <c r="C120" s="120">
        <v>5627</v>
      </c>
      <c r="D120" s="120">
        <v>0</v>
      </c>
      <c r="E120" s="120">
        <v>0</v>
      </c>
      <c r="F120" s="120">
        <v>0</v>
      </c>
      <c r="G120" s="123">
        <v>0</v>
      </c>
      <c r="H120" s="123">
        <v>213</v>
      </c>
      <c r="I120" s="123">
        <v>0</v>
      </c>
      <c r="J120" s="125">
        <v>0</v>
      </c>
      <c r="K120" s="125">
        <v>0</v>
      </c>
      <c r="L120" s="125">
        <v>0</v>
      </c>
      <c r="M120" s="127">
        <v>0</v>
      </c>
      <c r="N120" s="127">
        <v>0</v>
      </c>
      <c r="O120" s="127">
        <v>0</v>
      </c>
      <c r="P120" s="129">
        <v>0</v>
      </c>
      <c r="Q120" s="129">
        <v>0</v>
      </c>
      <c r="R120" s="129">
        <v>0</v>
      </c>
      <c r="S120" s="125">
        <v>29466</v>
      </c>
      <c r="T120" s="125">
        <v>1304</v>
      </c>
      <c r="U120" s="125">
        <v>0</v>
      </c>
      <c r="V120" s="136">
        <v>175</v>
      </c>
      <c r="W120" s="136">
        <v>16098</v>
      </c>
      <c r="X120" s="136">
        <v>422</v>
      </c>
      <c r="Y120" s="137">
        <v>0</v>
      </c>
      <c r="Z120" s="137">
        <v>0</v>
      </c>
      <c r="AA120" s="137">
        <v>0</v>
      </c>
      <c r="AB120" s="141">
        <v>0</v>
      </c>
      <c r="AC120" s="141">
        <v>0</v>
      </c>
      <c r="AD120" s="141">
        <v>0</v>
      </c>
    </row>
    <row r="121" spans="1:30" ht="14.25">
      <c r="A121">
        <v>317</v>
      </c>
      <c r="B121" s="121" t="s">
        <v>255</v>
      </c>
      <c r="C121" s="120">
        <v>3867</v>
      </c>
      <c r="D121" s="120">
        <v>0</v>
      </c>
      <c r="E121" s="120">
        <v>0</v>
      </c>
      <c r="F121" s="120">
        <v>0</v>
      </c>
      <c r="G121" s="123">
        <v>58</v>
      </c>
      <c r="H121" s="123">
        <v>1701</v>
      </c>
      <c r="I121" s="123">
        <v>0</v>
      </c>
      <c r="J121" s="125">
        <v>0</v>
      </c>
      <c r="K121" s="125">
        <v>0</v>
      </c>
      <c r="L121" s="125">
        <v>0</v>
      </c>
      <c r="M121" s="127">
        <v>0</v>
      </c>
      <c r="N121" s="127">
        <v>0</v>
      </c>
      <c r="O121" s="127">
        <v>0</v>
      </c>
      <c r="P121" s="129">
        <v>0</v>
      </c>
      <c r="Q121" s="129">
        <v>0</v>
      </c>
      <c r="R121" s="129">
        <v>0</v>
      </c>
      <c r="S121" s="125">
        <v>21056</v>
      </c>
      <c r="T121" s="125">
        <v>506</v>
      </c>
      <c r="U121" s="125">
        <v>0</v>
      </c>
      <c r="V121" s="136">
        <v>124</v>
      </c>
      <c r="W121" s="136">
        <v>11456</v>
      </c>
      <c r="X121" s="136">
        <v>229</v>
      </c>
      <c r="Y121" s="137">
        <v>0</v>
      </c>
      <c r="Z121" s="137">
        <v>10</v>
      </c>
      <c r="AA121" s="137">
        <v>1</v>
      </c>
      <c r="AB121" s="141">
        <v>0</v>
      </c>
      <c r="AC121" s="141">
        <v>0</v>
      </c>
      <c r="AD121" s="141">
        <v>0</v>
      </c>
    </row>
    <row r="122" spans="1:30" ht="14.25">
      <c r="A122">
        <v>319</v>
      </c>
      <c r="B122" s="121" t="s">
        <v>526</v>
      </c>
      <c r="C122" s="120">
        <v>1814</v>
      </c>
      <c r="D122" s="120">
        <v>0</v>
      </c>
      <c r="E122" s="120">
        <v>0</v>
      </c>
      <c r="F122" s="120">
        <v>0</v>
      </c>
      <c r="G122" s="123">
        <v>0</v>
      </c>
      <c r="H122" s="123">
        <v>530</v>
      </c>
      <c r="I122" s="123">
        <v>0</v>
      </c>
      <c r="J122" s="125">
        <v>0</v>
      </c>
      <c r="K122" s="125">
        <v>0</v>
      </c>
      <c r="L122" s="125">
        <v>0</v>
      </c>
      <c r="M122" s="127">
        <v>0</v>
      </c>
      <c r="N122" s="127">
        <v>0</v>
      </c>
      <c r="O122" s="127">
        <v>0</v>
      </c>
      <c r="P122" s="129">
        <v>0</v>
      </c>
      <c r="Q122" s="129">
        <v>0</v>
      </c>
      <c r="R122" s="129">
        <v>0</v>
      </c>
      <c r="S122" s="125">
        <v>15702</v>
      </c>
      <c r="T122" s="125">
        <v>378</v>
      </c>
      <c r="U122" s="125">
        <v>0</v>
      </c>
      <c r="V122" s="136">
        <v>64</v>
      </c>
      <c r="W122" s="136">
        <v>9515</v>
      </c>
      <c r="X122" s="136">
        <v>269</v>
      </c>
      <c r="Y122" s="137">
        <v>0</v>
      </c>
      <c r="Z122" s="137">
        <v>12</v>
      </c>
      <c r="AA122" s="137">
        <v>0</v>
      </c>
      <c r="AB122" s="141">
        <v>0</v>
      </c>
      <c r="AC122" s="141">
        <v>0</v>
      </c>
      <c r="AD122" s="141">
        <v>0</v>
      </c>
    </row>
    <row r="123" spans="1:30" ht="14.25">
      <c r="A123">
        <v>320</v>
      </c>
      <c r="B123" s="121" t="s">
        <v>223</v>
      </c>
      <c r="C123" s="120">
        <v>22887</v>
      </c>
      <c r="D123" s="120">
        <v>0</v>
      </c>
      <c r="E123" s="120">
        <v>0</v>
      </c>
      <c r="F123" s="120">
        <v>2477</v>
      </c>
      <c r="G123" s="123">
        <v>191</v>
      </c>
      <c r="H123" s="123">
        <v>5457</v>
      </c>
      <c r="I123" s="123">
        <v>0</v>
      </c>
      <c r="J123" s="125">
        <v>0</v>
      </c>
      <c r="K123" s="125">
        <v>0</v>
      </c>
      <c r="L123" s="125">
        <v>0</v>
      </c>
      <c r="M123" s="127">
        <v>0</v>
      </c>
      <c r="N123" s="127">
        <v>0</v>
      </c>
      <c r="O123" s="127">
        <v>0</v>
      </c>
      <c r="P123" s="129">
        <v>0</v>
      </c>
      <c r="Q123" s="129">
        <v>0</v>
      </c>
      <c r="R123" s="129">
        <v>0</v>
      </c>
      <c r="S123" s="125">
        <v>77835</v>
      </c>
      <c r="T123" s="125">
        <v>2627</v>
      </c>
      <c r="U123" s="125">
        <v>2477</v>
      </c>
      <c r="V123" s="136">
        <v>1318</v>
      </c>
      <c r="W123" s="136">
        <v>43206</v>
      </c>
      <c r="X123" s="136">
        <v>788</v>
      </c>
      <c r="Y123" s="137">
        <v>0</v>
      </c>
      <c r="Z123" s="137">
        <v>67</v>
      </c>
      <c r="AA123" s="137">
        <v>27</v>
      </c>
      <c r="AB123" s="141">
        <v>51</v>
      </c>
      <c r="AC123" s="141">
        <v>1037</v>
      </c>
      <c r="AD123" s="141">
        <v>5</v>
      </c>
    </row>
    <row r="124" spans="1:30" ht="14.25">
      <c r="A124">
        <v>322</v>
      </c>
      <c r="B124" s="121" t="s">
        <v>129</v>
      </c>
      <c r="C124" s="120">
        <v>15104</v>
      </c>
      <c r="D124" s="120">
        <v>0</v>
      </c>
      <c r="E124" s="120">
        <v>120</v>
      </c>
      <c r="F124" s="120">
        <v>0</v>
      </c>
      <c r="G124" s="123">
        <v>6</v>
      </c>
      <c r="H124" s="123">
        <v>3426</v>
      </c>
      <c r="I124" s="123">
        <v>4</v>
      </c>
      <c r="J124" s="125">
        <v>0</v>
      </c>
      <c r="K124" s="125">
        <v>0</v>
      </c>
      <c r="L124" s="125">
        <v>0</v>
      </c>
      <c r="M124" s="127">
        <v>0</v>
      </c>
      <c r="N124" s="127">
        <v>0</v>
      </c>
      <c r="O124" s="127">
        <v>0</v>
      </c>
      <c r="P124" s="129">
        <v>0</v>
      </c>
      <c r="Q124" s="129">
        <v>0</v>
      </c>
      <c r="R124" s="129">
        <v>0</v>
      </c>
      <c r="S124" s="125">
        <v>56490</v>
      </c>
      <c r="T124" s="125">
        <v>2765</v>
      </c>
      <c r="U124" s="125">
        <v>0</v>
      </c>
      <c r="V124" s="136">
        <v>250</v>
      </c>
      <c r="W124" s="136">
        <v>29419</v>
      </c>
      <c r="X124" s="136">
        <v>549</v>
      </c>
      <c r="Y124" s="137">
        <v>0</v>
      </c>
      <c r="Z124" s="137">
        <v>215</v>
      </c>
      <c r="AA124" s="137">
        <v>4</v>
      </c>
      <c r="AB124" s="141">
        <v>0</v>
      </c>
      <c r="AC124" s="141">
        <v>0</v>
      </c>
      <c r="AD124" s="141">
        <v>0</v>
      </c>
    </row>
    <row r="125" spans="1:30" ht="14.25">
      <c r="A125">
        <v>398</v>
      </c>
      <c r="B125" s="121" t="s">
        <v>256</v>
      </c>
      <c r="C125" s="120">
        <v>203540</v>
      </c>
      <c r="D125" s="120">
        <v>0</v>
      </c>
      <c r="E125" s="120">
        <v>475</v>
      </c>
      <c r="F125" s="120">
        <v>0</v>
      </c>
      <c r="G125" s="123">
        <v>3963</v>
      </c>
      <c r="H125" s="123">
        <v>57565</v>
      </c>
      <c r="I125" s="123">
        <v>0</v>
      </c>
      <c r="J125" s="125">
        <v>0</v>
      </c>
      <c r="K125" s="125">
        <v>0</v>
      </c>
      <c r="L125" s="125">
        <v>0</v>
      </c>
      <c r="M125" s="127">
        <v>0</v>
      </c>
      <c r="N125" s="127">
        <v>0</v>
      </c>
      <c r="O125" s="127">
        <v>0</v>
      </c>
      <c r="P125" s="129">
        <v>0</v>
      </c>
      <c r="Q125" s="129">
        <v>0</v>
      </c>
      <c r="R125" s="129">
        <v>0</v>
      </c>
      <c r="S125" s="125">
        <v>735515</v>
      </c>
      <c r="T125" s="125">
        <v>37728</v>
      </c>
      <c r="U125" s="125">
        <v>0</v>
      </c>
      <c r="V125" s="136">
        <v>26729</v>
      </c>
      <c r="W125" s="136">
        <v>392945</v>
      </c>
      <c r="X125" s="136">
        <v>8602</v>
      </c>
      <c r="Y125" s="137">
        <v>1</v>
      </c>
      <c r="Z125" s="137">
        <v>990</v>
      </c>
      <c r="AA125" s="137">
        <v>0</v>
      </c>
      <c r="AB125" s="141">
        <v>0</v>
      </c>
      <c r="AC125" s="141">
        <v>0</v>
      </c>
      <c r="AD125" s="141">
        <v>0</v>
      </c>
    </row>
    <row r="126" spans="1:30" ht="14.25">
      <c r="A126">
        <v>399</v>
      </c>
      <c r="B126" s="121" t="s">
        <v>257</v>
      </c>
      <c r="C126" s="120">
        <v>9725</v>
      </c>
      <c r="D126" s="120">
        <v>0</v>
      </c>
      <c r="E126" s="120">
        <v>0</v>
      </c>
      <c r="F126" s="120">
        <v>0</v>
      </c>
      <c r="G126" s="123">
        <v>9</v>
      </c>
      <c r="H126" s="123">
        <v>2971</v>
      </c>
      <c r="I126" s="123">
        <v>0</v>
      </c>
      <c r="J126" s="125">
        <v>0</v>
      </c>
      <c r="K126" s="125">
        <v>0</v>
      </c>
      <c r="L126" s="125">
        <v>0</v>
      </c>
      <c r="M126" s="127">
        <v>0</v>
      </c>
      <c r="N126" s="127">
        <v>0</v>
      </c>
      <c r="O126" s="127">
        <v>0</v>
      </c>
      <c r="P126" s="129">
        <v>0</v>
      </c>
      <c r="Q126" s="129">
        <v>0</v>
      </c>
      <c r="R126" s="129">
        <v>0</v>
      </c>
      <c r="S126" s="125">
        <v>52070</v>
      </c>
      <c r="T126" s="125">
        <v>1976</v>
      </c>
      <c r="U126" s="125">
        <v>0</v>
      </c>
      <c r="V126" s="136">
        <v>100</v>
      </c>
      <c r="W126" s="136">
        <v>30048</v>
      </c>
      <c r="X126" s="136">
        <v>583</v>
      </c>
      <c r="Y126" s="137">
        <v>0</v>
      </c>
      <c r="Z126" s="137">
        <v>68</v>
      </c>
      <c r="AA126" s="137">
        <v>0</v>
      </c>
      <c r="AB126" s="141">
        <v>0</v>
      </c>
      <c r="AC126" s="141">
        <v>0</v>
      </c>
      <c r="AD126" s="141">
        <v>0</v>
      </c>
    </row>
    <row r="127" spans="1:30" ht="14.25">
      <c r="A127">
        <v>400</v>
      </c>
      <c r="B127" s="121" t="s">
        <v>258</v>
      </c>
      <c r="C127" s="120">
        <v>12327</v>
      </c>
      <c r="D127" s="120">
        <v>0</v>
      </c>
      <c r="E127" s="120">
        <v>0</v>
      </c>
      <c r="F127" s="120">
        <v>2641</v>
      </c>
      <c r="G127" s="123">
        <v>399</v>
      </c>
      <c r="H127" s="123">
        <v>5084</v>
      </c>
      <c r="I127" s="123">
        <v>80</v>
      </c>
      <c r="J127" s="125">
        <v>0</v>
      </c>
      <c r="K127" s="125">
        <v>0</v>
      </c>
      <c r="L127" s="125">
        <v>0</v>
      </c>
      <c r="M127" s="127">
        <v>0</v>
      </c>
      <c r="N127" s="127">
        <v>0</v>
      </c>
      <c r="O127" s="127">
        <v>0</v>
      </c>
      <c r="P127" s="129">
        <v>0</v>
      </c>
      <c r="Q127" s="129">
        <v>0</v>
      </c>
      <c r="R127" s="129">
        <v>0</v>
      </c>
      <c r="S127" s="125">
        <v>58203</v>
      </c>
      <c r="T127" s="125">
        <v>2250</v>
      </c>
      <c r="U127" s="125">
        <v>2640</v>
      </c>
      <c r="V127" s="136">
        <v>549</v>
      </c>
      <c r="W127" s="136">
        <v>32072</v>
      </c>
      <c r="X127" s="136">
        <v>644</v>
      </c>
      <c r="Y127" s="137">
        <v>23</v>
      </c>
      <c r="Z127" s="137">
        <v>271</v>
      </c>
      <c r="AA127" s="137">
        <v>15</v>
      </c>
      <c r="AB127" s="141">
        <v>36</v>
      </c>
      <c r="AC127" s="141">
        <v>820</v>
      </c>
      <c r="AD127" s="141">
        <v>2</v>
      </c>
    </row>
    <row r="128" spans="1:30" ht="14.25">
      <c r="A128">
        <v>402</v>
      </c>
      <c r="B128" s="121" t="s">
        <v>260</v>
      </c>
      <c r="C128" s="120">
        <v>14370</v>
      </c>
      <c r="D128" s="120">
        <v>0</v>
      </c>
      <c r="E128" s="120">
        <v>0</v>
      </c>
      <c r="F128" s="120">
        <v>0</v>
      </c>
      <c r="G128" s="123">
        <v>116</v>
      </c>
      <c r="H128" s="123">
        <v>5277</v>
      </c>
      <c r="I128" s="123">
        <v>0</v>
      </c>
      <c r="J128" s="125">
        <v>0</v>
      </c>
      <c r="K128" s="125">
        <v>0</v>
      </c>
      <c r="L128" s="125">
        <v>0</v>
      </c>
      <c r="M128" s="127">
        <v>0</v>
      </c>
      <c r="N128" s="127">
        <v>0</v>
      </c>
      <c r="O128" s="127">
        <v>0</v>
      </c>
      <c r="P128" s="129">
        <v>0</v>
      </c>
      <c r="Q128" s="129">
        <v>0</v>
      </c>
      <c r="R128" s="129">
        <v>0</v>
      </c>
      <c r="S128" s="125">
        <v>73310</v>
      </c>
      <c r="T128" s="125">
        <v>2989</v>
      </c>
      <c r="U128" s="125">
        <v>0</v>
      </c>
      <c r="V128" s="136">
        <v>1119</v>
      </c>
      <c r="W128" s="136">
        <v>44118</v>
      </c>
      <c r="X128" s="136">
        <v>667</v>
      </c>
      <c r="Y128" s="137">
        <v>0</v>
      </c>
      <c r="Z128" s="137">
        <v>801</v>
      </c>
      <c r="AA128" s="137">
        <v>0</v>
      </c>
      <c r="AB128" s="141">
        <v>0</v>
      </c>
      <c r="AC128" s="141">
        <v>0</v>
      </c>
      <c r="AD128" s="141">
        <v>0</v>
      </c>
    </row>
    <row r="129" spans="1:30" ht="14.25">
      <c r="A129">
        <v>403</v>
      </c>
      <c r="B129" s="121" t="s">
        <v>261</v>
      </c>
      <c r="C129" s="120">
        <v>2653</v>
      </c>
      <c r="D129" s="120">
        <v>0</v>
      </c>
      <c r="E129" s="120">
        <v>0</v>
      </c>
      <c r="F129" s="120">
        <v>99</v>
      </c>
      <c r="G129" s="123">
        <v>0</v>
      </c>
      <c r="H129" s="123">
        <v>3</v>
      </c>
      <c r="I129" s="123">
        <v>0</v>
      </c>
      <c r="J129" s="125">
        <v>0</v>
      </c>
      <c r="K129" s="125">
        <v>0</v>
      </c>
      <c r="L129" s="125">
        <v>0</v>
      </c>
      <c r="M129" s="127">
        <v>0</v>
      </c>
      <c r="N129" s="127">
        <v>0</v>
      </c>
      <c r="O129" s="127">
        <v>0</v>
      </c>
      <c r="P129" s="129">
        <v>0</v>
      </c>
      <c r="Q129" s="129">
        <v>0</v>
      </c>
      <c r="R129" s="129">
        <v>0</v>
      </c>
      <c r="S129" s="125">
        <v>21383</v>
      </c>
      <c r="T129" s="125">
        <v>1120</v>
      </c>
      <c r="U129" s="125">
        <v>100</v>
      </c>
      <c r="V129" s="136">
        <v>53</v>
      </c>
      <c r="W129" s="136">
        <v>12565</v>
      </c>
      <c r="X129" s="136">
        <v>273</v>
      </c>
      <c r="Y129" s="137">
        <v>0</v>
      </c>
      <c r="Z129" s="137">
        <v>0</v>
      </c>
      <c r="AA129" s="137">
        <v>0</v>
      </c>
      <c r="AB129" s="141">
        <v>0</v>
      </c>
      <c r="AC129" s="141">
        <v>2</v>
      </c>
      <c r="AD129" s="141">
        <v>0</v>
      </c>
    </row>
    <row r="130" spans="1:30" ht="14.25">
      <c r="A130">
        <v>405</v>
      </c>
      <c r="B130" s="121" t="s">
        <v>262</v>
      </c>
      <c r="C130" s="120">
        <v>74391</v>
      </c>
      <c r="D130" s="120">
        <v>0</v>
      </c>
      <c r="E130" s="120">
        <v>21631</v>
      </c>
      <c r="F130" s="120">
        <v>0</v>
      </c>
      <c r="G130" s="123">
        <v>0</v>
      </c>
      <c r="H130" s="123">
        <v>331</v>
      </c>
      <c r="I130" s="123">
        <v>4556</v>
      </c>
      <c r="J130" s="125">
        <v>0</v>
      </c>
      <c r="K130" s="125">
        <v>0</v>
      </c>
      <c r="L130" s="125">
        <v>0</v>
      </c>
      <c r="M130" s="127">
        <v>0</v>
      </c>
      <c r="N130" s="127">
        <v>0</v>
      </c>
      <c r="O130" s="127">
        <v>0</v>
      </c>
      <c r="P130" s="129">
        <v>0</v>
      </c>
      <c r="Q130" s="129">
        <v>0</v>
      </c>
      <c r="R130" s="129">
        <v>0</v>
      </c>
      <c r="S130" s="125">
        <v>477642</v>
      </c>
      <c r="T130" s="125">
        <v>22089</v>
      </c>
      <c r="U130" s="125">
        <v>0</v>
      </c>
      <c r="V130" s="136">
        <v>2326</v>
      </c>
      <c r="W130" s="136">
        <v>243233</v>
      </c>
      <c r="X130" s="136">
        <v>10156</v>
      </c>
      <c r="Y130" s="137">
        <v>0</v>
      </c>
      <c r="Z130" s="137">
        <v>7</v>
      </c>
      <c r="AA130" s="137">
        <v>430</v>
      </c>
      <c r="AB130" s="141">
        <v>0</v>
      </c>
      <c r="AC130" s="141">
        <v>0</v>
      </c>
      <c r="AD130" s="141">
        <v>0</v>
      </c>
    </row>
    <row r="131" spans="1:30" ht="14.25">
      <c r="A131">
        <v>407</v>
      </c>
      <c r="B131" s="121" t="s">
        <v>259</v>
      </c>
      <c r="C131" s="120">
        <v>4972</v>
      </c>
      <c r="D131" s="120">
        <v>0</v>
      </c>
      <c r="E131" s="120">
        <v>8</v>
      </c>
      <c r="F131" s="120">
        <v>0</v>
      </c>
      <c r="G131" s="123">
        <v>0</v>
      </c>
      <c r="H131" s="123">
        <v>546</v>
      </c>
      <c r="I131" s="123">
        <v>0</v>
      </c>
      <c r="J131" s="125">
        <v>0</v>
      </c>
      <c r="K131" s="125">
        <v>0</v>
      </c>
      <c r="L131" s="125">
        <v>0</v>
      </c>
      <c r="M131" s="127">
        <v>0</v>
      </c>
      <c r="N131" s="127">
        <v>0</v>
      </c>
      <c r="O131" s="127">
        <v>0</v>
      </c>
      <c r="P131" s="129">
        <v>0</v>
      </c>
      <c r="Q131" s="129">
        <v>0</v>
      </c>
      <c r="R131" s="129">
        <v>0</v>
      </c>
      <c r="S131" s="125">
        <v>19900</v>
      </c>
      <c r="T131" s="125">
        <v>733</v>
      </c>
      <c r="U131" s="125">
        <v>0</v>
      </c>
      <c r="V131" s="136">
        <v>0</v>
      </c>
      <c r="W131" s="136">
        <v>9686</v>
      </c>
      <c r="X131" s="136">
        <v>268</v>
      </c>
      <c r="Y131" s="137">
        <v>0</v>
      </c>
      <c r="Z131" s="137">
        <v>32</v>
      </c>
      <c r="AA131" s="137">
        <v>0</v>
      </c>
      <c r="AB131" s="141">
        <v>0</v>
      </c>
      <c r="AC131" s="141">
        <v>0</v>
      </c>
      <c r="AD131" s="141">
        <v>0</v>
      </c>
    </row>
    <row r="132" spans="1:30" ht="14.25">
      <c r="A132">
        <v>408</v>
      </c>
      <c r="B132" s="121" t="s">
        <v>263</v>
      </c>
      <c r="C132" s="120">
        <v>13764</v>
      </c>
      <c r="D132" s="120">
        <v>0</v>
      </c>
      <c r="E132" s="120">
        <v>421</v>
      </c>
      <c r="F132" s="120">
        <v>7388</v>
      </c>
      <c r="G132" s="123">
        <v>45</v>
      </c>
      <c r="H132" s="123">
        <v>5045</v>
      </c>
      <c r="I132" s="123">
        <v>0</v>
      </c>
      <c r="J132" s="125">
        <v>0</v>
      </c>
      <c r="K132" s="125">
        <v>0</v>
      </c>
      <c r="L132" s="125">
        <v>0</v>
      </c>
      <c r="M132" s="127">
        <v>0</v>
      </c>
      <c r="N132" s="127">
        <v>0</v>
      </c>
      <c r="O132" s="127">
        <v>0</v>
      </c>
      <c r="P132" s="129">
        <v>0</v>
      </c>
      <c r="Q132" s="129">
        <v>0</v>
      </c>
      <c r="R132" s="129">
        <v>0</v>
      </c>
      <c r="S132" s="125">
        <v>91064</v>
      </c>
      <c r="T132" s="125">
        <v>4590</v>
      </c>
      <c r="U132" s="125">
        <v>7390</v>
      </c>
      <c r="V132" s="136">
        <v>108</v>
      </c>
      <c r="W132" s="136">
        <v>49090</v>
      </c>
      <c r="X132" s="136">
        <v>1285</v>
      </c>
      <c r="Y132" s="137">
        <v>0</v>
      </c>
      <c r="Z132" s="137">
        <v>188</v>
      </c>
      <c r="AA132" s="137">
        <v>1</v>
      </c>
      <c r="AB132" s="141">
        <v>1</v>
      </c>
      <c r="AC132" s="141">
        <v>1658</v>
      </c>
      <c r="AD132" s="141">
        <v>92</v>
      </c>
    </row>
    <row r="133" spans="1:30" ht="14.25">
      <c r="A133">
        <v>410</v>
      </c>
      <c r="B133" s="121" t="s">
        <v>264</v>
      </c>
      <c r="C133" s="120">
        <v>27149</v>
      </c>
      <c r="D133" s="120">
        <v>0</v>
      </c>
      <c r="E133" s="120">
        <v>0</v>
      </c>
      <c r="F133" s="120">
        <v>907</v>
      </c>
      <c r="G133" s="123">
        <v>63</v>
      </c>
      <c r="H133" s="123">
        <v>4108</v>
      </c>
      <c r="I133" s="123">
        <v>0</v>
      </c>
      <c r="J133" s="125">
        <v>0</v>
      </c>
      <c r="K133" s="125">
        <v>0</v>
      </c>
      <c r="L133" s="125">
        <v>0</v>
      </c>
      <c r="M133" s="127">
        <v>0</v>
      </c>
      <c r="N133" s="127">
        <v>0</v>
      </c>
      <c r="O133" s="127">
        <v>0</v>
      </c>
      <c r="P133" s="129">
        <v>0</v>
      </c>
      <c r="Q133" s="129">
        <v>0</v>
      </c>
      <c r="R133" s="129">
        <v>0</v>
      </c>
      <c r="S133" s="125">
        <v>120717</v>
      </c>
      <c r="T133" s="125">
        <v>7411</v>
      </c>
      <c r="U133" s="125">
        <v>907</v>
      </c>
      <c r="V133" s="136">
        <v>1130</v>
      </c>
      <c r="W133" s="136">
        <v>59072</v>
      </c>
      <c r="X133" s="136">
        <v>1536</v>
      </c>
      <c r="Y133" s="137">
        <v>0</v>
      </c>
      <c r="Z133" s="137">
        <v>35</v>
      </c>
      <c r="AA133" s="137">
        <v>0</v>
      </c>
      <c r="AB133" s="141">
        <v>0</v>
      </c>
      <c r="AC133" s="141">
        <v>127</v>
      </c>
      <c r="AD133" s="141">
        <v>0</v>
      </c>
    </row>
    <row r="134" spans="1:30" ht="14.25">
      <c r="A134">
        <v>416</v>
      </c>
      <c r="B134" s="121" t="s">
        <v>265</v>
      </c>
      <c r="C134" s="120">
        <v>3155</v>
      </c>
      <c r="D134" s="120">
        <v>0</v>
      </c>
      <c r="E134" s="120">
        <v>0</v>
      </c>
      <c r="F134" s="120">
        <v>0</v>
      </c>
      <c r="G134" s="123">
        <v>0</v>
      </c>
      <c r="H134" s="123">
        <v>169</v>
      </c>
      <c r="I134" s="123">
        <v>0</v>
      </c>
      <c r="J134" s="125">
        <v>0</v>
      </c>
      <c r="K134" s="125">
        <v>0</v>
      </c>
      <c r="L134" s="125">
        <v>0</v>
      </c>
      <c r="M134" s="127">
        <v>0</v>
      </c>
      <c r="N134" s="127">
        <v>0</v>
      </c>
      <c r="O134" s="127">
        <v>0</v>
      </c>
      <c r="P134" s="129">
        <v>0</v>
      </c>
      <c r="Q134" s="129">
        <v>0</v>
      </c>
      <c r="R134" s="129">
        <v>0</v>
      </c>
      <c r="S134" s="125">
        <v>18708</v>
      </c>
      <c r="T134" s="125">
        <v>629</v>
      </c>
      <c r="U134" s="125">
        <v>0</v>
      </c>
      <c r="V134" s="136">
        <v>71</v>
      </c>
      <c r="W134" s="136">
        <v>9278</v>
      </c>
      <c r="X134" s="136">
        <v>276</v>
      </c>
      <c r="Y134" s="137">
        <v>0</v>
      </c>
      <c r="Z134" s="137">
        <v>0</v>
      </c>
      <c r="AA134" s="137">
        <v>10</v>
      </c>
      <c r="AB134" s="141">
        <v>0</v>
      </c>
      <c r="AC134" s="141">
        <v>0</v>
      </c>
      <c r="AD134" s="141">
        <v>0</v>
      </c>
    </row>
    <row r="135" spans="1:30" ht="14.25">
      <c r="A135">
        <v>418</v>
      </c>
      <c r="B135" s="121" t="s">
        <v>266</v>
      </c>
      <c r="C135" s="120">
        <v>43447</v>
      </c>
      <c r="D135" s="120">
        <v>0</v>
      </c>
      <c r="E135" s="120">
        <v>420</v>
      </c>
      <c r="F135" s="120">
        <v>0</v>
      </c>
      <c r="G135" s="123">
        <v>422</v>
      </c>
      <c r="H135" s="123">
        <v>5480</v>
      </c>
      <c r="I135" s="123">
        <v>109</v>
      </c>
      <c r="J135" s="125">
        <v>0</v>
      </c>
      <c r="K135" s="125">
        <v>0</v>
      </c>
      <c r="L135" s="125">
        <v>0</v>
      </c>
      <c r="M135" s="127">
        <v>0</v>
      </c>
      <c r="N135" s="127">
        <v>0</v>
      </c>
      <c r="O135" s="127">
        <v>0</v>
      </c>
      <c r="P135" s="129">
        <v>0</v>
      </c>
      <c r="Q135" s="129">
        <v>0</v>
      </c>
      <c r="R135" s="129">
        <v>0</v>
      </c>
      <c r="S135" s="125">
        <v>151584</v>
      </c>
      <c r="T135" s="125">
        <v>10285</v>
      </c>
      <c r="U135" s="125">
        <v>0</v>
      </c>
      <c r="V135" s="136">
        <v>955</v>
      </c>
      <c r="W135" s="136">
        <v>64814</v>
      </c>
      <c r="X135" s="136">
        <v>1631</v>
      </c>
      <c r="Y135" s="137">
        <v>0</v>
      </c>
      <c r="Z135" s="137">
        <v>460</v>
      </c>
      <c r="AA135" s="137">
        <v>0</v>
      </c>
      <c r="AB135" s="141">
        <v>0</v>
      </c>
      <c r="AC135" s="141">
        <v>0</v>
      </c>
      <c r="AD135" s="141">
        <v>0</v>
      </c>
    </row>
    <row r="136" spans="1:30" ht="14.25">
      <c r="A136">
        <v>420</v>
      </c>
      <c r="B136" s="121" t="s">
        <v>267</v>
      </c>
      <c r="C136" s="120">
        <v>13956</v>
      </c>
      <c r="D136" s="120">
        <v>0</v>
      </c>
      <c r="E136" s="120">
        <v>6</v>
      </c>
      <c r="F136" s="120">
        <v>353</v>
      </c>
      <c r="G136" s="123">
        <v>39</v>
      </c>
      <c r="H136" s="123">
        <v>3405</v>
      </c>
      <c r="I136" s="123">
        <v>31</v>
      </c>
      <c r="J136" s="125">
        <v>0</v>
      </c>
      <c r="K136" s="125">
        <v>0</v>
      </c>
      <c r="L136" s="125">
        <v>0</v>
      </c>
      <c r="M136" s="127">
        <v>0</v>
      </c>
      <c r="N136" s="127">
        <v>0</v>
      </c>
      <c r="O136" s="127">
        <v>0</v>
      </c>
      <c r="P136" s="129">
        <v>0</v>
      </c>
      <c r="Q136" s="129">
        <v>0</v>
      </c>
      <c r="R136" s="129">
        <v>0</v>
      </c>
      <c r="S136" s="125">
        <v>67255</v>
      </c>
      <c r="T136" s="125">
        <v>4235</v>
      </c>
      <c r="U136" s="125">
        <v>343</v>
      </c>
      <c r="V136" s="136">
        <v>1101</v>
      </c>
      <c r="W136" s="136">
        <v>39857</v>
      </c>
      <c r="X136" s="136">
        <v>560</v>
      </c>
      <c r="Y136" s="137">
        <v>0</v>
      </c>
      <c r="Z136" s="137">
        <v>59</v>
      </c>
      <c r="AA136" s="137">
        <v>0</v>
      </c>
      <c r="AB136" s="141">
        <v>0</v>
      </c>
      <c r="AC136" s="141">
        <v>84</v>
      </c>
      <c r="AD136" s="141">
        <v>0</v>
      </c>
    </row>
    <row r="137" spans="1:30" ht="14.25">
      <c r="A137">
        <v>421</v>
      </c>
      <c r="B137" s="121" t="s">
        <v>268</v>
      </c>
      <c r="C137" s="120">
        <v>1775</v>
      </c>
      <c r="D137" s="120">
        <v>0</v>
      </c>
      <c r="E137" s="120">
        <v>0</v>
      </c>
      <c r="F137" s="120">
        <v>8</v>
      </c>
      <c r="G137" s="123">
        <v>0</v>
      </c>
      <c r="H137" s="123">
        <v>101</v>
      </c>
      <c r="I137" s="123">
        <v>0</v>
      </c>
      <c r="J137" s="125">
        <v>0</v>
      </c>
      <c r="K137" s="125">
        <v>0</v>
      </c>
      <c r="L137" s="125">
        <v>0</v>
      </c>
      <c r="M137" s="127">
        <v>0</v>
      </c>
      <c r="N137" s="127">
        <v>0</v>
      </c>
      <c r="O137" s="127">
        <v>0</v>
      </c>
      <c r="P137" s="129">
        <v>0</v>
      </c>
      <c r="Q137" s="129">
        <v>0</v>
      </c>
      <c r="R137" s="129">
        <v>0</v>
      </c>
      <c r="S137" s="125">
        <v>6922</v>
      </c>
      <c r="T137" s="125">
        <v>285</v>
      </c>
      <c r="U137" s="125">
        <v>8</v>
      </c>
      <c r="V137" s="136">
        <v>13</v>
      </c>
      <c r="W137" s="136">
        <v>3179</v>
      </c>
      <c r="X137" s="136">
        <v>135</v>
      </c>
      <c r="Y137" s="137">
        <v>0</v>
      </c>
      <c r="Z137" s="137">
        <v>60</v>
      </c>
      <c r="AA137" s="137">
        <v>5</v>
      </c>
      <c r="AB137" s="141">
        <v>0</v>
      </c>
      <c r="AC137" s="141">
        <v>0</v>
      </c>
      <c r="AD137" s="141">
        <v>0</v>
      </c>
    </row>
    <row r="138" spans="1:30" ht="14.25">
      <c r="A138">
        <v>422</v>
      </c>
      <c r="B138" s="121" t="s">
        <v>269</v>
      </c>
      <c r="C138" s="120">
        <v>22341</v>
      </c>
      <c r="D138" s="120">
        <v>0</v>
      </c>
      <c r="E138" s="120">
        <v>151</v>
      </c>
      <c r="F138" s="120">
        <v>0</v>
      </c>
      <c r="G138" s="123">
        <v>202</v>
      </c>
      <c r="H138" s="123">
        <v>7111</v>
      </c>
      <c r="I138" s="123">
        <v>0</v>
      </c>
      <c r="J138" s="125">
        <v>0</v>
      </c>
      <c r="K138" s="125">
        <v>0</v>
      </c>
      <c r="L138" s="125">
        <v>0</v>
      </c>
      <c r="M138" s="127">
        <v>0</v>
      </c>
      <c r="N138" s="127">
        <v>0</v>
      </c>
      <c r="O138" s="127">
        <v>0</v>
      </c>
      <c r="P138" s="129">
        <v>0</v>
      </c>
      <c r="Q138" s="129">
        <v>0</v>
      </c>
      <c r="R138" s="129">
        <v>0</v>
      </c>
      <c r="S138" s="125">
        <v>95094</v>
      </c>
      <c r="T138" s="125">
        <v>4696</v>
      </c>
      <c r="U138" s="125">
        <v>0</v>
      </c>
      <c r="V138" s="136">
        <v>1714</v>
      </c>
      <c r="W138" s="136">
        <v>58693</v>
      </c>
      <c r="X138" s="136">
        <v>949</v>
      </c>
      <c r="Y138" s="137">
        <v>0</v>
      </c>
      <c r="Z138" s="137">
        <v>84</v>
      </c>
      <c r="AA138" s="137">
        <v>0</v>
      </c>
      <c r="AB138" s="141">
        <v>0</v>
      </c>
      <c r="AC138" s="141">
        <v>0</v>
      </c>
      <c r="AD138" s="141">
        <v>0</v>
      </c>
    </row>
    <row r="139" spans="1:30" ht="14.25">
      <c r="A139">
        <v>423</v>
      </c>
      <c r="B139" s="121" t="s">
        <v>270</v>
      </c>
      <c r="C139" s="120">
        <v>47918</v>
      </c>
      <c r="D139" s="120">
        <v>0</v>
      </c>
      <c r="E139" s="120">
        <v>0</v>
      </c>
      <c r="F139" s="120">
        <v>2371</v>
      </c>
      <c r="G139" s="123">
        <v>419</v>
      </c>
      <c r="H139" s="123">
        <v>17163</v>
      </c>
      <c r="I139" s="123">
        <v>0</v>
      </c>
      <c r="J139" s="125">
        <v>0</v>
      </c>
      <c r="K139" s="125">
        <v>0</v>
      </c>
      <c r="L139" s="125">
        <v>0</v>
      </c>
      <c r="M139" s="127">
        <v>0</v>
      </c>
      <c r="N139" s="127">
        <v>0</v>
      </c>
      <c r="O139" s="127">
        <v>0</v>
      </c>
      <c r="P139" s="129">
        <v>0</v>
      </c>
      <c r="Q139" s="129">
        <v>0</v>
      </c>
      <c r="R139" s="129">
        <v>0</v>
      </c>
      <c r="S139" s="125">
        <v>135552</v>
      </c>
      <c r="T139" s="125">
        <v>5486</v>
      </c>
      <c r="U139" s="125">
        <v>2371</v>
      </c>
      <c r="V139" s="136">
        <v>1261</v>
      </c>
      <c r="W139" s="136">
        <v>68442</v>
      </c>
      <c r="X139" s="136">
        <v>1351</v>
      </c>
      <c r="Y139" s="137">
        <v>0</v>
      </c>
      <c r="Z139" s="137">
        <v>79</v>
      </c>
      <c r="AA139" s="137">
        <v>4</v>
      </c>
      <c r="AB139" s="141">
        <v>0</v>
      </c>
      <c r="AC139" s="141">
        <v>1887</v>
      </c>
      <c r="AD139" s="141">
        <v>0</v>
      </c>
    </row>
    <row r="140" spans="1:30" ht="14.25">
      <c r="A140">
        <v>425</v>
      </c>
      <c r="B140" s="121" t="s">
        <v>271</v>
      </c>
      <c r="C140" s="120">
        <v>16397</v>
      </c>
      <c r="D140" s="120">
        <v>0</v>
      </c>
      <c r="E140" s="120">
        <v>0</v>
      </c>
      <c r="F140" s="120">
        <v>757</v>
      </c>
      <c r="G140" s="123">
        <v>159</v>
      </c>
      <c r="H140" s="123">
        <v>3746</v>
      </c>
      <c r="I140" s="123">
        <v>0</v>
      </c>
      <c r="J140" s="125">
        <v>0</v>
      </c>
      <c r="K140" s="125">
        <v>0</v>
      </c>
      <c r="L140" s="125">
        <v>0</v>
      </c>
      <c r="M140" s="127">
        <v>0</v>
      </c>
      <c r="N140" s="127">
        <v>0</v>
      </c>
      <c r="O140" s="127">
        <v>0</v>
      </c>
      <c r="P140" s="129">
        <v>0</v>
      </c>
      <c r="Q140" s="129">
        <v>0</v>
      </c>
      <c r="R140" s="129">
        <v>0</v>
      </c>
      <c r="S140" s="125">
        <v>63998</v>
      </c>
      <c r="T140" s="125">
        <v>4043</v>
      </c>
      <c r="U140" s="125">
        <v>757</v>
      </c>
      <c r="V140" s="136">
        <v>300</v>
      </c>
      <c r="W140" s="136">
        <v>27372</v>
      </c>
      <c r="X140" s="136">
        <v>601</v>
      </c>
      <c r="Y140" s="137">
        <v>1</v>
      </c>
      <c r="Z140" s="137">
        <v>151</v>
      </c>
      <c r="AA140" s="137">
        <v>0</v>
      </c>
      <c r="AB140" s="141">
        <v>1</v>
      </c>
      <c r="AC140" s="141">
        <v>226</v>
      </c>
      <c r="AD140" s="141">
        <v>0</v>
      </c>
    </row>
    <row r="141" spans="1:30" ht="14.25">
      <c r="A141">
        <v>426</v>
      </c>
      <c r="B141" s="121" t="s">
        <v>272</v>
      </c>
      <c r="C141" s="120">
        <v>23873</v>
      </c>
      <c r="D141" s="120">
        <v>0</v>
      </c>
      <c r="E141" s="120">
        <v>0</v>
      </c>
      <c r="F141" s="120">
        <v>0</v>
      </c>
      <c r="G141" s="123">
        <v>239</v>
      </c>
      <c r="H141" s="123">
        <v>4626</v>
      </c>
      <c r="I141" s="123">
        <v>9</v>
      </c>
      <c r="J141" s="125">
        <v>0</v>
      </c>
      <c r="K141" s="125">
        <v>0</v>
      </c>
      <c r="L141" s="125">
        <v>0</v>
      </c>
      <c r="M141" s="127">
        <v>0</v>
      </c>
      <c r="N141" s="127">
        <v>0</v>
      </c>
      <c r="O141" s="127">
        <v>0</v>
      </c>
      <c r="P141" s="129">
        <v>0</v>
      </c>
      <c r="Q141" s="129">
        <v>0</v>
      </c>
      <c r="R141" s="129">
        <v>0</v>
      </c>
      <c r="S141" s="125">
        <v>85847</v>
      </c>
      <c r="T141" s="125">
        <v>2440</v>
      </c>
      <c r="U141" s="125">
        <v>0</v>
      </c>
      <c r="V141" s="136">
        <v>457</v>
      </c>
      <c r="W141" s="136">
        <v>45413</v>
      </c>
      <c r="X141" s="136">
        <v>936</v>
      </c>
      <c r="Y141" s="137">
        <v>0</v>
      </c>
      <c r="Z141" s="137">
        <v>52</v>
      </c>
      <c r="AA141" s="137">
        <v>11</v>
      </c>
      <c r="AB141" s="141">
        <v>0</v>
      </c>
      <c r="AC141" s="141">
        <v>0</v>
      </c>
      <c r="AD141" s="141">
        <v>0</v>
      </c>
    </row>
    <row r="142" spans="1:30" ht="14.25">
      <c r="A142">
        <v>430</v>
      </c>
      <c r="B142" s="121" t="s">
        <v>274</v>
      </c>
      <c r="C142" s="120">
        <v>31047</v>
      </c>
      <c r="D142" s="120">
        <v>0</v>
      </c>
      <c r="E142" s="120">
        <v>2</v>
      </c>
      <c r="F142" s="120">
        <v>0</v>
      </c>
      <c r="G142" s="123">
        <v>198</v>
      </c>
      <c r="H142" s="123">
        <v>9592</v>
      </c>
      <c r="I142" s="123">
        <v>0</v>
      </c>
      <c r="J142" s="125">
        <v>0</v>
      </c>
      <c r="K142" s="125">
        <v>0</v>
      </c>
      <c r="L142" s="125">
        <v>0</v>
      </c>
      <c r="M142" s="127">
        <v>0</v>
      </c>
      <c r="N142" s="127">
        <v>0</v>
      </c>
      <c r="O142" s="127">
        <v>0</v>
      </c>
      <c r="P142" s="129">
        <v>0</v>
      </c>
      <c r="Q142" s="129">
        <v>0</v>
      </c>
      <c r="R142" s="129">
        <v>0</v>
      </c>
      <c r="S142" s="125">
        <v>121531</v>
      </c>
      <c r="T142" s="125">
        <v>4051</v>
      </c>
      <c r="U142" s="125">
        <v>0</v>
      </c>
      <c r="V142" s="136">
        <v>526</v>
      </c>
      <c r="W142" s="136">
        <v>71065</v>
      </c>
      <c r="X142" s="136">
        <v>1173</v>
      </c>
      <c r="Y142" s="137">
        <v>0</v>
      </c>
      <c r="Z142" s="137">
        <v>52</v>
      </c>
      <c r="AA142" s="137">
        <v>0</v>
      </c>
      <c r="AB142" s="141">
        <v>0</v>
      </c>
      <c r="AC142" s="141">
        <v>0</v>
      </c>
      <c r="AD142" s="141">
        <v>0</v>
      </c>
    </row>
    <row r="143" spans="1:30" ht="14.25">
      <c r="A143">
        <v>433</v>
      </c>
      <c r="B143" s="121" t="s">
        <v>275</v>
      </c>
      <c r="C143" s="120">
        <v>9096</v>
      </c>
      <c r="D143" s="120">
        <v>0</v>
      </c>
      <c r="E143" s="120">
        <v>68</v>
      </c>
      <c r="F143" s="120">
        <v>96</v>
      </c>
      <c r="G143" s="123">
        <v>52</v>
      </c>
      <c r="H143" s="123">
        <v>2672</v>
      </c>
      <c r="I143" s="123">
        <v>0</v>
      </c>
      <c r="J143" s="125">
        <v>0</v>
      </c>
      <c r="K143" s="125">
        <v>0</v>
      </c>
      <c r="L143" s="125">
        <v>0</v>
      </c>
      <c r="M143" s="127">
        <v>0</v>
      </c>
      <c r="N143" s="127">
        <v>0</v>
      </c>
      <c r="O143" s="127">
        <v>0</v>
      </c>
      <c r="P143" s="129">
        <v>0</v>
      </c>
      <c r="Q143" s="129">
        <v>0</v>
      </c>
      <c r="R143" s="129">
        <v>0</v>
      </c>
      <c r="S143" s="125">
        <v>49396</v>
      </c>
      <c r="T143" s="125">
        <v>1770</v>
      </c>
      <c r="U143" s="125">
        <v>96</v>
      </c>
      <c r="V143" s="136">
        <v>495</v>
      </c>
      <c r="W143" s="136">
        <v>26601</v>
      </c>
      <c r="X143" s="136">
        <v>419</v>
      </c>
      <c r="Y143" s="137">
        <v>0</v>
      </c>
      <c r="Z143" s="137">
        <v>111</v>
      </c>
      <c r="AA143" s="137">
        <v>0</v>
      </c>
      <c r="AB143" s="141">
        <v>0</v>
      </c>
      <c r="AC143" s="141">
        <v>0</v>
      </c>
      <c r="AD143" s="141">
        <v>0</v>
      </c>
    </row>
    <row r="144" spans="1:30" ht="14.25">
      <c r="A144">
        <v>434</v>
      </c>
      <c r="B144" s="121" t="s">
        <v>276</v>
      </c>
      <c r="C144" s="120">
        <v>44668</v>
      </c>
      <c r="D144" s="120">
        <v>0</v>
      </c>
      <c r="E144" s="120">
        <v>0</v>
      </c>
      <c r="F144" s="120">
        <v>0</v>
      </c>
      <c r="G144" s="123">
        <v>92</v>
      </c>
      <c r="H144" s="123">
        <v>9040</v>
      </c>
      <c r="I144" s="123">
        <v>0</v>
      </c>
      <c r="J144" s="125">
        <v>0</v>
      </c>
      <c r="K144" s="125">
        <v>0</v>
      </c>
      <c r="L144" s="125">
        <v>0</v>
      </c>
      <c r="M144" s="127">
        <v>0</v>
      </c>
      <c r="N144" s="127">
        <v>0</v>
      </c>
      <c r="O144" s="127">
        <v>0</v>
      </c>
      <c r="P144" s="129">
        <v>0</v>
      </c>
      <c r="Q144" s="129">
        <v>0</v>
      </c>
      <c r="R144" s="129">
        <v>0</v>
      </c>
      <c r="S144" s="125">
        <v>131898</v>
      </c>
      <c r="T144" s="125">
        <v>4070</v>
      </c>
      <c r="U144" s="125">
        <v>0</v>
      </c>
      <c r="V144" s="136">
        <v>1609</v>
      </c>
      <c r="W144" s="136">
        <v>60967</v>
      </c>
      <c r="X144" s="136">
        <v>1979</v>
      </c>
      <c r="Y144" s="137">
        <v>0</v>
      </c>
      <c r="Z144" s="137">
        <v>37</v>
      </c>
      <c r="AA144" s="137">
        <v>0</v>
      </c>
      <c r="AB144" s="141">
        <v>0</v>
      </c>
      <c r="AC144" s="141">
        <v>0</v>
      </c>
      <c r="AD144" s="141">
        <v>0</v>
      </c>
    </row>
    <row r="145" spans="1:30" ht="14.25">
      <c r="A145">
        <v>435</v>
      </c>
      <c r="B145" s="121" t="s">
        <v>277</v>
      </c>
      <c r="C145" s="120">
        <v>1204</v>
      </c>
      <c r="D145" s="120">
        <v>0</v>
      </c>
      <c r="E145" s="120">
        <v>0</v>
      </c>
      <c r="F145" s="120">
        <v>0</v>
      </c>
      <c r="G145" s="123">
        <v>1</v>
      </c>
      <c r="H145" s="123">
        <v>380</v>
      </c>
      <c r="I145" s="123">
        <v>0</v>
      </c>
      <c r="J145" s="125">
        <v>0</v>
      </c>
      <c r="K145" s="125">
        <v>0</v>
      </c>
      <c r="L145" s="125">
        <v>0</v>
      </c>
      <c r="M145" s="127">
        <v>0</v>
      </c>
      <c r="N145" s="127">
        <v>0</v>
      </c>
      <c r="O145" s="127">
        <v>0</v>
      </c>
      <c r="P145" s="129">
        <v>0</v>
      </c>
      <c r="Q145" s="129">
        <v>0</v>
      </c>
      <c r="R145" s="129">
        <v>0</v>
      </c>
      <c r="S145" s="125">
        <v>5848</v>
      </c>
      <c r="T145" s="125">
        <v>199</v>
      </c>
      <c r="U145" s="125">
        <v>0</v>
      </c>
      <c r="V145" s="136">
        <v>54</v>
      </c>
      <c r="W145" s="136">
        <v>3404</v>
      </c>
      <c r="X145" s="136">
        <v>56</v>
      </c>
      <c r="Y145" s="137">
        <v>0</v>
      </c>
      <c r="Z145" s="137">
        <v>0</v>
      </c>
      <c r="AA145" s="137">
        <v>0</v>
      </c>
      <c r="AB145" s="141">
        <v>0</v>
      </c>
      <c r="AC145" s="141">
        <v>0</v>
      </c>
      <c r="AD145" s="141">
        <v>0</v>
      </c>
    </row>
    <row r="146" spans="1:30" ht="14.25">
      <c r="A146">
        <v>436</v>
      </c>
      <c r="B146" s="121" t="s">
        <v>278</v>
      </c>
      <c r="C146" s="120">
        <v>3818</v>
      </c>
      <c r="D146" s="120">
        <v>0</v>
      </c>
      <c r="E146" s="120">
        <v>9</v>
      </c>
      <c r="F146" s="120">
        <v>0</v>
      </c>
      <c r="G146" s="123">
        <v>2</v>
      </c>
      <c r="H146" s="123">
        <v>1041</v>
      </c>
      <c r="I146" s="123">
        <v>4</v>
      </c>
      <c r="J146" s="125">
        <v>0</v>
      </c>
      <c r="K146" s="125">
        <v>0</v>
      </c>
      <c r="L146" s="125">
        <v>0</v>
      </c>
      <c r="M146" s="127">
        <v>0</v>
      </c>
      <c r="N146" s="127">
        <v>0</v>
      </c>
      <c r="O146" s="127">
        <v>0</v>
      </c>
      <c r="P146" s="129">
        <v>0</v>
      </c>
      <c r="Q146" s="129">
        <v>0</v>
      </c>
      <c r="R146" s="129">
        <v>0</v>
      </c>
      <c r="S146" s="125">
        <v>14491</v>
      </c>
      <c r="T146" s="125">
        <v>623</v>
      </c>
      <c r="U146" s="125">
        <v>419</v>
      </c>
      <c r="V146" s="136">
        <v>104</v>
      </c>
      <c r="W146" s="136">
        <v>6873</v>
      </c>
      <c r="X146" s="136">
        <v>11</v>
      </c>
      <c r="Y146" s="137">
        <v>0</v>
      </c>
      <c r="Z146" s="137">
        <v>21</v>
      </c>
      <c r="AA146" s="137">
        <v>1</v>
      </c>
      <c r="AB146" s="141">
        <v>0</v>
      </c>
      <c r="AC146" s="141">
        <v>168</v>
      </c>
      <c r="AD146" s="141">
        <v>0</v>
      </c>
    </row>
    <row r="147" spans="1:30" ht="14.25">
      <c r="A147">
        <v>440</v>
      </c>
      <c r="B147" s="121" t="s">
        <v>279</v>
      </c>
      <c r="C147" s="120">
        <v>7137</v>
      </c>
      <c r="D147" s="120">
        <v>0</v>
      </c>
      <c r="E147" s="120">
        <v>0</v>
      </c>
      <c r="F147" s="120">
        <v>0</v>
      </c>
      <c r="G147" s="123">
        <v>0</v>
      </c>
      <c r="H147" s="123">
        <v>106</v>
      </c>
      <c r="I147" s="123">
        <v>0</v>
      </c>
      <c r="J147" s="125">
        <v>0</v>
      </c>
      <c r="K147" s="125">
        <v>0</v>
      </c>
      <c r="L147" s="125">
        <v>0</v>
      </c>
      <c r="M147" s="127">
        <v>0</v>
      </c>
      <c r="N147" s="127">
        <v>0</v>
      </c>
      <c r="O147" s="127">
        <v>0</v>
      </c>
      <c r="P147" s="129">
        <v>0</v>
      </c>
      <c r="Q147" s="129">
        <v>0</v>
      </c>
      <c r="R147" s="129">
        <v>0</v>
      </c>
      <c r="S147" s="125">
        <v>31966</v>
      </c>
      <c r="T147" s="125">
        <v>1125</v>
      </c>
      <c r="U147" s="125">
        <v>0</v>
      </c>
      <c r="V147" s="136">
        <v>21</v>
      </c>
      <c r="W147" s="136">
        <v>13071</v>
      </c>
      <c r="X147" s="136">
        <v>310</v>
      </c>
      <c r="Y147" s="137">
        <v>0</v>
      </c>
      <c r="Z147" s="137">
        <v>0</v>
      </c>
      <c r="AA147" s="137">
        <v>10</v>
      </c>
      <c r="AB147" s="141">
        <v>0</v>
      </c>
      <c r="AC147" s="141">
        <v>0</v>
      </c>
      <c r="AD147" s="141">
        <v>0</v>
      </c>
    </row>
    <row r="148" spans="1:30" ht="14.25">
      <c r="A148">
        <v>441</v>
      </c>
      <c r="B148" s="121" t="s">
        <v>280</v>
      </c>
      <c r="C148" s="120">
        <v>6114</v>
      </c>
      <c r="D148" s="120">
        <v>0</v>
      </c>
      <c r="E148" s="120">
        <v>7</v>
      </c>
      <c r="F148" s="120">
        <v>0</v>
      </c>
      <c r="G148" s="123">
        <v>152</v>
      </c>
      <c r="H148" s="123">
        <v>242</v>
      </c>
      <c r="I148" s="123">
        <v>0</v>
      </c>
      <c r="J148" s="125">
        <v>0</v>
      </c>
      <c r="K148" s="125">
        <v>0</v>
      </c>
      <c r="L148" s="125">
        <v>0</v>
      </c>
      <c r="M148" s="127">
        <v>0</v>
      </c>
      <c r="N148" s="127">
        <v>0</v>
      </c>
      <c r="O148" s="127">
        <v>0</v>
      </c>
      <c r="P148" s="129">
        <v>0</v>
      </c>
      <c r="Q148" s="129">
        <v>0</v>
      </c>
      <c r="R148" s="129">
        <v>0</v>
      </c>
      <c r="S148" s="125">
        <v>34322</v>
      </c>
      <c r="T148" s="125">
        <v>1819</v>
      </c>
      <c r="U148" s="125">
        <v>0</v>
      </c>
      <c r="V148" s="136">
        <v>365</v>
      </c>
      <c r="W148" s="136">
        <v>19296</v>
      </c>
      <c r="X148" s="136">
        <v>431</v>
      </c>
      <c r="Y148" s="137">
        <v>0</v>
      </c>
      <c r="Z148" s="137">
        <v>0</v>
      </c>
      <c r="AA148" s="137">
        <v>0</v>
      </c>
      <c r="AB148" s="141">
        <v>0</v>
      </c>
      <c r="AC148" s="141">
        <v>0</v>
      </c>
      <c r="AD148" s="141">
        <v>0</v>
      </c>
    </row>
    <row r="149" spans="1:30" ht="14.25">
      <c r="A149">
        <v>442</v>
      </c>
      <c r="B149" s="121" t="s">
        <v>281</v>
      </c>
      <c r="C149" s="120">
        <v>4158</v>
      </c>
      <c r="D149" s="120">
        <v>0</v>
      </c>
      <c r="E149" s="120">
        <v>0</v>
      </c>
      <c r="F149" s="120">
        <v>358</v>
      </c>
      <c r="G149" s="123">
        <v>0</v>
      </c>
      <c r="H149" s="123">
        <v>698</v>
      </c>
      <c r="I149" s="123">
        <v>1</v>
      </c>
      <c r="J149" s="125">
        <v>0</v>
      </c>
      <c r="K149" s="125">
        <v>0</v>
      </c>
      <c r="L149" s="125">
        <v>0</v>
      </c>
      <c r="M149" s="127">
        <v>0</v>
      </c>
      <c r="N149" s="127">
        <v>0</v>
      </c>
      <c r="O149" s="127">
        <v>0</v>
      </c>
      <c r="P149" s="129">
        <v>0</v>
      </c>
      <c r="Q149" s="129">
        <v>0</v>
      </c>
      <c r="R149" s="129">
        <v>0</v>
      </c>
      <c r="S149" s="125">
        <v>20782</v>
      </c>
      <c r="T149" s="125">
        <v>770</v>
      </c>
      <c r="U149" s="125">
        <v>358</v>
      </c>
      <c r="V149" s="136">
        <v>50</v>
      </c>
      <c r="W149" s="136">
        <v>10705</v>
      </c>
      <c r="X149" s="136">
        <v>294</v>
      </c>
      <c r="Y149" s="137">
        <v>0</v>
      </c>
      <c r="Z149" s="137">
        <v>8</v>
      </c>
      <c r="AA149" s="137">
        <v>0</v>
      </c>
      <c r="AB149" s="141">
        <v>0</v>
      </c>
      <c r="AC149" s="141">
        <v>101</v>
      </c>
      <c r="AD149" s="141">
        <v>1</v>
      </c>
    </row>
    <row r="150" spans="1:30" ht="14.25">
      <c r="A150">
        <v>444</v>
      </c>
      <c r="B150" s="121" t="s">
        <v>273</v>
      </c>
      <c r="C150" s="120">
        <v>81062</v>
      </c>
      <c r="D150" s="120">
        <v>0</v>
      </c>
      <c r="E150" s="120">
        <v>0</v>
      </c>
      <c r="F150" s="120">
        <v>20937</v>
      </c>
      <c r="G150" s="123">
        <v>0</v>
      </c>
      <c r="H150" s="123">
        <v>21964</v>
      </c>
      <c r="I150" s="123">
        <v>0</v>
      </c>
      <c r="J150" s="125">
        <v>0</v>
      </c>
      <c r="K150" s="125">
        <v>0</v>
      </c>
      <c r="L150" s="125">
        <v>0</v>
      </c>
      <c r="M150" s="127">
        <v>0</v>
      </c>
      <c r="N150" s="127">
        <v>0</v>
      </c>
      <c r="O150" s="127">
        <v>0</v>
      </c>
      <c r="P150" s="129">
        <v>0</v>
      </c>
      <c r="Q150" s="129">
        <v>5356</v>
      </c>
      <c r="R150" s="129">
        <v>0</v>
      </c>
      <c r="S150" s="125">
        <v>321496</v>
      </c>
      <c r="T150" s="125">
        <v>13632</v>
      </c>
      <c r="U150" s="125">
        <v>20937</v>
      </c>
      <c r="V150" s="136">
        <v>3578</v>
      </c>
      <c r="W150" s="136">
        <v>171735</v>
      </c>
      <c r="X150" s="136">
        <v>3103</v>
      </c>
      <c r="Y150" s="137">
        <v>0</v>
      </c>
      <c r="Z150" s="137">
        <v>408</v>
      </c>
      <c r="AA150" s="137">
        <v>0</v>
      </c>
      <c r="AB150" s="141">
        <v>4</v>
      </c>
      <c r="AC150" s="141">
        <v>8767</v>
      </c>
      <c r="AD150" s="141">
        <v>68</v>
      </c>
    </row>
    <row r="151" spans="1:30" ht="14.25">
      <c r="A151">
        <v>445</v>
      </c>
      <c r="B151" s="121" t="s">
        <v>130</v>
      </c>
      <c r="C151" s="120">
        <v>27257</v>
      </c>
      <c r="D151" s="120">
        <v>0</v>
      </c>
      <c r="E151" s="120">
        <v>0</v>
      </c>
      <c r="F151" s="120">
        <v>0</v>
      </c>
      <c r="G151" s="123">
        <v>195</v>
      </c>
      <c r="H151" s="123">
        <v>6946</v>
      </c>
      <c r="I151" s="123">
        <v>1</v>
      </c>
      <c r="J151" s="125">
        <v>0</v>
      </c>
      <c r="K151" s="125">
        <v>0</v>
      </c>
      <c r="L151" s="125">
        <v>0</v>
      </c>
      <c r="M151" s="127">
        <v>0</v>
      </c>
      <c r="N151" s="127">
        <v>0</v>
      </c>
      <c r="O151" s="127">
        <v>0</v>
      </c>
      <c r="P151" s="129">
        <v>0</v>
      </c>
      <c r="Q151" s="129">
        <v>0</v>
      </c>
      <c r="R151" s="129">
        <v>0</v>
      </c>
      <c r="S151" s="125">
        <v>115122</v>
      </c>
      <c r="T151" s="125">
        <v>4609</v>
      </c>
      <c r="U151" s="125">
        <v>0</v>
      </c>
      <c r="V151" s="136">
        <v>779</v>
      </c>
      <c r="W151" s="136">
        <v>56539</v>
      </c>
      <c r="X151" s="136">
        <v>1248</v>
      </c>
      <c r="Y151" s="137">
        <v>0</v>
      </c>
      <c r="Z151" s="137">
        <v>507</v>
      </c>
      <c r="AA151" s="137">
        <v>75</v>
      </c>
      <c r="AB151" s="141">
        <v>0</v>
      </c>
      <c r="AC151" s="141">
        <v>0</v>
      </c>
      <c r="AD151" s="141">
        <v>0</v>
      </c>
    </row>
    <row r="152" spans="1:30" ht="14.25">
      <c r="A152">
        <v>475</v>
      </c>
      <c r="B152" s="121" t="s">
        <v>282</v>
      </c>
      <c r="C152" s="120">
        <v>12473</v>
      </c>
      <c r="D152" s="120">
        <v>0</v>
      </c>
      <c r="E152" s="120">
        <v>32</v>
      </c>
      <c r="F152" s="120">
        <v>0</v>
      </c>
      <c r="G152" s="123">
        <v>4</v>
      </c>
      <c r="H152" s="123">
        <v>4952</v>
      </c>
      <c r="I152" s="123">
        <v>0</v>
      </c>
      <c r="J152" s="125">
        <v>0</v>
      </c>
      <c r="K152" s="125">
        <v>0</v>
      </c>
      <c r="L152" s="125">
        <v>0</v>
      </c>
      <c r="M152" s="127">
        <v>0</v>
      </c>
      <c r="N152" s="127">
        <v>0</v>
      </c>
      <c r="O152" s="127">
        <v>0</v>
      </c>
      <c r="P152" s="129">
        <v>0</v>
      </c>
      <c r="Q152" s="129">
        <v>0</v>
      </c>
      <c r="R152" s="129">
        <v>0</v>
      </c>
      <c r="S152" s="125">
        <v>46074</v>
      </c>
      <c r="T152" s="125">
        <v>1421</v>
      </c>
      <c r="U152" s="125">
        <v>0</v>
      </c>
      <c r="V152" s="136">
        <v>151</v>
      </c>
      <c r="W152" s="136">
        <v>25908</v>
      </c>
      <c r="X152" s="136">
        <v>370</v>
      </c>
      <c r="Y152" s="137">
        <v>0</v>
      </c>
      <c r="Z152" s="137">
        <v>106</v>
      </c>
      <c r="AA152" s="137">
        <v>0</v>
      </c>
      <c r="AB152" s="141">
        <v>0</v>
      </c>
      <c r="AC152" s="141">
        <v>0</v>
      </c>
      <c r="AD152" s="141">
        <v>0</v>
      </c>
    </row>
    <row r="153" spans="1:30" ht="14.25">
      <c r="A153">
        <v>480</v>
      </c>
      <c r="B153" s="121" t="s">
        <v>283</v>
      </c>
      <c r="C153" s="120">
        <v>2797</v>
      </c>
      <c r="D153" s="120">
        <v>0</v>
      </c>
      <c r="E153" s="120">
        <v>0</v>
      </c>
      <c r="F153" s="120">
        <v>0</v>
      </c>
      <c r="G153" s="123">
        <v>11</v>
      </c>
      <c r="H153" s="123">
        <v>773</v>
      </c>
      <c r="I153" s="123">
        <v>0</v>
      </c>
      <c r="J153" s="125">
        <v>0</v>
      </c>
      <c r="K153" s="125">
        <v>0</v>
      </c>
      <c r="L153" s="125">
        <v>0</v>
      </c>
      <c r="M153" s="127">
        <v>0</v>
      </c>
      <c r="N153" s="127">
        <v>0</v>
      </c>
      <c r="O153" s="127">
        <v>0</v>
      </c>
      <c r="P153" s="129">
        <v>0</v>
      </c>
      <c r="Q153" s="129">
        <v>0</v>
      </c>
      <c r="R153" s="129">
        <v>0</v>
      </c>
      <c r="S153" s="125">
        <v>13314</v>
      </c>
      <c r="T153" s="125">
        <v>422</v>
      </c>
      <c r="U153" s="125">
        <v>0</v>
      </c>
      <c r="V153" s="136">
        <v>72</v>
      </c>
      <c r="W153" s="136">
        <v>7554</v>
      </c>
      <c r="X153" s="136">
        <v>144</v>
      </c>
      <c r="Y153" s="137">
        <v>0</v>
      </c>
      <c r="Z153" s="137">
        <v>52</v>
      </c>
      <c r="AA153" s="137">
        <v>0</v>
      </c>
      <c r="AB153" s="141">
        <v>0</v>
      </c>
      <c r="AC153" s="141">
        <v>0</v>
      </c>
      <c r="AD153" s="141">
        <v>0</v>
      </c>
    </row>
    <row r="154" spans="1:30" ht="14.25">
      <c r="A154">
        <v>481</v>
      </c>
      <c r="B154" s="121" t="s">
        <v>284</v>
      </c>
      <c r="C154" s="120">
        <v>8443</v>
      </c>
      <c r="D154" s="120">
        <v>0</v>
      </c>
      <c r="E154" s="120">
        <v>0</v>
      </c>
      <c r="F154" s="120">
        <v>660</v>
      </c>
      <c r="G154" s="123">
        <v>0</v>
      </c>
      <c r="H154" s="123">
        <v>743</v>
      </c>
      <c r="I154" s="123">
        <v>0</v>
      </c>
      <c r="J154" s="125">
        <v>0</v>
      </c>
      <c r="K154" s="125">
        <v>0</v>
      </c>
      <c r="L154" s="125">
        <v>0</v>
      </c>
      <c r="M154" s="127">
        <v>0</v>
      </c>
      <c r="N154" s="127">
        <v>0</v>
      </c>
      <c r="O154" s="127">
        <v>0</v>
      </c>
      <c r="P154" s="129">
        <v>0</v>
      </c>
      <c r="Q154" s="129">
        <v>0</v>
      </c>
      <c r="R154" s="129">
        <v>0</v>
      </c>
      <c r="S154" s="125">
        <v>52417</v>
      </c>
      <c r="T154" s="125">
        <v>2569</v>
      </c>
      <c r="U154" s="125">
        <v>2793</v>
      </c>
      <c r="V154" s="136">
        <v>191</v>
      </c>
      <c r="W154" s="136">
        <v>27033</v>
      </c>
      <c r="X154" s="136">
        <v>687</v>
      </c>
      <c r="Y154" s="137">
        <v>0</v>
      </c>
      <c r="Z154" s="137">
        <v>21</v>
      </c>
      <c r="AA154" s="137">
        <v>6</v>
      </c>
      <c r="AB154" s="141">
        <v>0</v>
      </c>
      <c r="AC154" s="141">
        <v>43</v>
      </c>
      <c r="AD154" s="141">
        <v>10</v>
      </c>
    </row>
    <row r="155" spans="1:30" ht="14.25">
      <c r="A155">
        <v>483</v>
      </c>
      <c r="B155" s="121" t="s">
        <v>285</v>
      </c>
      <c r="C155" s="120">
        <v>1919</v>
      </c>
      <c r="D155" s="120">
        <v>0</v>
      </c>
      <c r="E155" s="120">
        <v>0</v>
      </c>
      <c r="F155" s="120">
        <v>0</v>
      </c>
      <c r="G155" s="123">
        <v>0</v>
      </c>
      <c r="H155" s="123">
        <v>162</v>
      </c>
      <c r="I155" s="123">
        <v>0</v>
      </c>
      <c r="J155" s="125">
        <v>0</v>
      </c>
      <c r="K155" s="125">
        <v>0</v>
      </c>
      <c r="L155" s="125">
        <v>0</v>
      </c>
      <c r="M155" s="127">
        <v>0</v>
      </c>
      <c r="N155" s="127">
        <v>0</v>
      </c>
      <c r="O155" s="127">
        <v>0</v>
      </c>
      <c r="P155" s="129">
        <v>0</v>
      </c>
      <c r="Q155" s="129">
        <v>0</v>
      </c>
      <c r="R155" s="129">
        <v>0</v>
      </c>
      <c r="S155" s="125">
        <v>8515</v>
      </c>
      <c r="T155" s="125">
        <v>388</v>
      </c>
      <c r="U155" s="125">
        <v>22</v>
      </c>
      <c r="V155" s="136">
        <v>50</v>
      </c>
      <c r="W155" s="136">
        <v>4177</v>
      </c>
      <c r="X155" s="136">
        <v>81</v>
      </c>
      <c r="Y155" s="137">
        <v>0</v>
      </c>
      <c r="Z155" s="137">
        <v>0</v>
      </c>
      <c r="AA155" s="137">
        <v>0</v>
      </c>
      <c r="AB155" s="141">
        <v>0</v>
      </c>
      <c r="AC155" s="141">
        <v>1</v>
      </c>
      <c r="AD155" s="141">
        <v>0</v>
      </c>
    </row>
    <row r="156" spans="1:30" ht="14.25">
      <c r="A156">
        <v>484</v>
      </c>
      <c r="B156" s="121" t="s">
        <v>286</v>
      </c>
      <c r="C156" s="120">
        <v>5305</v>
      </c>
      <c r="D156" s="120">
        <v>0</v>
      </c>
      <c r="E156" s="120">
        <v>0</v>
      </c>
      <c r="F156" s="120">
        <v>329</v>
      </c>
      <c r="G156" s="123">
        <v>0</v>
      </c>
      <c r="H156" s="123">
        <v>138</v>
      </c>
      <c r="I156" s="123">
        <v>0</v>
      </c>
      <c r="J156" s="125">
        <v>0</v>
      </c>
      <c r="K156" s="125">
        <v>0</v>
      </c>
      <c r="L156" s="125">
        <v>0</v>
      </c>
      <c r="M156" s="127">
        <v>0</v>
      </c>
      <c r="N156" s="127">
        <v>0</v>
      </c>
      <c r="O156" s="127">
        <v>0</v>
      </c>
      <c r="P156" s="129">
        <v>0</v>
      </c>
      <c r="Q156" s="129">
        <v>0</v>
      </c>
      <c r="R156" s="129">
        <v>0</v>
      </c>
      <c r="S156" s="125">
        <v>25916</v>
      </c>
      <c r="T156" s="125">
        <v>1137</v>
      </c>
      <c r="U156" s="125">
        <v>329</v>
      </c>
      <c r="V156" s="136">
        <v>115</v>
      </c>
      <c r="W156" s="136">
        <v>12853</v>
      </c>
      <c r="X156" s="136">
        <v>350</v>
      </c>
      <c r="Y156" s="137">
        <v>0</v>
      </c>
      <c r="Z156" s="137">
        <v>0</v>
      </c>
      <c r="AA156" s="137">
        <v>23</v>
      </c>
      <c r="AB156" s="141">
        <v>0</v>
      </c>
      <c r="AC156" s="141">
        <v>0</v>
      </c>
      <c r="AD156" s="141">
        <v>0</v>
      </c>
    </row>
    <row r="157" spans="1:30" ht="14.25">
      <c r="A157">
        <v>489</v>
      </c>
      <c r="B157" s="121" t="s">
        <v>287</v>
      </c>
      <c r="C157" s="120">
        <v>12634</v>
      </c>
      <c r="D157" s="120">
        <v>0</v>
      </c>
      <c r="E157" s="120">
        <v>0</v>
      </c>
      <c r="F157" s="120">
        <v>0</v>
      </c>
      <c r="G157" s="123">
        <v>199</v>
      </c>
      <c r="H157" s="123">
        <v>8976</v>
      </c>
      <c r="I157" s="123">
        <v>1</v>
      </c>
      <c r="J157" s="125">
        <v>0</v>
      </c>
      <c r="K157" s="125">
        <v>0</v>
      </c>
      <c r="L157" s="125">
        <v>0</v>
      </c>
      <c r="M157" s="127">
        <v>0</v>
      </c>
      <c r="N157" s="127">
        <v>0</v>
      </c>
      <c r="O157" s="127">
        <v>0</v>
      </c>
      <c r="P157" s="129">
        <v>0</v>
      </c>
      <c r="Q157" s="129">
        <v>0</v>
      </c>
      <c r="R157" s="129">
        <v>0</v>
      </c>
      <c r="S157" s="125">
        <v>24755</v>
      </c>
      <c r="T157" s="125">
        <v>666</v>
      </c>
      <c r="U157" s="125">
        <v>0</v>
      </c>
      <c r="V157" s="136">
        <v>383</v>
      </c>
      <c r="W157" s="136">
        <v>16365</v>
      </c>
      <c r="X157" s="136">
        <v>177</v>
      </c>
      <c r="Y157" s="137">
        <v>0</v>
      </c>
      <c r="Z157" s="137">
        <v>5</v>
      </c>
      <c r="AA157" s="137">
        <v>0</v>
      </c>
      <c r="AB157" s="141">
        <v>0</v>
      </c>
      <c r="AC157" s="141">
        <v>0</v>
      </c>
      <c r="AD157" s="141">
        <v>0</v>
      </c>
    </row>
    <row r="158" spans="1:30" ht="14.25">
      <c r="A158">
        <v>491</v>
      </c>
      <c r="B158" s="121" t="s">
        <v>288</v>
      </c>
      <c r="C158" s="120">
        <v>139623</v>
      </c>
      <c r="D158" s="120">
        <v>0</v>
      </c>
      <c r="E158" s="120">
        <v>677</v>
      </c>
      <c r="F158" s="120">
        <v>0</v>
      </c>
      <c r="G158" s="123">
        <v>472</v>
      </c>
      <c r="H158" s="123">
        <v>40441</v>
      </c>
      <c r="I158" s="123">
        <v>12293</v>
      </c>
      <c r="J158" s="125">
        <v>0</v>
      </c>
      <c r="K158" s="125">
        <v>0</v>
      </c>
      <c r="L158" s="125">
        <v>0</v>
      </c>
      <c r="M158" s="127">
        <v>0</v>
      </c>
      <c r="N158" s="127">
        <v>0</v>
      </c>
      <c r="O158" s="127">
        <v>0</v>
      </c>
      <c r="P158" s="129">
        <v>0</v>
      </c>
      <c r="Q158" s="129">
        <v>0</v>
      </c>
      <c r="R158" s="129">
        <v>0</v>
      </c>
      <c r="S158" s="125">
        <v>426444</v>
      </c>
      <c r="T158" s="125">
        <v>18290</v>
      </c>
      <c r="U158" s="125">
        <v>0</v>
      </c>
      <c r="V158" s="136">
        <v>340</v>
      </c>
      <c r="W158" s="136">
        <v>220235</v>
      </c>
      <c r="X158" s="136">
        <v>15895</v>
      </c>
      <c r="Y158" s="137">
        <v>0</v>
      </c>
      <c r="Z158" s="137">
        <v>140</v>
      </c>
      <c r="AA158" s="137">
        <v>785</v>
      </c>
      <c r="AB158" s="141">
        <v>0</v>
      </c>
      <c r="AC158" s="141">
        <v>0</v>
      </c>
      <c r="AD158" s="141">
        <v>0</v>
      </c>
    </row>
    <row r="159" spans="1:30" ht="14.25">
      <c r="A159">
        <v>494</v>
      </c>
      <c r="B159" s="121" t="s">
        <v>289</v>
      </c>
      <c r="C159" s="120">
        <v>20255</v>
      </c>
      <c r="D159" s="120">
        <v>0</v>
      </c>
      <c r="E159" s="120">
        <v>32</v>
      </c>
      <c r="F159" s="120">
        <v>1799</v>
      </c>
      <c r="G159" s="123">
        <v>36</v>
      </c>
      <c r="H159" s="123">
        <v>3560</v>
      </c>
      <c r="I159" s="123">
        <v>0</v>
      </c>
      <c r="J159" s="125">
        <v>0</v>
      </c>
      <c r="K159" s="125">
        <v>0</v>
      </c>
      <c r="L159" s="125">
        <v>0</v>
      </c>
      <c r="M159" s="127">
        <v>0</v>
      </c>
      <c r="N159" s="127">
        <v>0</v>
      </c>
      <c r="O159" s="127">
        <v>0</v>
      </c>
      <c r="P159" s="129">
        <v>0</v>
      </c>
      <c r="Q159" s="129">
        <v>0</v>
      </c>
      <c r="R159" s="129">
        <v>0</v>
      </c>
      <c r="S159" s="125">
        <v>70642</v>
      </c>
      <c r="T159" s="125">
        <v>2502</v>
      </c>
      <c r="U159" s="125">
        <v>1799</v>
      </c>
      <c r="V159" s="136">
        <v>300</v>
      </c>
      <c r="W159" s="136">
        <v>32891</v>
      </c>
      <c r="X159" s="136">
        <v>565</v>
      </c>
      <c r="Y159" s="137">
        <v>0</v>
      </c>
      <c r="Z159" s="137">
        <v>128</v>
      </c>
      <c r="AA159" s="137">
        <v>0</v>
      </c>
      <c r="AB159" s="141">
        <v>7</v>
      </c>
      <c r="AC159" s="141">
        <v>735</v>
      </c>
      <c r="AD159" s="141">
        <v>13</v>
      </c>
    </row>
    <row r="160" spans="1:30" ht="14.25">
      <c r="A160">
        <v>495</v>
      </c>
      <c r="B160" s="121" t="s">
        <v>290</v>
      </c>
      <c r="C160" s="120">
        <v>3386</v>
      </c>
      <c r="D160" s="120">
        <v>0</v>
      </c>
      <c r="E160" s="120">
        <v>0</v>
      </c>
      <c r="F160" s="120">
        <v>211</v>
      </c>
      <c r="G160" s="123">
        <v>0</v>
      </c>
      <c r="H160" s="123">
        <v>1050</v>
      </c>
      <c r="I160" s="123">
        <v>0</v>
      </c>
      <c r="J160" s="125">
        <v>0</v>
      </c>
      <c r="K160" s="125">
        <v>0</v>
      </c>
      <c r="L160" s="125">
        <v>0</v>
      </c>
      <c r="M160" s="127">
        <v>0</v>
      </c>
      <c r="N160" s="127">
        <v>0</v>
      </c>
      <c r="O160" s="127">
        <v>0</v>
      </c>
      <c r="P160" s="129">
        <v>0</v>
      </c>
      <c r="Q160" s="129">
        <v>0</v>
      </c>
      <c r="R160" s="129">
        <v>0</v>
      </c>
      <c r="S160" s="125">
        <v>14667</v>
      </c>
      <c r="T160" s="125">
        <v>368</v>
      </c>
      <c r="U160" s="125">
        <v>210</v>
      </c>
      <c r="V160" s="136">
        <v>0</v>
      </c>
      <c r="W160" s="136">
        <v>8675</v>
      </c>
      <c r="X160" s="136">
        <v>141</v>
      </c>
      <c r="Y160" s="137">
        <v>0</v>
      </c>
      <c r="Z160" s="137">
        <v>0</v>
      </c>
      <c r="AA160" s="137">
        <v>0</v>
      </c>
      <c r="AB160" s="141">
        <v>0</v>
      </c>
      <c r="AC160" s="141">
        <v>96</v>
      </c>
      <c r="AD160" s="141">
        <v>0</v>
      </c>
    </row>
    <row r="161" spans="1:30" ht="14.25">
      <c r="A161">
        <v>498</v>
      </c>
      <c r="B161" s="121" t="s">
        <v>291</v>
      </c>
      <c r="C161" s="120">
        <v>3295</v>
      </c>
      <c r="D161" s="120">
        <v>0</v>
      </c>
      <c r="E161" s="120">
        <v>0</v>
      </c>
      <c r="F161" s="120">
        <v>1072</v>
      </c>
      <c r="G161" s="123">
        <v>7</v>
      </c>
      <c r="H161" s="123">
        <v>370</v>
      </c>
      <c r="I161" s="123">
        <v>0</v>
      </c>
      <c r="J161" s="125">
        <v>0</v>
      </c>
      <c r="K161" s="125">
        <v>0</v>
      </c>
      <c r="L161" s="125">
        <v>0</v>
      </c>
      <c r="M161" s="127">
        <v>0</v>
      </c>
      <c r="N161" s="127">
        <v>0</v>
      </c>
      <c r="O161" s="127">
        <v>0</v>
      </c>
      <c r="P161" s="129">
        <v>0</v>
      </c>
      <c r="Q161" s="129">
        <v>0</v>
      </c>
      <c r="R161" s="129">
        <v>0</v>
      </c>
      <c r="S161" s="125">
        <v>19333</v>
      </c>
      <c r="T161" s="125">
        <v>692</v>
      </c>
      <c r="U161" s="125">
        <v>1072</v>
      </c>
      <c r="V161" s="136">
        <v>60</v>
      </c>
      <c r="W161" s="136">
        <v>9876</v>
      </c>
      <c r="X161" s="136">
        <v>293</v>
      </c>
      <c r="Y161" s="137">
        <v>0</v>
      </c>
      <c r="Z161" s="137">
        <v>2</v>
      </c>
      <c r="AA161" s="137">
        <v>0</v>
      </c>
      <c r="AB161" s="141">
        <v>0</v>
      </c>
      <c r="AC161" s="141">
        <v>152</v>
      </c>
      <c r="AD161" s="141">
        <v>0</v>
      </c>
    </row>
    <row r="162" spans="1:30" ht="14.25">
      <c r="A162">
        <v>499</v>
      </c>
      <c r="B162" s="121" t="s">
        <v>292</v>
      </c>
      <c r="C162" s="120">
        <v>38406</v>
      </c>
      <c r="D162" s="120">
        <v>0</v>
      </c>
      <c r="E162" s="120">
        <v>181</v>
      </c>
      <c r="F162" s="120">
        <v>1387</v>
      </c>
      <c r="G162" s="123">
        <v>227</v>
      </c>
      <c r="H162" s="123">
        <v>13904</v>
      </c>
      <c r="I162" s="123">
        <v>76</v>
      </c>
      <c r="J162" s="125">
        <v>0</v>
      </c>
      <c r="K162" s="125">
        <v>0</v>
      </c>
      <c r="L162" s="125">
        <v>0</v>
      </c>
      <c r="M162" s="127">
        <v>0</v>
      </c>
      <c r="N162" s="127">
        <v>0</v>
      </c>
      <c r="O162" s="127">
        <v>0</v>
      </c>
      <c r="P162" s="129">
        <v>0</v>
      </c>
      <c r="Q162" s="129">
        <v>0</v>
      </c>
      <c r="R162" s="129">
        <v>0</v>
      </c>
      <c r="S162" s="125">
        <v>136182</v>
      </c>
      <c r="T162" s="125">
        <v>7462</v>
      </c>
      <c r="U162" s="125">
        <v>1387</v>
      </c>
      <c r="V162" s="136">
        <v>995</v>
      </c>
      <c r="W162" s="136">
        <v>70474</v>
      </c>
      <c r="X162" s="136">
        <v>1347</v>
      </c>
      <c r="Y162" s="137">
        <v>0</v>
      </c>
      <c r="Z162" s="137">
        <v>662</v>
      </c>
      <c r="AA162" s="137">
        <v>0</v>
      </c>
      <c r="AB162" s="141">
        <v>0</v>
      </c>
      <c r="AC162" s="141">
        <v>286</v>
      </c>
      <c r="AD162" s="141">
        <v>0</v>
      </c>
    </row>
    <row r="163" spans="1:30" ht="14.25">
      <c r="A163">
        <v>500</v>
      </c>
      <c r="B163" s="121" t="s">
        <v>293</v>
      </c>
      <c r="C163" s="120">
        <v>14205</v>
      </c>
      <c r="D163" s="120">
        <v>0</v>
      </c>
      <c r="E163" s="120">
        <v>350</v>
      </c>
      <c r="F163" s="120">
        <v>1474</v>
      </c>
      <c r="G163" s="123">
        <v>293</v>
      </c>
      <c r="H163" s="123">
        <v>1963</v>
      </c>
      <c r="I163" s="123">
        <v>0</v>
      </c>
      <c r="J163" s="125">
        <v>0</v>
      </c>
      <c r="K163" s="125">
        <v>0</v>
      </c>
      <c r="L163" s="125">
        <v>0</v>
      </c>
      <c r="M163" s="127">
        <v>0</v>
      </c>
      <c r="N163" s="127">
        <v>0</v>
      </c>
      <c r="O163" s="127">
        <v>0</v>
      </c>
      <c r="P163" s="129">
        <v>0</v>
      </c>
      <c r="Q163" s="129">
        <v>112</v>
      </c>
      <c r="R163" s="129">
        <v>0</v>
      </c>
      <c r="S163" s="125">
        <v>56682</v>
      </c>
      <c r="T163" s="125">
        <v>3427</v>
      </c>
      <c r="U163" s="125">
        <v>1474</v>
      </c>
      <c r="V163" s="136">
        <v>1196</v>
      </c>
      <c r="W163" s="136">
        <v>24156</v>
      </c>
      <c r="X163" s="136">
        <v>774</v>
      </c>
      <c r="Y163" s="137">
        <v>3</v>
      </c>
      <c r="Z163" s="137">
        <v>3</v>
      </c>
      <c r="AA163" s="137">
        <v>0</v>
      </c>
      <c r="AB163" s="141">
        <v>20</v>
      </c>
      <c r="AC163" s="141">
        <v>153</v>
      </c>
      <c r="AD163" s="141">
        <v>0</v>
      </c>
    </row>
    <row r="164" spans="1:30" ht="14.25">
      <c r="A164">
        <v>503</v>
      </c>
      <c r="B164" s="121" t="s">
        <v>294</v>
      </c>
      <c r="C164" s="120">
        <v>9265</v>
      </c>
      <c r="D164" s="120">
        <v>0</v>
      </c>
      <c r="E164" s="120">
        <v>0</v>
      </c>
      <c r="F164" s="120">
        <v>681</v>
      </c>
      <c r="G164" s="123">
        <v>0</v>
      </c>
      <c r="H164" s="123">
        <v>46</v>
      </c>
      <c r="I164" s="123">
        <v>0</v>
      </c>
      <c r="J164" s="125">
        <v>0</v>
      </c>
      <c r="K164" s="125">
        <v>0</v>
      </c>
      <c r="L164" s="125">
        <v>0</v>
      </c>
      <c r="M164" s="127">
        <v>0</v>
      </c>
      <c r="N164" s="127">
        <v>0</v>
      </c>
      <c r="O164" s="127">
        <v>0</v>
      </c>
      <c r="P164" s="129">
        <v>0</v>
      </c>
      <c r="Q164" s="129">
        <v>0</v>
      </c>
      <c r="R164" s="129">
        <v>0</v>
      </c>
      <c r="S164" s="125">
        <v>51524</v>
      </c>
      <c r="T164" s="125">
        <v>1794</v>
      </c>
      <c r="U164" s="125">
        <v>681</v>
      </c>
      <c r="V164" s="136">
        <v>29</v>
      </c>
      <c r="W164" s="136">
        <v>27628</v>
      </c>
      <c r="X164" s="136">
        <v>546</v>
      </c>
      <c r="Y164" s="137">
        <v>0</v>
      </c>
      <c r="Z164" s="137">
        <v>0</v>
      </c>
      <c r="AA164" s="137">
        <v>0</v>
      </c>
      <c r="AB164" s="141">
        <v>0</v>
      </c>
      <c r="AC164" s="141">
        <v>0</v>
      </c>
      <c r="AD164" s="141">
        <v>0</v>
      </c>
    </row>
    <row r="165" spans="1:30" ht="14.25">
      <c r="A165">
        <v>504</v>
      </c>
      <c r="B165" s="121" t="s">
        <v>295</v>
      </c>
      <c r="C165" s="120">
        <v>1287</v>
      </c>
      <c r="D165" s="120">
        <v>0</v>
      </c>
      <c r="E165" s="120">
        <v>0</v>
      </c>
      <c r="F165" s="120">
        <v>0</v>
      </c>
      <c r="G165" s="123">
        <v>0</v>
      </c>
      <c r="H165" s="123">
        <v>0</v>
      </c>
      <c r="I165" s="123">
        <v>0</v>
      </c>
      <c r="J165" s="125">
        <v>0</v>
      </c>
      <c r="K165" s="125">
        <v>0</v>
      </c>
      <c r="L165" s="125">
        <v>0</v>
      </c>
      <c r="M165" s="127">
        <v>0</v>
      </c>
      <c r="N165" s="127">
        <v>0</v>
      </c>
      <c r="O165" s="127">
        <v>0</v>
      </c>
      <c r="P165" s="129">
        <v>0</v>
      </c>
      <c r="Q165" s="129">
        <v>0</v>
      </c>
      <c r="R165" s="129">
        <v>0</v>
      </c>
      <c r="S165" s="125">
        <v>11310</v>
      </c>
      <c r="T165" s="125">
        <v>545</v>
      </c>
      <c r="U165" s="125">
        <v>0</v>
      </c>
      <c r="V165" s="136">
        <v>215</v>
      </c>
      <c r="W165" s="136">
        <v>6433</v>
      </c>
      <c r="X165" s="136">
        <v>223</v>
      </c>
      <c r="Y165" s="137">
        <v>0</v>
      </c>
      <c r="Z165" s="137">
        <v>0</v>
      </c>
      <c r="AA165" s="137">
        <v>0</v>
      </c>
      <c r="AB165" s="141">
        <v>0</v>
      </c>
      <c r="AC165" s="141">
        <v>0</v>
      </c>
      <c r="AD165" s="141">
        <v>0</v>
      </c>
    </row>
    <row r="166" spans="1:30" ht="14.25">
      <c r="A166">
        <v>505</v>
      </c>
      <c r="B166" s="121" t="s">
        <v>296</v>
      </c>
      <c r="C166" s="120">
        <v>49724</v>
      </c>
      <c r="D166" s="120">
        <v>0</v>
      </c>
      <c r="E166" s="120">
        <v>58</v>
      </c>
      <c r="F166" s="120">
        <v>6724</v>
      </c>
      <c r="G166" s="123">
        <v>279</v>
      </c>
      <c r="H166" s="123">
        <v>19203</v>
      </c>
      <c r="I166" s="123">
        <v>0</v>
      </c>
      <c r="J166" s="125">
        <v>0</v>
      </c>
      <c r="K166" s="125">
        <v>0</v>
      </c>
      <c r="L166" s="125">
        <v>0</v>
      </c>
      <c r="M166" s="127">
        <v>0</v>
      </c>
      <c r="N166" s="127">
        <v>0</v>
      </c>
      <c r="O166" s="127">
        <v>0</v>
      </c>
      <c r="P166" s="129">
        <v>0</v>
      </c>
      <c r="Q166" s="129">
        <v>1836</v>
      </c>
      <c r="R166" s="129">
        <v>0</v>
      </c>
      <c r="S166" s="125">
        <v>147370</v>
      </c>
      <c r="T166" s="125">
        <v>5770</v>
      </c>
      <c r="U166" s="125">
        <v>6723</v>
      </c>
      <c r="V166" s="136">
        <v>1093</v>
      </c>
      <c r="W166" s="136">
        <v>72483</v>
      </c>
      <c r="X166" s="136">
        <v>1938</v>
      </c>
      <c r="Y166" s="137">
        <v>0</v>
      </c>
      <c r="Z166" s="137">
        <v>237</v>
      </c>
      <c r="AA166" s="137">
        <v>1</v>
      </c>
      <c r="AB166" s="141">
        <v>18</v>
      </c>
      <c r="AC166" s="141">
        <v>2867</v>
      </c>
      <c r="AD166" s="141">
        <v>0</v>
      </c>
    </row>
    <row r="167" spans="1:30" ht="14.25">
      <c r="A167">
        <v>507</v>
      </c>
      <c r="B167" s="121" t="s">
        <v>298</v>
      </c>
      <c r="C167" s="120">
        <v>12525</v>
      </c>
      <c r="D167" s="120">
        <v>0</v>
      </c>
      <c r="E167" s="120">
        <v>0</v>
      </c>
      <c r="F167" s="120">
        <v>1104</v>
      </c>
      <c r="G167" s="123">
        <v>249</v>
      </c>
      <c r="H167" s="123">
        <v>3765</v>
      </c>
      <c r="I167" s="123">
        <v>0</v>
      </c>
      <c r="J167" s="125">
        <v>0</v>
      </c>
      <c r="K167" s="125">
        <v>0</v>
      </c>
      <c r="L167" s="125">
        <v>0</v>
      </c>
      <c r="M167" s="127">
        <v>0</v>
      </c>
      <c r="N167" s="127">
        <v>0</v>
      </c>
      <c r="O167" s="127">
        <v>0</v>
      </c>
      <c r="P167" s="129">
        <v>0</v>
      </c>
      <c r="Q167" s="129">
        <v>99</v>
      </c>
      <c r="R167" s="129">
        <v>0</v>
      </c>
      <c r="S167" s="125">
        <v>48739</v>
      </c>
      <c r="T167" s="125">
        <v>2197</v>
      </c>
      <c r="U167" s="125">
        <v>1104</v>
      </c>
      <c r="V167" s="136">
        <v>656</v>
      </c>
      <c r="W167" s="136">
        <v>27770</v>
      </c>
      <c r="X167" s="136">
        <v>490</v>
      </c>
      <c r="Y167" s="137">
        <v>0</v>
      </c>
      <c r="Z167" s="137">
        <v>59</v>
      </c>
      <c r="AA167" s="137">
        <v>0</v>
      </c>
      <c r="AB167" s="141">
        <v>2</v>
      </c>
      <c r="AC167" s="141">
        <v>528</v>
      </c>
      <c r="AD167" s="141">
        <v>0</v>
      </c>
    </row>
    <row r="168" spans="1:30" ht="14.25">
      <c r="A168">
        <v>508</v>
      </c>
      <c r="B168" s="121" t="s">
        <v>297</v>
      </c>
      <c r="C168" s="120">
        <v>25669</v>
      </c>
      <c r="D168" s="120">
        <v>0</v>
      </c>
      <c r="E168" s="120">
        <v>0</v>
      </c>
      <c r="F168" s="120">
        <v>0</v>
      </c>
      <c r="G168" s="123">
        <v>641</v>
      </c>
      <c r="H168" s="123">
        <v>15203</v>
      </c>
      <c r="I168" s="123">
        <v>0</v>
      </c>
      <c r="J168" s="125">
        <v>0</v>
      </c>
      <c r="K168" s="125">
        <v>0</v>
      </c>
      <c r="L168" s="125">
        <v>0</v>
      </c>
      <c r="M168" s="127">
        <v>0</v>
      </c>
      <c r="N168" s="127">
        <v>0</v>
      </c>
      <c r="O168" s="127">
        <v>0</v>
      </c>
      <c r="P168" s="129">
        <v>0</v>
      </c>
      <c r="Q168" s="129">
        <v>0</v>
      </c>
      <c r="R168" s="129">
        <v>0</v>
      </c>
      <c r="S168" s="125">
        <v>89919</v>
      </c>
      <c r="T168" s="125">
        <v>2344</v>
      </c>
      <c r="U168" s="125">
        <v>0</v>
      </c>
      <c r="V168" s="136">
        <v>792</v>
      </c>
      <c r="W168" s="136">
        <v>58225</v>
      </c>
      <c r="X168" s="136">
        <v>758</v>
      </c>
      <c r="Y168" s="137">
        <v>0</v>
      </c>
      <c r="Z168" s="137">
        <v>4</v>
      </c>
      <c r="AA168" s="137">
        <v>0</v>
      </c>
      <c r="AB168" s="141">
        <v>0</v>
      </c>
      <c r="AC168" s="141">
        <v>0</v>
      </c>
      <c r="AD168" s="141">
        <v>0</v>
      </c>
    </row>
    <row r="169" spans="1:30" ht="14.25">
      <c r="A169">
        <v>529</v>
      </c>
      <c r="B169" s="121" t="s">
        <v>299</v>
      </c>
      <c r="C169" s="120">
        <v>47206</v>
      </c>
      <c r="D169" s="120">
        <v>0</v>
      </c>
      <c r="E169" s="120">
        <v>218</v>
      </c>
      <c r="F169" s="120">
        <v>2842</v>
      </c>
      <c r="G169" s="123">
        <v>325</v>
      </c>
      <c r="H169" s="123">
        <v>6213</v>
      </c>
      <c r="I169" s="123">
        <v>0</v>
      </c>
      <c r="J169" s="125">
        <v>0</v>
      </c>
      <c r="K169" s="125">
        <v>0</v>
      </c>
      <c r="L169" s="125">
        <v>0</v>
      </c>
      <c r="M169" s="127">
        <v>0</v>
      </c>
      <c r="N169" s="127">
        <v>0</v>
      </c>
      <c r="O169" s="127">
        <v>0</v>
      </c>
      <c r="P169" s="129">
        <v>0</v>
      </c>
      <c r="Q169" s="129">
        <v>0</v>
      </c>
      <c r="R169" s="129">
        <v>0</v>
      </c>
      <c r="S169" s="125">
        <v>136011</v>
      </c>
      <c r="T169" s="125">
        <v>8426</v>
      </c>
      <c r="U169" s="125">
        <v>2838</v>
      </c>
      <c r="V169" s="136">
        <v>1766</v>
      </c>
      <c r="W169" s="136">
        <v>62727</v>
      </c>
      <c r="X169" s="136">
        <v>1437</v>
      </c>
      <c r="Y169" s="137">
        <v>0</v>
      </c>
      <c r="Z169" s="137">
        <v>159</v>
      </c>
      <c r="AA169" s="137">
        <v>0</v>
      </c>
      <c r="AB169" s="141">
        <v>11</v>
      </c>
      <c r="AC169" s="141">
        <v>184</v>
      </c>
      <c r="AD169" s="141">
        <v>0</v>
      </c>
    </row>
    <row r="170" spans="1:30" ht="14.25">
      <c r="A170">
        <v>531</v>
      </c>
      <c r="B170" s="121" t="s">
        <v>300</v>
      </c>
      <c r="C170" s="120">
        <v>6559</v>
      </c>
      <c r="D170" s="120">
        <v>0</v>
      </c>
      <c r="E170" s="120">
        <v>0</v>
      </c>
      <c r="F170" s="120">
        <v>767</v>
      </c>
      <c r="G170" s="123">
        <v>123</v>
      </c>
      <c r="H170" s="123">
        <v>1640</v>
      </c>
      <c r="I170" s="123">
        <v>155</v>
      </c>
      <c r="J170" s="125">
        <v>0</v>
      </c>
      <c r="K170" s="125">
        <v>0</v>
      </c>
      <c r="L170" s="125">
        <v>0</v>
      </c>
      <c r="M170" s="127">
        <v>0</v>
      </c>
      <c r="N170" s="127">
        <v>0</v>
      </c>
      <c r="O170" s="127">
        <v>0</v>
      </c>
      <c r="P170" s="129">
        <v>1</v>
      </c>
      <c r="Q170" s="129">
        <v>21</v>
      </c>
      <c r="R170" s="129">
        <v>0</v>
      </c>
      <c r="S170" s="125">
        <v>35442</v>
      </c>
      <c r="T170" s="125">
        <v>1260</v>
      </c>
      <c r="U170" s="125">
        <v>767</v>
      </c>
      <c r="V170" s="136">
        <v>453</v>
      </c>
      <c r="W170" s="136">
        <v>20053</v>
      </c>
      <c r="X170" s="136">
        <v>611</v>
      </c>
      <c r="Y170" s="137">
        <v>0</v>
      </c>
      <c r="Z170" s="137">
        <v>88</v>
      </c>
      <c r="AA170" s="137">
        <v>30</v>
      </c>
      <c r="AB170" s="141">
        <v>8</v>
      </c>
      <c r="AC170" s="141">
        <v>371</v>
      </c>
      <c r="AD170" s="141">
        <v>9</v>
      </c>
    </row>
    <row r="171" spans="1:30" ht="14.25">
      <c r="A171">
        <v>532</v>
      </c>
      <c r="B171" s="121" t="s">
        <v>527</v>
      </c>
      <c r="C171" s="120">
        <v>18741</v>
      </c>
      <c r="D171" s="120">
        <v>0</v>
      </c>
      <c r="E171" s="120">
        <v>55</v>
      </c>
      <c r="F171" s="120">
        <v>441</v>
      </c>
      <c r="G171" s="123">
        <v>0</v>
      </c>
      <c r="H171" s="123">
        <v>598</v>
      </c>
      <c r="I171" s="123">
        <v>0</v>
      </c>
      <c r="J171" s="125">
        <v>0</v>
      </c>
      <c r="K171" s="125">
        <v>0</v>
      </c>
      <c r="L171" s="125">
        <v>0</v>
      </c>
      <c r="M171" s="127">
        <v>0</v>
      </c>
      <c r="N171" s="127">
        <v>0</v>
      </c>
      <c r="O171" s="127">
        <v>0</v>
      </c>
      <c r="P171" s="129">
        <v>0</v>
      </c>
      <c r="Q171" s="129">
        <v>0</v>
      </c>
      <c r="R171" s="129">
        <v>0</v>
      </c>
      <c r="S171" s="125">
        <v>84924</v>
      </c>
      <c r="T171" s="125">
        <v>6054</v>
      </c>
      <c r="U171" s="125">
        <v>441</v>
      </c>
      <c r="V171" s="136">
        <v>1345</v>
      </c>
      <c r="W171" s="136">
        <v>43657</v>
      </c>
      <c r="X171" s="136">
        <v>1643</v>
      </c>
      <c r="Y171" s="137">
        <v>0</v>
      </c>
      <c r="Z171" s="137">
        <v>0</v>
      </c>
      <c r="AA171" s="137">
        <v>0</v>
      </c>
      <c r="AB171" s="141">
        <v>0</v>
      </c>
      <c r="AC171" s="141">
        <v>3</v>
      </c>
      <c r="AD171" s="141">
        <v>0</v>
      </c>
    </row>
    <row r="172" spans="1:30" ht="14.25">
      <c r="A172">
        <v>535</v>
      </c>
      <c r="B172" s="121" t="s">
        <v>301</v>
      </c>
      <c r="C172" s="120">
        <v>15723</v>
      </c>
      <c r="D172" s="120">
        <v>0</v>
      </c>
      <c r="E172" s="120">
        <v>32</v>
      </c>
      <c r="F172" s="120">
        <v>1960</v>
      </c>
      <c r="G172" s="123">
        <v>79</v>
      </c>
      <c r="H172" s="123">
        <v>150</v>
      </c>
      <c r="I172" s="123">
        <v>0</v>
      </c>
      <c r="J172" s="125">
        <v>0</v>
      </c>
      <c r="K172" s="125">
        <v>0</v>
      </c>
      <c r="L172" s="125">
        <v>0</v>
      </c>
      <c r="M172" s="127">
        <v>0</v>
      </c>
      <c r="N172" s="127">
        <v>0</v>
      </c>
      <c r="O172" s="127">
        <v>0</v>
      </c>
      <c r="P172" s="129">
        <v>0</v>
      </c>
      <c r="Q172" s="129">
        <v>0</v>
      </c>
      <c r="R172" s="129">
        <v>0</v>
      </c>
      <c r="S172" s="125">
        <v>77817</v>
      </c>
      <c r="T172" s="125">
        <v>2011</v>
      </c>
      <c r="U172" s="125">
        <v>1960</v>
      </c>
      <c r="V172" s="136">
        <v>100</v>
      </c>
      <c r="W172" s="136">
        <v>36971</v>
      </c>
      <c r="X172" s="136">
        <v>871</v>
      </c>
      <c r="Y172" s="137">
        <v>0</v>
      </c>
      <c r="Z172" s="137">
        <v>0</v>
      </c>
      <c r="AA172" s="137">
        <v>0</v>
      </c>
      <c r="AB172" s="141">
        <v>7</v>
      </c>
      <c r="AC172" s="141">
        <v>688</v>
      </c>
      <c r="AD172" s="141">
        <v>7</v>
      </c>
    </row>
    <row r="173" spans="1:30" ht="14.25">
      <c r="A173">
        <v>536</v>
      </c>
      <c r="B173" s="121" t="s">
        <v>302</v>
      </c>
      <c r="C173" s="120">
        <v>50936</v>
      </c>
      <c r="D173" s="120">
        <v>0</v>
      </c>
      <c r="E173" s="120">
        <v>2390</v>
      </c>
      <c r="F173" s="120">
        <v>1734</v>
      </c>
      <c r="G173" s="123">
        <v>309</v>
      </c>
      <c r="H173" s="123">
        <v>10556</v>
      </c>
      <c r="I173" s="123">
        <v>0</v>
      </c>
      <c r="J173" s="125">
        <v>0</v>
      </c>
      <c r="K173" s="125">
        <v>0</v>
      </c>
      <c r="L173" s="125">
        <v>0</v>
      </c>
      <c r="M173" s="127">
        <v>0</v>
      </c>
      <c r="N173" s="127">
        <v>0</v>
      </c>
      <c r="O173" s="127">
        <v>0</v>
      </c>
      <c r="P173" s="129">
        <v>0</v>
      </c>
      <c r="Q173" s="129">
        <v>0</v>
      </c>
      <c r="R173" s="129">
        <v>0</v>
      </c>
      <c r="S173" s="125">
        <v>210405</v>
      </c>
      <c r="T173" s="125">
        <v>10603</v>
      </c>
      <c r="U173" s="125">
        <v>1734</v>
      </c>
      <c r="V173" s="136">
        <v>2584</v>
      </c>
      <c r="W173" s="136">
        <v>100945</v>
      </c>
      <c r="X173" s="136">
        <v>2217</v>
      </c>
      <c r="Y173" s="137">
        <v>0</v>
      </c>
      <c r="Z173" s="137">
        <v>183</v>
      </c>
      <c r="AA173" s="137">
        <v>0</v>
      </c>
      <c r="AB173" s="141">
        <v>16</v>
      </c>
      <c r="AC173" s="141">
        <v>628</v>
      </c>
      <c r="AD173" s="141">
        <v>8</v>
      </c>
    </row>
    <row r="174" spans="1:30" ht="14.25">
      <c r="A174">
        <v>538</v>
      </c>
      <c r="B174" s="121" t="s">
        <v>303</v>
      </c>
      <c r="C174" s="120">
        <v>6316</v>
      </c>
      <c r="D174" s="120">
        <v>0</v>
      </c>
      <c r="E174" s="120">
        <v>0</v>
      </c>
      <c r="F174" s="120">
        <v>455</v>
      </c>
      <c r="G174" s="123">
        <v>0</v>
      </c>
      <c r="H174" s="123">
        <v>0</v>
      </c>
      <c r="I174" s="123">
        <v>30</v>
      </c>
      <c r="J174" s="125">
        <v>0</v>
      </c>
      <c r="K174" s="125">
        <v>0</v>
      </c>
      <c r="L174" s="125">
        <v>0</v>
      </c>
      <c r="M174" s="127">
        <v>0</v>
      </c>
      <c r="N174" s="127">
        <v>0</v>
      </c>
      <c r="O174" s="127">
        <v>0</v>
      </c>
      <c r="P174" s="129">
        <v>0</v>
      </c>
      <c r="Q174" s="129">
        <v>0</v>
      </c>
      <c r="R174" s="129">
        <v>0</v>
      </c>
      <c r="S174" s="125">
        <v>31080</v>
      </c>
      <c r="T174" s="125">
        <v>897</v>
      </c>
      <c r="U174" s="125">
        <v>455</v>
      </c>
      <c r="V174" s="136">
        <v>202</v>
      </c>
      <c r="W174" s="136">
        <v>14022</v>
      </c>
      <c r="X174" s="136">
        <v>377</v>
      </c>
      <c r="Y174" s="137">
        <v>0</v>
      </c>
      <c r="Z174" s="137">
        <v>0</v>
      </c>
      <c r="AA174" s="137">
        <v>18</v>
      </c>
      <c r="AB174" s="141">
        <v>0</v>
      </c>
      <c r="AC174" s="141">
        <v>0</v>
      </c>
      <c r="AD174" s="141">
        <v>0</v>
      </c>
    </row>
    <row r="175" spans="1:30" ht="14.25">
      <c r="A175">
        <v>541</v>
      </c>
      <c r="B175" s="121" t="s">
        <v>304</v>
      </c>
      <c r="C175" s="120">
        <v>13398</v>
      </c>
      <c r="D175" s="120">
        <v>0</v>
      </c>
      <c r="E175" s="120">
        <v>76</v>
      </c>
      <c r="F175" s="120">
        <v>0</v>
      </c>
      <c r="G175" s="123">
        <v>40</v>
      </c>
      <c r="H175" s="123">
        <v>2914</v>
      </c>
      <c r="I175" s="123">
        <v>0</v>
      </c>
      <c r="J175" s="125">
        <v>0</v>
      </c>
      <c r="K175" s="125">
        <v>0</v>
      </c>
      <c r="L175" s="125">
        <v>0</v>
      </c>
      <c r="M175" s="127">
        <v>0</v>
      </c>
      <c r="N175" s="127">
        <v>0</v>
      </c>
      <c r="O175" s="127">
        <v>0</v>
      </c>
      <c r="P175" s="129">
        <v>0</v>
      </c>
      <c r="Q175" s="129">
        <v>0</v>
      </c>
      <c r="R175" s="129">
        <v>0</v>
      </c>
      <c r="S175" s="125">
        <v>61279</v>
      </c>
      <c r="T175" s="125">
        <v>3876</v>
      </c>
      <c r="U175" s="125">
        <v>0</v>
      </c>
      <c r="V175" s="136">
        <v>126</v>
      </c>
      <c r="W175" s="136">
        <v>34227</v>
      </c>
      <c r="X175" s="136">
        <v>663</v>
      </c>
      <c r="Y175" s="137">
        <v>0</v>
      </c>
      <c r="Z175" s="137">
        <v>0</v>
      </c>
      <c r="AA175" s="137">
        <v>0</v>
      </c>
      <c r="AB175" s="141">
        <v>0</v>
      </c>
      <c r="AC175" s="141">
        <v>0</v>
      </c>
      <c r="AD175" s="141">
        <v>0</v>
      </c>
    </row>
    <row r="176" spans="1:30" ht="14.25">
      <c r="A176">
        <v>543</v>
      </c>
      <c r="B176" s="121" t="s">
        <v>305</v>
      </c>
      <c r="C176" s="120">
        <v>78421</v>
      </c>
      <c r="D176" s="120">
        <v>0</v>
      </c>
      <c r="E176" s="120">
        <v>0</v>
      </c>
      <c r="F176" s="120">
        <v>10950</v>
      </c>
      <c r="G176" s="123">
        <v>332</v>
      </c>
      <c r="H176" s="123">
        <v>13377</v>
      </c>
      <c r="I176" s="123">
        <v>0</v>
      </c>
      <c r="J176" s="125">
        <v>0</v>
      </c>
      <c r="K176" s="125">
        <v>0</v>
      </c>
      <c r="L176" s="125">
        <v>0</v>
      </c>
      <c r="M176" s="127">
        <v>0</v>
      </c>
      <c r="N176" s="127">
        <v>0</v>
      </c>
      <c r="O176" s="127">
        <v>0</v>
      </c>
      <c r="P176" s="129">
        <v>0</v>
      </c>
      <c r="Q176" s="129">
        <v>1010</v>
      </c>
      <c r="R176" s="129">
        <v>11</v>
      </c>
      <c r="S176" s="125">
        <v>269643</v>
      </c>
      <c r="T176" s="125">
        <v>14019</v>
      </c>
      <c r="U176" s="125">
        <v>10950</v>
      </c>
      <c r="V176" s="136">
        <v>2141</v>
      </c>
      <c r="W176" s="136">
        <v>120137</v>
      </c>
      <c r="X176" s="136">
        <v>3242</v>
      </c>
      <c r="Y176" s="137">
        <v>47</v>
      </c>
      <c r="Z176" s="137">
        <v>318</v>
      </c>
      <c r="AA176" s="137">
        <v>0</v>
      </c>
      <c r="AB176" s="141">
        <v>123</v>
      </c>
      <c r="AC176" s="141">
        <v>5646</v>
      </c>
      <c r="AD176" s="141">
        <v>0</v>
      </c>
    </row>
    <row r="177" spans="1:30" ht="14.25">
      <c r="A177">
        <v>545</v>
      </c>
      <c r="B177" s="121" t="s">
        <v>306</v>
      </c>
      <c r="C177" s="120">
        <v>18177</v>
      </c>
      <c r="D177" s="120">
        <v>0</v>
      </c>
      <c r="E177" s="120">
        <v>0</v>
      </c>
      <c r="F177" s="120">
        <v>0</v>
      </c>
      <c r="G177" s="123">
        <v>13</v>
      </c>
      <c r="H177" s="123">
        <v>5679</v>
      </c>
      <c r="I177" s="123">
        <v>0</v>
      </c>
      <c r="J177" s="125">
        <v>0</v>
      </c>
      <c r="K177" s="125">
        <v>0</v>
      </c>
      <c r="L177" s="125">
        <v>0</v>
      </c>
      <c r="M177" s="127">
        <v>0</v>
      </c>
      <c r="N177" s="127">
        <v>0</v>
      </c>
      <c r="O177" s="127">
        <v>0</v>
      </c>
      <c r="P177" s="129">
        <v>0</v>
      </c>
      <c r="Q177" s="129">
        <v>0</v>
      </c>
      <c r="R177" s="129">
        <v>0</v>
      </c>
      <c r="S177" s="125">
        <v>70303</v>
      </c>
      <c r="T177" s="125">
        <v>2573</v>
      </c>
      <c r="U177" s="125">
        <v>0</v>
      </c>
      <c r="V177" s="136">
        <v>97</v>
      </c>
      <c r="W177" s="136">
        <v>37516</v>
      </c>
      <c r="X177" s="136">
        <v>619</v>
      </c>
      <c r="Y177" s="137">
        <v>0</v>
      </c>
      <c r="Z177" s="137">
        <v>134</v>
      </c>
      <c r="AA177" s="137">
        <v>0</v>
      </c>
      <c r="AB177" s="141">
        <v>0</v>
      </c>
      <c r="AC177" s="141">
        <v>0</v>
      </c>
      <c r="AD177" s="141">
        <v>0</v>
      </c>
    </row>
    <row r="178" spans="1:30" ht="14.25">
      <c r="A178">
        <v>560</v>
      </c>
      <c r="B178" s="121" t="s">
        <v>307</v>
      </c>
      <c r="C178" s="120">
        <v>18085</v>
      </c>
      <c r="D178" s="120">
        <v>0</v>
      </c>
      <c r="E178" s="120">
        <v>0</v>
      </c>
      <c r="F178" s="120">
        <v>226</v>
      </c>
      <c r="G178" s="123">
        <v>0</v>
      </c>
      <c r="H178" s="123">
        <v>1141</v>
      </c>
      <c r="I178" s="123">
        <v>0</v>
      </c>
      <c r="J178" s="125">
        <v>0</v>
      </c>
      <c r="K178" s="125">
        <v>0</v>
      </c>
      <c r="L178" s="125">
        <v>0</v>
      </c>
      <c r="M178" s="127">
        <v>0</v>
      </c>
      <c r="N178" s="127">
        <v>0</v>
      </c>
      <c r="O178" s="127">
        <v>0</v>
      </c>
      <c r="P178" s="129">
        <v>0</v>
      </c>
      <c r="Q178" s="129">
        <v>0</v>
      </c>
      <c r="R178" s="129">
        <v>0</v>
      </c>
      <c r="S178" s="125">
        <v>101747</v>
      </c>
      <c r="T178" s="125">
        <v>3115</v>
      </c>
      <c r="U178" s="125">
        <v>226</v>
      </c>
      <c r="V178" s="136">
        <v>1371</v>
      </c>
      <c r="W178" s="136">
        <v>54061</v>
      </c>
      <c r="X178" s="136">
        <v>1838</v>
      </c>
      <c r="Y178" s="137">
        <v>0</v>
      </c>
      <c r="Z178" s="137">
        <v>0</v>
      </c>
      <c r="AA178" s="137">
        <v>0</v>
      </c>
      <c r="AB178" s="141">
        <v>0</v>
      </c>
      <c r="AC178" s="141">
        <v>1</v>
      </c>
      <c r="AD178" s="141">
        <v>0</v>
      </c>
    </row>
    <row r="179" spans="1:30" ht="14.25">
      <c r="A179">
        <v>561</v>
      </c>
      <c r="B179" s="121" t="s">
        <v>308</v>
      </c>
      <c r="C179" s="120">
        <v>1731</v>
      </c>
      <c r="D179" s="120">
        <v>0</v>
      </c>
      <c r="E179" s="120">
        <v>0</v>
      </c>
      <c r="F179" s="120">
        <v>138</v>
      </c>
      <c r="G179" s="123">
        <v>9</v>
      </c>
      <c r="H179" s="123">
        <v>544</v>
      </c>
      <c r="I179" s="123">
        <v>0</v>
      </c>
      <c r="J179" s="125">
        <v>0</v>
      </c>
      <c r="K179" s="125">
        <v>0</v>
      </c>
      <c r="L179" s="125">
        <v>0</v>
      </c>
      <c r="M179" s="127">
        <v>0</v>
      </c>
      <c r="N179" s="127">
        <v>0</v>
      </c>
      <c r="O179" s="127">
        <v>0</v>
      </c>
      <c r="P179" s="129">
        <v>0</v>
      </c>
      <c r="Q179" s="129">
        <v>0</v>
      </c>
      <c r="R179" s="129">
        <v>0</v>
      </c>
      <c r="S179" s="125">
        <v>9059</v>
      </c>
      <c r="T179" s="125">
        <v>377</v>
      </c>
      <c r="U179" s="125">
        <v>157</v>
      </c>
      <c r="V179" s="136">
        <v>27</v>
      </c>
      <c r="W179" s="136">
        <v>5025</v>
      </c>
      <c r="X179" s="136">
        <v>103</v>
      </c>
      <c r="Y179" s="137">
        <v>0</v>
      </c>
      <c r="Z179" s="137">
        <v>0</v>
      </c>
      <c r="AA179" s="137">
        <v>0</v>
      </c>
      <c r="AB179" s="141">
        <v>0</v>
      </c>
      <c r="AC179" s="141">
        <v>54</v>
      </c>
      <c r="AD179" s="141">
        <v>0</v>
      </c>
    </row>
    <row r="180" spans="1:30" ht="14.25">
      <c r="A180">
        <v>562</v>
      </c>
      <c r="B180" s="121" t="s">
        <v>309</v>
      </c>
      <c r="C180" s="120">
        <v>12290</v>
      </c>
      <c r="D180" s="120">
        <v>0</v>
      </c>
      <c r="E180" s="120">
        <v>36</v>
      </c>
      <c r="F180" s="120">
        <v>1392</v>
      </c>
      <c r="G180" s="123">
        <v>287</v>
      </c>
      <c r="H180" s="123">
        <v>501</v>
      </c>
      <c r="I180" s="123">
        <v>0</v>
      </c>
      <c r="J180" s="125">
        <v>0</v>
      </c>
      <c r="K180" s="125">
        <v>0</v>
      </c>
      <c r="L180" s="125">
        <v>0</v>
      </c>
      <c r="M180" s="127">
        <v>0</v>
      </c>
      <c r="N180" s="127">
        <v>0</v>
      </c>
      <c r="O180" s="127">
        <v>0</v>
      </c>
      <c r="P180" s="129">
        <v>0</v>
      </c>
      <c r="Q180" s="129">
        <v>0</v>
      </c>
      <c r="R180" s="129">
        <v>0</v>
      </c>
      <c r="S180" s="125">
        <v>65591</v>
      </c>
      <c r="T180" s="125">
        <v>3076</v>
      </c>
      <c r="U180" s="125">
        <v>1392</v>
      </c>
      <c r="V180" s="136">
        <v>1206</v>
      </c>
      <c r="W180" s="136">
        <v>35824</v>
      </c>
      <c r="X180" s="136">
        <v>672</v>
      </c>
      <c r="Y180" s="137">
        <v>7</v>
      </c>
      <c r="Z180" s="137">
        <v>7</v>
      </c>
      <c r="AA180" s="137">
        <v>0</v>
      </c>
      <c r="AB180" s="141">
        <v>0</v>
      </c>
      <c r="AC180" s="141">
        <v>18</v>
      </c>
      <c r="AD180" s="141">
        <v>0</v>
      </c>
    </row>
    <row r="181" spans="1:30" ht="14.25">
      <c r="A181">
        <v>563</v>
      </c>
      <c r="B181" s="121" t="s">
        <v>310</v>
      </c>
      <c r="C181" s="120">
        <v>12605</v>
      </c>
      <c r="D181" s="120">
        <v>0</v>
      </c>
      <c r="E181" s="120">
        <v>0</v>
      </c>
      <c r="F181" s="120">
        <v>0</v>
      </c>
      <c r="G181" s="123">
        <v>88</v>
      </c>
      <c r="H181" s="123">
        <v>4115</v>
      </c>
      <c r="I181" s="123">
        <v>0</v>
      </c>
      <c r="J181" s="125">
        <v>0</v>
      </c>
      <c r="K181" s="125">
        <v>0</v>
      </c>
      <c r="L181" s="125">
        <v>0</v>
      </c>
      <c r="M181" s="127">
        <v>0</v>
      </c>
      <c r="N181" s="127">
        <v>0</v>
      </c>
      <c r="O181" s="127">
        <v>0</v>
      </c>
      <c r="P181" s="129">
        <v>0</v>
      </c>
      <c r="Q181" s="129">
        <v>0</v>
      </c>
      <c r="R181" s="129">
        <v>0</v>
      </c>
      <c r="S181" s="125">
        <v>58162</v>
      </c>
      <c r="T181" s="125">
        <v>2013</v>
      </c>
      <c r="U181" s="125">
        <v>0</v>
      </c>
      <c r="V181" s="136">
        <v>232</v>
      </c>
      <c r="W181" s="136">
        <v>32509</v>
      </c>
      <c r="X181" s="136">
        <v>744</v>
      </c>
      <c r="Y181" s="137">
        <v>0</v>
      </c>
      <c r="Z181" s="137">
        <v>137</v>
      </c>
      <c r="AA181" s="137">
        <v>0</v>
      </c>
      <c r="AB181" s="141">
        <v>0</v>
      </c>
      <c r="AC181" s="141">
        <v>0</v>
      </c>
      <c r="AD181" s="141">
        <v>0</v>
      </c>
    </row>
    <row r="182" spans="1:30" ht="14.25">
      <c r="A182">
        <v>564</v>
      </c>
      <c r="B182" s="121" t="s">
        <v>311</v>
      </c>
      <c r="C182" s="120">
        <v>527430</v>
      </c>
      <c r="D182" s="120">
        <v>0</v>
      </c>
      <c r="E182" s="120">
        <v>19345</v>
      </c>
      <c r="F182" s="120">
        <v>0</v>
      </c>
      <c r="G182" s="123">
        <v>3359</v>
      </c>
      <c r="H182" s="123">
        <v>91545</v>
      </c>
      <c r="I182" s="123">
        <v>18822</v>
      </c>
      <c r="J182" s="125">
        <v>0</v>
      </c>
      <c r="K182" s="125">
        <v>0</v>
      </c>
      <c r="L182" s="125">
        <v>0</v>
      </c>
      <c r="M182" s="127">
        <v>0</v>
      </c>
      <c r="N182" s="127">
        <v>176</v>
      </c>
      <c r="O182" s="127">
        <v>12</v>
      </c>
      <c r="P182" s="129">
        <v>0</v>
      </c>
      <c r="Q182" s="129">
        <v>0</v>
      </c>
      <c r="R182" s="129">
        <v>0</v>
      </c>
      <c r="S182" s="125">
        <v>1451179</v>
      </c>
      <c r="T182" s="125">
        <v>79665</v>
      </c>
      <c r="U182" s="125">
        <v>0</v>
      </c>
      <c r="V182" s="136">
        <v>23676</v>
      </c>
      <c r="W182" s="136">
        <v>660351</v>
      </c>
      <c r="X182" s="136">
        <v>29744</v>
      </c>
      <c r="Y182" s="137">
        <v>0</v>
      </c>
      <c r="Z182" s="137">
        <v>2727</v>
      </c>
      <c r="AA182" s="137">
        <v>793</v>
      </c>
      <c r="AB182" s="141">
        <v>0</v>
      </c>
      <c r="AC182" s="141">
        <v>0</v>
      </c>
      <c r="AD182" s="141">
        <v>0</v>
      </c>
    </row>
    <row r="183" spans="1:30" ht="14.25">
      <c r="A183">
        <v>576</v>
      </c>
      <c r="B183" s="121" t="s">
        <v>313</v>
      </c>
      <c r="C183" s="120">
        <v>3962</v>
      </c>
      <c r="D183" s="120">
        <v>0</v>
      </c>
      <c r="E183" s="120">
        <v>1</v>
      </c>
      <c r="F183" s="120">
        <v>0</v>
      </c>
      <c r="G183" s="123">
        <v>0</v>
      </c>
      <c r="H183" s="123">
        <v>69</v>
      </c>
      <c r="I183" s="123">
        <v>0</v>
      </c>
      <c r="J183" s="125">
        <v>0</v>
      </c>
      <c r="K183" s="125">
        <v>0</v>
      </c>
      <c r="L183" s="125">
        <v>0</v>
      </c>
      <c r="M183" s="127">
        <v>0</v>
      </c>
      <c r="N183" s="127">
        <v>0</v>
      </c>
      <c r="O183" s="127">
        <v>0</v>
      </c>
      <c r="P183" s="129">
        <v>0</v>
      </c>
      <c r="Q183" s="129">
        <v>0</v>
      </c>
      <c r="R183" s="129">
        <v>0</v>
      </c>
      <c r="S183" s="125">
        <v>22647</v>
      </c>
      <c r="T183" s="125">
        <v>1493</v>
      </c>
      <c r="U183" s="125">
        <v>0</v>
      </c>
      <c r="V183" s="136">
        <v>254</v>
      </c>
      <c r="W183" s="136">
        <v>13692</v>
      </c>
      <c r="X183" s="136">
        <v>280</v>
      </c>
      <c r="Y183" s="137">
        <v>0</v>
      </c>
      <c r="Z183" s="137">
        <v>0</v>
      </c>
      <c r="AA183" s="137">
        <v>0</v>
      </c>
      <c r="AB183" s="141">
        <v>0</v>
      </c>
      <c r="AC183" s="141">
        <v>0</v>
      </c>
      <c r="AD183" s="141">
        <v>0</v>
      </c>
    </row>
    <row r="184" spans="1:30" ht="14.25">
      <c r="A184">
        <v>577</v>
      </c>
      <c r="B184" s="121" t="s">
        <v>314</v>
      </c>
      <c r="C184" s="120">
        <v>13770</v>
      </c>
      <c r="D184" s="120">
        <v>0</v>
      </c>
      <c r="E184" s="120">
        <v>0</v>
      </c>
      <c r="F184" s="120">
        <v>0</v>
      </c>
      <c r="G184" s="123">
        <v>176</v>
      </c>
      <c r="H184" s="123">
        <v>2176</v>
      </c>
      <c r="I184" s="123">
        <v>0</v>
      </c>
      <c r="J184" s="125">
        <v>0</v>
      </c>
      <c r="K184" s="125">
        <v>0</v>
      </c>
      <c r="L184" s="125">
        <v>0</v>
      </c>
      <c r="M184" s="127">
        <v>0</v>
      </c>
      <c r="N184" s="127">
        <v>0</v>
      </c>
      <c r="O184" s="127">
        <v>0</v>
      </c>
      <c r="P184" s="129">
        <v>0</v>
      </c>
      <c r="Q184" s="129">
        <v>0</v>
      </c>
      <c r="R184" s="129">
        <v>0</v>
      </c>
      <c r="S184" s="125">
        <v>68899</v>
      </c>
      <c r="T184" s="125">
        <v>1808</v>
      </c>
      <c r="U184" s="125">
        <v>0</v>
      </c>
      <c r="V184" s="136">
        <v>435</v>
      </c>
      <c r="W184" s="136">
        <v>34189</v>
      </c>
      <c r="X184" s="136">
        <v>741</v>
      </c>
      <c r="Y184" s="137">
        <v>0</v>
      </c>
      <c r="Z184" s="137">
        <v>0</v>
      </c>
      <c r="AA184" s="137">
        <v>0</v>
      </c>
      <c r="AB184" s="141">
        <v>0</v>
      </c>
      <c r="AC184" s="141">
        <v>0</v>
      </c>
      <c r="AD184" s="141">
        <v>0</v>
      </c>
    </row>
    <row r="185" spans="1:30" ht="14.25">
      <c r="A185">
        <v>578</v>
      </c>
      <c r="B185" s="121" t="s">
        <v>315</v>
      </c>
      <c r="C185" s="120">
        <v>5259</v>
      </c>
      <c r="D185" s="120">
        <v>0</v>
      </c>
      <c r="E185" s="120">
        <v>0</v>
      </c>
      <c r="F185" s="120">
        <v>0</v>
      </c>
      <c r="G185" s="123">
        <v>6</v>
      </c>
      <c r="H185" s="123">
        <v>37</v>
      </c>
      <c r="I185" s="123">
        <v>0</v>
      </c>
      <c r="J185" s="125">
        <v>0</v>
      </c>
      <c r="K185" s="125">
        <v>0</v>
      </c>
      <c r="L185" s="125">
        <v>0</v>
      </c>
      <c r="M185" s="127">
        <v>0</v>
      </c>
      <c r="N185" s="127">
        <v>0</v>
      </c>
      <c r="O185" s="127">
        <v>0</v>
      </c>
      <c r="P185" s="129">
        <v>0</v>
      </c>
      <c r="Q185" s="129">
        <v>0</v>
      </c>
      <c r="R185" s="129">
        <v>0</v>
      </c>
      <c r="S185" s="125">
        <v>27275</v>
      </c>
      <c r="T185" s="125">
        <v>1270</v>
      </c>
      <c r="U185" s="125">
        <v>0</v>
      </c>
      <c r="V185" s="136">
        <v>141</v>
      </c>
      <c r="W185" s="136">
        <v>14654</v>
      </c>
      <c r="X185" s="136">
        <v>302</v>
      </c>
      <c r="Y185" s="137">
        <v>0</v>
      </c>
      <c r="Z185" s="137">
        <v>0</v>
      </c>
      <c r="AA185" s="137">
        <v>0</v>
      </c>
      <c r="AB185" s="141">
        <v>0</v>
      </c>
      <c r="AC185" s="141">
        <v>0</v>
      </c>
      <c r="AD185" s="141">
        <v>0</v>
      </c>
    </row>
    <row r="186" spans="1:30" ht="14.25">
      <c r="A186">
        <v>580</v>
      </c>
      <c r="B186" s="121" t="s">
        <v>316</v>
      </c>
      <c r="C186" s="120">
        <v>11427</v>
      </c>
      <c r="D186" s="120">
        <v>0</v>
      </c>
      <c r="E186" s="120">
        <v>0</v>
      </c>
      <c r="F186" s="120">
        <v>23</v>
      </c>
      <c r="G186" s="123">
        <v>0</v>
      </c>
      <c r="H186" s="123">
        <v>3</v>
      </c>
      <c r="I186" s="123">
        <v>22</v>
      </c>
      <c r="J186" s="125">
        <v>0</v>
      </c>
      <c r="K186" s="125">
        <v>0</v>
      </c>
      <c r="L186" s="125">
        <v>0</v>
      </c>
      <c r="M186" s="127">
        <v>0</v>
      </c>
      <c r="N186" s="127">
        <v>0</v>
      </c>
      <c r="O186" s="127">
        <v>0</v>
      </c>
      <c r="P186" s="129">
        <v>0</v>
      </c>
      <c r="Q186" s="129">
        <v>0</v>
      </c>
      <c r="R186" s="129">
        <v>0</v>
      </c>
      <c r="S186" s="125">
        <v>42512</v>
      </c>
      <c r="T186" s="125">
        <v>1704</v>
      </c>
      <c r="U186" s="125">
        <v>23</v>
      </c>
      <c r="V186" s="136">
        <v>143</v>
      </c>
      <c r="W186" s="136">
        <v>22507</v>
      </c>
      <c r="X186" s="136">
        <v>461</v>
      </c>
      <c r="Y186" s="137">
        <v>0</v>
      </c>
      <c r="Z186" s="137">
        <v>2</v>
      </c>
      <c r="AA186" s="137">
        <v>19</v>
      </c>
      <c r="AB186" s="141">
        <v>0</v>
      </c>
      <c r="AC186" s="141">
        <v>0</v>
      </c>
      <c r="AD186" s="141">
        <v>0</v>
      </c>
    </row>
    <row r="187" spans="1:30" ht="14.25">
      <c r="A187">
        <v>581</v>
      </c>
      <c r="B187" s="121" t="s">
        <v>317</v>
      </c>
      <c r="C187" s="120">
        <v>14848</v>
      </c>
      <c r="D187" s="120">
        <v>0</v>
      </c>
      <c r="E187" s="120">
        <v>237</v>
      </c>
      <c r="F187" s="120">
        <v>581</v>
      </c>
      <c r="G187" s="123">
        <v>162</v>
      </c>
      <c r="H187" s="123">
        <v>10912</v>
      </c>
      <c r="I187" s="123">
        <v>0</v>
      </c>
      <c r="J187" s="125">
        <v>0</v>
      </c>
      <c r="K187" s="125">
        <v>0</v>
      </c>
      <c r="L187" s="125">
        <v>0</v>
      </c>
      <c r="M187" s="127">
        <v>0</v>
      </c>
      <c r="N187" s="127">
        <v>0</v>
      </c>
      <c r="O187" s="127">
        <v>0</v>
      </c>
      <c r="P187" s="129">
        <v>0</v>
      </c>
      <c r="Q187" s="129">
        <v>0</v>
      </c>
      <c r="R187" s="129">
        <v>0</v>
      </c>
      <c r="S187" s="125">
        <v>51544</v>
      </c>
      <c r="T187" s="125">
        <v>2189</v>
      </c>
      <c r="U187" s="125">
        <v>581</v>
      </c>
      <c r="V187" s="136">
        <v>211</v>
      </c>
      <c r="W187" s="136">
        <v>34336</v>
      </c>
      <c r="X187" s="136">
        <v>483</v>
      </c>
      <c r="Y187" s="137">
        <v>0</v>
      </c>
      <c r="Z187" s="137">
        <v>324</v>
      </c>
      <c r="AA187" s="137">
        <v>0</v>
      </c>
      <c r="AB187" s="141">
        <v>3</v>
      </c>
      <c r="AC187" s="141">
        <v>240</v>
      </c>
      <c r="AD187" s="141">
        <v>0</v>
      </c>
    </row>
    <row r="188" spans="1:30" ht="14.25">
      <c r="A188">
        <v>583</v>
      </c>
      <c r="B188" s="121" t="s">
        <v>318</v>
      </c>
      <c r="C188" s="120">
        <v>1777</v>
      </c>
      <c r="D188" s="120">
        <v>0</v>
      </c>
      <c r="E188" s="120">
        <v>0</v>
      </c>
      <c r="F188" s="120">
        <v>155</v>
      </c>
      <c r="G188" s="123">
        <v>65</v>
      </c>
      <c r="H188" s="123">
        <v>422</v>
      </c>
      <c r="I188" s="123">
        <v>0</v>
      </c>
      <c r="J188" s="125">
        <v>0</v>
      </c>
      <c r="K188" s="125">
        <v>0</v>
      </c>
      <c r="L188" s="125">
        <v>0</v>
      </c>
      <c r="M188" s="127">
        <v>0</v>
      </c>
      <c r="N188" s="127">
        <v>0</v>
      </c>
      <c r="O188" s="127">
        <v>0</v>
      </c>
      <c r="P188" s="129">
        <v>0</v>
      </c>
      <c r="Q188" s="129">
        <v>0</v>
      </c>
      <c r="R188" s="129">
        <v>0</v>
      </c>
      <c r="S188" s="125">
        <v>9678</v>
      </c>
      <c r="T188" s="125">
        <v>333</v>
      </c>
      <c r="U188" s="125">
        <v>155</v>
      </c>
      <c r="V188" s="136">
        <v>132</v>
      </c>
      <c r="W188" s="136">
        <v>5463</v>
      </c>
      <c r="X188" s="136">
        <v>199</v>
      </c>
      <c r="Y188" s="137">
        <v>0</v>
      </c>
      <c r="Z188" s="137">
        <v>33</v>
      </c>
      <c r="AA188" s="137">
        <v>2</v>
      </c>
      <c r="AB188" s="141">
        <v>2</v>
      </c>
      <c r="AC188" s="141">
        <v>87</v>
      </c>
      <c r="AD188" s="141">
        <v>3</v>
      </c>
    </row>
    <row r="189" spans="1:30" ht="14.25">
      <c r="A189">
        <v>584</v>
      </c>
      <c r="B189" s="121" t="s">
        <v>320</v>
      </c>
      <c r="C189" s="120">
        <v>6507</v>
      </c>
      <c r="D189" s="120">
        <v>0</v>
      </c>
      <c r="E189" s="120">
        <v>0</v>
      </c>
      <c r="F189" s="120">
        <v>0</v>
      </c>
      <c r="G189" s="123">
        <v>26</v>
      </c>
      <c r="H189" s="123">
        <v>1435</v>
      </c>
      <c r="I189" s="123">
        <v>0</v>
      </c>
      <c r="J189" s="125">
        <v>0</v>
      </c>
      <c r="K189" s="125">
        <v>0</v>
      </c>
      <c r="L189" s="125">
        <v>0</v>
      </c>
      <c r="M189" s="127">
        <v>0</v>
      </c>
      <c r="N189" s="127">
        <v>0</v>
      </c>
      <c r="O189" s="127">
        <v>0</v>
      </c>
      <c r="P189" s="129">
        <v>0</v>
      </c>
      <c r="Q189" s="129">
        <v>0</v>
      </c>
      <c r="R189" s="129">
        <v>0</v>
      </c>
      <c r="S189" s="125">
        <v>22934</v>
      </c>
      <c r="T189" s="125">
        <v>1142</v>
      </c>
      <c r="U189" s="125">
        <v>0</v>
      </c>
      <c r="V189" s="136">
        <v>95</v>
      </c>
      <c r="W189" s="136">
        <v>10891</v>
      </c>
      <c r="X189" s="136">
        <v>215</v>
      </c>
      <c r="Y189" s="137">
        <v>0</v>
      </c>
      <c r="Z189" s="137">
        <v>20</v>
      </c>
      <c r="AA189" s="137">
        <v>73</v>
      </c>
      <c r="AB189" s="141">
        <v>0</v>
      </c>
      <c r="AC189" s="141">
        <v>0</v>
      </c>
      <c r="AD189" s="141">
        <v>0</v>
      </c>
    </row>
    <row r="190" spans="1:30" ht="14.25">
      <c r="A190">
        <v>588</v>
      </c>
      <c r="B190" s="121" t="s">
        <v>321</v>
      </c>
      <c r="C190" s="120">
        <v>3350</v>
      </c>
      <c r="D190" s="120">
        <v>0</v>
      </c>
      <c r="E190" s="120">
        <v>68</v>
      </c>
      <c r="F190" s="120">
        <v>364</v>
      </c>
      <c r="G190" s="123">
        <v>1</v>
      </c>
      <c r="H190" s="123">
        <v>1031</v>
      </c>
      <c r="I190" s="123">
        <v>1</v>
      </c>
      <c r="J190" s="125">
        <v>0</v>
      </c>
      <c r="K190" s="125">
        <v>0</v>
      </c>
      <c r="L190" s="125">
        <v>0</v>
      </c>
      <c r="M190" s="127">
        <v>0</v>
      </c>
      <c r="N190" s="127">
        <v>0</v>
      </c>
      <c r="O190" s="127">
        <v>0</v>
      </c>
      <c r="P190" s="129">
        <v>0</v>
      </c>
      <c r="Q190" s="129">
        <v>0</v>
      </c>
      <c r="R190" s="129">
        <v>0</v>
      </c>
      <c r="S190" s="125">
        <v>14412</v>
      </c>
      <c r="T190" s="125">
        <v>685</v>
      </c>
      <c r="U190" s="125">
        <v>364</v>
      </c>
      <c r="V190" s="136">
        <v>183</v>
      </c>
      <c r="W190" s="136">
        <v>8259</v>
      </c>
      <c r="X190" s="136">
        <v>156</v>
      </c>
      <c r="Y190" s="137">
        <v>3</v>
      </c>
      <c r="Z190" s="137">
        <v>10</v>
      </c>
      <c r="AA190" s="137">
        <v>0</v>
      </c>
      <c r="AB190" s="141">
        <v>5</v>
      </c>
      <c r="AC190" s="141">
        <v>138</v>
      </c>
      <c r="AD190" s="141">
        <v>0</v>
      </c>
    </row>
    <row r="191" spans="1:30" ht="14.25">
      <c r="A191">
        <v>592</v>
      </c>
      <c r="B191" s="121" t="s">
        <v>322</v>
      </c>
      <c r="C191" s="120">
        <v>7040</v>
      </c>
      <c r="D191" s="120">
        <v>0</v>
      </c>
      <c r="E191" s="120">
        <v>0</v>
      </c>
      <c r="F191" s="120">
        <v>0</v>
      </c>
      <c r="G191" s="123">
        <v>108</v>
      </c>
      <c r="H191" s="123">
        <v>1280</v>
      </c>
      <c r="I191" s="123">
        <v>0</v>
      </c>
      <c r="J191" s="125">
        <v>0</v>
      </c>
      <c r="K191" s="125">
        <v>0</v>
      </c>
      <c r="L191" s="125">
        <v>0</v>
      </c>
      <c r="M191" s="127">
        <v>0</v>
      </c>
      <c r="N191" s="127">
        <v>0</v>
      </c>
      <c r="O191" s="127">
        <v>0</v>
      </c>
      <c r="P191" s="129">
        <v>0</v>
      </c>
      <c r="Q191" s="129">
        <v>0</v>
      </c>
      <c r="R191" s="129">
        <v>0</v>
      </c>
      <c r="S191" s="125">
        <v>29077</v>
      </c>
      <c r="T191" s="125">
        <v>1031</v>
      </c>
      <c r="U191" s="125">
        <v>0</v>
      </c>
      <c r="V191" s="136">
        <v>381</v>
      </c>
      <c r="W191" s="136">
        <v>13652</v>
      </c>
      <c r="X191" s="136">
        <v>342</v>
      </c>
      <c r="Y191" s="137">
        <v>0</v>
      </c>
      <c r="Z191" s="137">
        <v>19</v>
      </c>
      <c r="AA191" s="137">
        <v>0</v>
      </c>
      <c r="AB191" s="141">
        <v>0</v>
      </c>
      <c r="AC191" s="141">
        <v>0</v>
      </c>
      <c r="AD191" s="141">
        <v>0</v>
      </c>
    </row>
    <row r="192" spans="1:30" ht="14.25">
      <c r="A192">
        <v>593</v>
      </c>
      <c r="B192" s="121" t="s">
        <v>323</v>
      </c>
      <c r="C192" s="120">
        <v>39565</v>
      </c>
      <c r="D192" s="120">
        <v>0</v>
      </c>
      <c r="E192" s="120">
        <v>153</v>
      </c>
      <c r="F192" s="120">
        <v>0</v>
      </c>
      <c r="G192" s="123">
        <v>215</v>
      </c>
      <c r="H192" s="123">
        <v>12239</v>
      </c>
      <c r="I192" s="123">
        <v>0</v>
      </c>
      <c r="J192" s="125">
        <v>0</v>
      </c>
      <c r="K192" s="125">
        <v>0</v>
      </c>
      <c r="L192" s="125">
        <v>0</v>
      </c>
      <c r="M192" s="127">
        <v>0</v>
      </c>
      <c r="N192" s="127">
        <v>0</v>
      </c>
      <c r="O192" s="127">
        <v>0</v>
      </c>
      <c r="P192" s="129">
        <v>0</v>
      </c>
      <c r="Q192" s="129">
        <v>0</v>
      </c>
      <c r="R192" s="129">
        <v>0</v>
      </c>
      <c r="S192" s="125">
        <v>150996</v>
      </c>
      <c r="T192" s="125">
        <v>6286</v>
      </c>
      <c r="U192" s="125">
        <v>0</v>
      </c>
      <c r="V192" s="136">
        <v>1532</v>
      </c>
      <c r="W192" s="136">
        <v>92690</v>
      </c>
      <c r="X192" s="136">
        <v>1602</v>
      </c>
      <c r="Y192" s="137">
        <v>0</v>
      </c>
      <c r="Z192" s="137">
        <v>180</v>
      </c>
      <c r="AA192" s="137">
        <v>0</v>
      </c>
      <c r="AB192" s="141">
        <v>0</v>
      </c>
      <c r="AC192" s="141">
        <v>0</v>
      </c>
      <c r="AD192" s="141">
        <v>0</v>
      </c>
    </row>
    <row r="193" spans="1:30" ht="14.25">
      <c r="A193">
        <v>595</v>
      </c>
      <c r="B193" s="121" t="s">
        <v>324</v>
      </c>
      <c r="C193" s="120">
        <v>7674</v>
      </c>
      <c r="D193" s="120">
        <v>0</v>
      </c>
      <c r="E193" s="120">
        <v>16</v>
      </c>
      <c r="F193" s="120">
        <v>261</v>
      </c>
      <c r="G193" s="123">
        <v>68</v>
      </c>
      <c r="H193" s="123">
        <v>1936</v>
      </c>
      <c r="I193" s="123">
        <v>0</v>
      </c>
      <c r="J193" s="125">
        <v>0</v>
      </c>
      <c r="K193" s="125">
        <v>0</v>
      </c>
      <c r="L193" s="125">
        <v>0</v>
      </c>
      <c r="M193" s="127">
        <v>0</v>
      </c>
      <c r="N193" s="127">
        <v>0</v>
      </c>
      <c r="O193" s="127">
        <v>0</v>
      </c>
      <c r="P193" s="129">
        <v>0</v>
      </c>
      <c r="Q193" s="129">
        <v>3</v>
      </c>
      <c r="R193" s="129">
        <v>0</v>
      </c>
      <c r="S193" s="125">
        <v>40273</v>
      </c>
      <c r="T193" s="125">
        <v>1179</v>
      </c>
      <c r="U193" s="125">
        <v>261</v>
      </c>
      <c r="V193" s="136">
        <v>434</v>
      </c>
      <c r="W193" s="136">
        <v>24655</v>
      </c>
      <c r="X193" s="136">
        <v>397</v>
      </c>
      <c r="Y193" s="137">
        <v>0</v>
      </c>
      <c r="Z193" s="137">
        <v>36</v>
      </c>
      <c r="AA193" s="137">
        <v>0</v>
      </c>
      <c r="AB193" s="141">
        <v>0</v>
      </c>
      <c r="AC193" s="141">
        <v>111</v>
      </c>
      <c r="AD193" s="141">
        <v>0</v>
      </c>
    </row>
    <row r="194" spans="1:30" ht="14.25">
      <c r="A194">
        <v>598</v>
      </c>
      <c r="B194" s="121" t="s">
        <v>325</v>
      </c>
      <c r="C194" s="120">
        <v>120065</v>
      </c>
      <c r="D194" s="120">
        <v>0</v>
      </c>
      <c r="E194" s="120">
        <v>1179</v>
      </c>
      <c r="F194" s="120">
        <v>7714</v>
      </c>
      <c r="G194" s="123">
        <v>194</v>
      </c>
      <c r="H194" s="123">
        <v>71239</v>
      </c>
      <c r="I194" s="123">
        <v>429</v>
      </c>
      <c r="J194" s="125">
        <v>0</v>
      </c>
      <c r="K194" s="125">
        <v>0</v>
      </c>
      <c r="L194" s="125">
        <v>0</v>
      </c>
      <c r="M194" s="127">
        <v>0</v>
      </c>
      <c r="N194" s="127">
        <v>0</v>
      </c>
      <c r="O194" s="127">
        <v>0</v>
      </c>
      <c r="P194" s="129">
        <v>0</v>
      </c>
      <c r="Q194" s="129">
        <v>1</v>
      </c>
      <c r="R194" s="129">
        <v>0</v>
      </c>
      <c r="S194" s="125">
        <v>231167</v>
      </c>
      <c r="T194" s="125">
        <v>6965</v>
      </c>
      <c r="U194" s="125">
        <v>7714</v>
      </c>
      <c r="V194" s="136">
        <v>475</v>
      </c>
      <c r="W194" s="136">
        <v>135558</v>
      </c>
      <c r="X194" s="136">
        <v>2456</v>
      </c>
      <c r="Y194" s="137">
        <v>0</v>
      </c>
      <c r="Z194" s="137">
        <v>391</v>
      </c>
      <c r="AA194" s="137">
        <v>167</v>
      </c>
      <c r="AB194" s="141">
        <v>0</v>
      </c>
      <c r="AC194" s="141">
        <v>6437</v>
      </c>
      <c r="AD194" s="141">
        <v>0</v>
      </c>
    </row>
    <row r="195" spans="1:30" ht="14.25">
      <c r="A195">
        <v>599</v>
      </c>
      <c r="B195" s="121" t="s">
        <v>131</v>
      </c>
      <c r="C195" s="120">
        <v>24441</v>
      </c>
      <c r="D195" s="120">
        <v>0</v>
      </c>
      <c r="E195" s="120">
        <v>76</v>
      </c>
      <c r="F195" s="120">
        <v>379</v>
      </c>
      <c r="G195" s="123">
        <v>0</v>
      </c>
      <c r="H195" s="123">
        <v>484</v>
      </c>
      <c r="I195" s="123">
        <v>0</v>
      </c>
      <c r="J195" s="125">
        <v>0</v>
      </c>
      <c r="K195" s="125">
        <v>0</v>
      </c>
      <c r="L195" s="125">
        <v>0</v>
      </c>
      <c r="M195" s="127">
        <v>0</v>
      </c>
      <c r="N195" s="127">
        <v>0</v>
      </c>
      <c r="O195" s="127">
        <v>0</v>
      </c>
      <c r="P195" s="129">
        <v>0</v>
      </c>
      <c r="Q195" s="129">
        <v>0</v>
      </c>
      <c r="R195" s="129">
        <v>0</v>
      </c>
      <c r="S195" s="125">
        <v>83409</v>
      </c>
      <c r="T195" s="125">
        <v>1942</v>
      </c>
      <c r="U195" s="125">
        <v>376</v>
      </c>
      <c r="V195" s="136">
        <v>481</v>
      </c>
      <c r="W195" s="136">
        <v>32983</v>
      </c>
      <c r="X195" s="136">
        <v>727</v>
      </c>
      <c r="Y195" s="137">
        <v>0</v>
      </c>
      <c r="Z195" s="137">
        <v>0</v>
      </c>
      <c r="AA195" s="137">
        <v>13</v>
      </c>
      <c r="AB195" s="141">
        <v>0</v>
      </c>
      <c r="AC195" s="141">
        <v>0</v>
      </c>
      <c r="AD195" s="141">
        <v>0</v>
      </c>
    </row>
    <row r="196" spans="1:30" ht="14.25">
      <c r="A196">
        <v>601</v>
      </c>
      <c r="B196" s="121" t="s">
        <v>326</v>
      </c>
      <c r="C196" s="120">
        <v>16837</v>
      </c>
      <c r="D196" s="120">
        <v>0</v>
      </c>
      <c r="E196" s="120">
        <v>0</v>
      </c>
      <c r="F196" s="120">
        <v>0</v>
      </c>
      <c r="G196" s="123">
        <v>0</v>
      </c>
      <c r="H196" s="123">
        <v>60</v>
      </c>
      <c r="I196" s="123">
        <v>0</v>
      </c>
      <c r="J196" s="125">
        <v>0</v>
      </c>
      <c r="K196" s="125">
        <v>0</v>
      </c>
      <c r="L196" s="125">
        <v>0</v>
      </c>
      <c r="M196" s="127">
        <v>0</v>
      </c>
      <c r="N196" s="127">
        <v>0</v>
      </c>
      <c r="O196" s="127">
        <v>0</v>
      </c>
      <c r="P196" s="129">
        <v>0</v>
      </c>
      <c r="Q196" s="129">
        <v>0</v>
      </c>
      <c r="R196" s="129">
        <v>0</v>
      </c>
      <c r="S196" s="125">
        <v>43927</v>
      </c>
      <c r="T196" s="125">
        <v>1496</v>
      </c>
      <c r="U196" s="125">
        <v>0</v>
      </c>
      <c r="V196" s="136">
        <v>0</v>
      </c>
      <c r="W196" s="136">
        <v>16789</v>
      </c>
      <c r="X196" s="136">
        <v>345</v>
      </c>
      <c r="Y196" s="137">
        <v>0</v>
      </c>
      <c r="Z196" s="137">
        <v>47</v>
      </c>
      <c r="AA196" s="137">
        <v>0</v>
      </c>
      <c r="AB196" s="141">
        <v>0</v>
      </c>
      <c r="AC196" s="141">
        <v>0</v>
      </c>
      <c r="AD196" s="141">
        <v>0</v>
      </c>
    </row>
    <row r="197" spans="1:30" ht="14.25">
      <c r="A197">
        <v>604</v>
      </c>
      <c r="B197" s="121" t="s">
        <v>327</v>
      </c>
      <c r="C197" s="120">
        <v>46984</v>
      </c>
      <c r="D197" s="120">
        <v>0</v>
      </c>
      <c r="E197" s="120">
        <v>0</v>
      </c>
      <c r="F197" s="120">
        <v>1528</v>
      </c>
      <c r="G197" s="123">
        <v>352</v>
      </c>
      <c r="H197" s="123">
        <v>21147</v>
      </c>
      <c r="I197" s="123">
        <v>0</v>
      </c>
      <c r="J197" s="125">
        <v>0</v>
      </c>
      <c r="K197" s="125">
        <v>0</v>
      </c>
      <c r="L197" s="125">
        <v>0</v>
      </c>
      <c r="M197" s="127">
        <v>0</v>
      </c>
      <c r="N197" s="127">
        <v>0</v>
      </c>
      <c r="O197" s="127">
        <v>0</v>
      </c>
      <c r="P197" s="129">
        <v>0</v>
      </c>
      <c r="Q197" s="129">
        <v>0</v>
      </c>
      <c r="R197" s="129">
        <v>0</v>
      </c>
      <c r="S197" s="125">
        <v>131237</v>
      </c>
      <c r="T197" s="125">
        <v>6950</v>
      </c>
      <c r="U197" s="125">
        <v>1528</v>
      </c>
      <c r="V197" s="136">
        <v>1893</v>
      </c>
      <c r="W197" s="136">
        <v>66349</v>
      </c>
      <c r="X197" s="136">
        <v>1251</v>
      </c>
      <c r="Y197" s="137">
        <v>0</v>
      </c>
      <c r="Z197" s="137">
        <v>334</v>
      </c>
      <c r="AA197" s="137">
        <v>0</v>
      </c>
      <c r="AB197" s="141">
        <v>23</v>
      </c>
      <c r="AC197" s="141">
        <v>643</v>
      </c>
      <c r="AD197" s="141">
        <v>13</v>
      </c>
    </row>
    <row r="198" spans="1:30" ht="14.25">
      <c r="A198">
        <v>607</v>
      </c>
      <c r="B198" s="121" t="s">
        <v>328</v>
      </c>
      <c r="C198" s="120">
        <v>7221</v>
      </c>
      <c r="D198" s="120">
        <v>0</v>
      </c>
      <c r="E198" s="120">
        <v>0</v>
      </c>
      <c r="F198" s="120">
        <v>0</v>
      </c>
      <c r="G198" s="123">
        <v>0</v>
      </c>
      <c r="H198" s="123">
        <v>1927</v>
      </c>
      <c r="I198" s="123">
        <v>0</v>
      </c>
      <c r="J198" s="125">
        <v>0</v>
      </c>
      <c r="K198" s="125">
        <v>0</v>
      </c>
      <c r="L198" s="125">
        <v>0</v>
      </c>
      <c r="M198" s="127">
        <v>0</v>
      </c>
      <c r="N198" s="127">
        <v>0</v>
      </c>
      <c r="O198" s="127">
        <v>0</v>
      </c>
      <c r="P198" s="129">
        <v>0</v>
      </c>
      <c r="Q198" s="129">
        <v>0</v>
      </c>
      <c r="R198" s="129">
        <v>0</v>
      </c>
      <c r="S198" s="125">
        <v>32169</v>
      </c>
      <c r="T198" s="125">
        <v>1223</v>
      </c>
      <c r="U198" s="125">
        <v>0</v>
      </c>
      <c r="V198" s="136">
        <v>3</v>
      </c>
      <c r="W198" s="136">
        <v>18219</v>
      </c>
      <c r="X198" s="136">
        <v>364</v>
      </c>
      <c r="Y198" s="137">
        <v>0</v>
      </c>
      <c r="Z198" s="137">
        <v>116</v>
      </c>
      <c r="AA198" s="137">
        <v>0</v>
      </c>
      <c r="AB198" s="141">
        <v>0</v>
      </c>
      <c r="AC198" s="141">
        <v>0</v>
      </c>
      <c r="AD198" s="141">
        <v>0</v>
      </c>
    </row>
    <row r="199" spans="1:30" ht="14.25">
      <c r="A199">
        <v>608</v>
      </c>
      <c r="B199" s="121" t="s">
        <v>329</v>
      </c>
      <c r="C199" s="120">
        <v>2296</v>
      </c>
      <c r="D199" s="120">
        <v>0</v>
      </c>
      <c r="E199" s="120">
        <v>0</v>
      </c>
      <c r="F199" s="120">
        <v>548</v>
      </c>
      <c r="G199" s="123">
        <v>74</v>
      </c>
      <c r="H199" s="123">
        <v>85</v>
      </c>
      <c r="I199" s="123">
        <v>0</v>
      </c>
      <c r="J199" s="125">
        <v>0</v>
      </c>
      <c r="K199" s="125">
        <v>0</v>
      </c>
      <c r="L199" s="125">
        <v>0</v>
      </c>
      <c r="M199" s="127">
        <v>0</v>
      </c>
      <c r="N199" s="127">
        <v>0</v>
      </c>
      <c r="O199" s="127">
        <v>0</v>
      </c>
      <c r="P199" s="129">
        <v>0</v>
      </c>
      <c r="Q199" s="129">
        <v>0</v>
      </c>
      <c r="R199" s="129">
        <v>0</v>
      </c>
      <c r="S199" s="125">
        <v>16358</v>
      </c>
      <c r="T199" s="125">
        <v>401</v>
      </c>
      <c r="U199" s="125">
        <v>548</v>
      </c>
      <c r="V199" s="136">
        <v>173</v>
      </c>
      <c r="W199" s="136">
        <v>9127</v>
      </c>
      <c r="X199" s="136">
        <v>289</v>
      </c>
      <c r="Y199" s="137">
        <v>0</v>
      </c>
      <c r="Z199" s="137">
        <v>40</v>
      </c>
      <c r="AA199" s="137">
        <v>12</v>
      </c>
      <c r="AB199" s="141">
        <v>0</v>
      </c>
      <c r="AC199" s="141">
        <v>0</v>
      </c>
      <c r="AD199" s="141">
        <v>0</v>
      </c>
    </row>
    <row r="200" spans="1:30" ht="14.25">
      <c r="A200">
        <v>609</v>
      </c>
      <c r="B200" s="121" t="s">
        <v>330</v>
      </c>
      <c r="C200" s="120">
        <v>298865</v>
      </c>
      <c r="D200" s="120">
        <v>0</v>
      </c>
      <c r="E200" s="120">
        <v>15595</v>
      </c>
      <c r="F200" s="120">
        <v>2137</v>
      </c>
      <c r="G200" s="123">
        <v>473</v>
      </c>
      <c r="H200" s="123">
        <v>83220</v>
      </c>
      <c r="I200" s="123">
        <v>22228</v>
      </c>
      <c r="J200" s="125">
        <v>0</v>
      </c>
      <c r="K200" s="125">
        <v>0</v>
      </c>
      <c r="L200" s="125">
        <v>0</v>
      </c>
      <c r="M200" s="127">
        <v>0</v>
      </c>
      <c r="N200" s="127">
        <v>0</v>
      </c>
      <c r="O200" s="127">
        <v>1</v>
      </c>
      <c r="P200" s="129">
        <v>0</v>
      </c>
      <c r="Q200" s="129">
        <v>0</v>
      </c>
      <c r="R200" s="129">
        <v>0</v>
      </c>
      <c r="S200" s="125">
        <v>751545</v>
      </c>
      <c r="T200" s="125">
        <v>27977</v>
      </c>
      <c r="U200" s="125">
        <v>2137</v>
      </c>
      <c r="V200" s="136">
        <v>450</v>
      </c>
      <c r="W200" s="136">
        <v>368006</v>
      </c>
      <c r="X200" s="136">
        <v>28703</v>
      </c>
      <c r="Y200" s="137">
        <v>0</v>
      </c>
      <c r="Z200" s="137">
        <v>285</v>
      </c>
      <c r="AA200" s="137">
        <v>1261</v>
      </c>
      <c r="AB200" s="141">
        <v>0</v>
      </c>
      <c r="AC200" s="141">
        <v>0</v>
      </c>
      <c r="AD200" s="141">
        <v>0</v>
      </c>
    </row>
    <row r="201" spans="1:30" ht="14.25">
      <c r="A201">
        <v>611</v>
      </c>
      <c r="B201" s="121" t="s">
        <v>331</v>
      </c>
      <c r="C201" s="120">
        <v>5922</v>
      </c>
      <c r="D201" s="120">
        <v>0</v>
      </c>
      <c r="E201" s="120">
        <v>0</v>
      </c>
      <c r="F201" s="120">
        <v>101</v>
      </c>
      <c r="G201" s="123">
        <v>0</v>
      </c>
      <c r="H201" s="123">
        <v>120</v>
      </c>
      <c r="I201" s="123">
        <v>0</v>
      </c>
      <c r="J201" s="125">
        <v>0</v>
      </c>
      <c r="K201" s="125">
        <v>0</v>
      </c>
      <c r="L201" s="125">
        <v>0</v>
      </c>
      <c r="M201" s="127">
        <v>0</v>
      </c>
      <c r="N201" s="127">
        <v>0</v>
      </c>
      <c r="O201" s="127">
        <v>0</v>
      </c>
      <c r="P201" s="129">
        <v>0</v>
      </c>
      <c r="Q201" s="129">
        <v>26</v>
      </c>
      <c r="R201" s="129">
        <v>0</v>
      </c>
      <c r="S201" s="125">
        <v>28323</v>
      </c>
      <c r="T201" s="125">
        <v>1753</v>
      </c>
      <c r="U201" s="125">
        <v>101</v>
      </c>
      <c r="V201" s="136">
        <v>224</v>
      </c>
      <c r="W201" s="136">
        <v>11757</v>
      </c>
      <c r="X201" s="136">
        <v>382</v>
      </c>
      <c r="Y201" s="137">
        <v>0</v>
      </c>
      <c r="Z201" s="137">
        <v>2</v>
      </c>
      <c r="AA201" s="137">
        <v>0</v>
      </c>
      <c r="AB201" s="141">
        <v>0</v>
      </c>
      <c r="AC201" s="141">
        <v>0</v>
      </c>
      <c r="AD201" s="141">
        <v>0</v>
      </c>
    </row>
    <row r="202" spans="1:30" ht="14.25">
      <c r="A202">
        <v>614</v>
      </c>
      <c r="B202" s="121" t="s">
        <v>333</v>
      </c>
      <c r="C202" s="120">
        <v>11383</v>
      </c>
      <c r="D202" s="120">
        <v>0</v>
      </c>
      <c r="E202" s="120">
        <v>0</v>
      </c>
      <c r="F202" s="120">
        <v>0</v>
      </c>
      <c r="G202" s="123">
        <v>4</v>
      </c>
      <c r="H202" s="123">
        <v>2662</v>
      </c>
      <c r="I202" s="123">
        <v>7</v>
      </c>
      <c r="J202" s="125">
        <v>0</v>
      </c>
      <c r="K202" s="125">
        <v>0</v>
      </c>
      <c r="L202" s="125">
        <v>0</v>
      </c>
      <c r="M202" s="127">
        <v>0</v>
      </c>
      <c r="N202" s="127">
        <v>0</v>
      </c>
      <c r="O202" s="127">
        <v>0</v>
      </c>
      <c r="P202" s="129">
        <v>0</v>
      </c>
      <c r="Q202" s="129">
        <v>0</v>
      </c>
      <c r="R202" s="129">
        <v>0</v>
      </c>
      <c r="S202" s="125">
        <v>36705</v>
      </c>
      <c r="T202" s="125">
        <v>1078</v>
      </c>
      <c r="U202" s="125">
        <v>0</v>
      </c>
      <c r="V202" s="136">
        <v>154</v>
      </c>
      <c r="W202" s="136">
        <v>21088</v>
      </c>
      <c r="X202" s="136">
        <v>423</v>
      </c>
      <c r="Y202" s="137">
        <v>0</v>
      </c>
      <c r="Z202" s="137">
        <v>58</v>
      </c>
      <c r="AA202" s="137">
        <v>0</v>
      </c>
      <c r="AB202" s="141">
        <v>0</v>
      </c>
      <c r="AC202" s="141">
        <v>0</v>
      </c>
      <c r="AD202" s="141">
        <v>0</v>
      </c>
    </row>
    <row r="203" spans="1:30" ht="14.25">
      <c r="A203">
        <v>615</v>
      </c>
      <c r="B203" s="121" t="s">
        <v>334</v>
      </c>
      <c r="C203" s="120">
        <v>14915</v>
      </c>
      <c r="D203" s="120">
        <v>0</v>
      </c>
      <c r="E203" s="120">
        <v>40</v>
      </c>
      <c r="F203" s="120">
        <v>1230</v>
      </c>
      <c r="G203" s="123">
        <v>41</v>
      </c>
      <c r="H203" s="123">
        <v>910</v>
      </c>
      <c r="I203" s="123">
        <v>0</v>
      </c>
      <c r="J203" s="125">
        <v>0</v>
      </c>
      <c r="K203" s="125">
        <v>0</v>
      </c>
      <c r="L203" s="125">
        <v>0</v>
      </c>
      <c r="M203" s="127">
        <v>0</v>
      </c>
      <c r="N203" s="127">
        <v>0</v>
      </c>
      <c r="O203" s="127">
        <v>0</v>
      </c>
      <c r="P203" s="129">
        <v>0</v>
      </c>
      <c r="Q203" s="129">
        <v>0</v>
      </c>
      <c r="R203" s="129">
        <v>0</v>
      </c>
      <c r="S203" s="125">
        <v>70568</v>
      </c>
      <c r="T203" s="125">
        <v>3503</v>
      </c>
      <c r="U203" s="125">
        <v>1232</v>
      </c>
      <c r="V203" s="136">
        <v>382</v>
      </c>
      <c r="W203" s="136">
        <v>35528</v>
      </c>
      <c r="X203" s="136">
        <v>549</v>
      </c>
      <c r="Y203" s="137">
        <v>0</v>
      </c>
      <c r="Z203" s="137">
        <v>4</v>
      </c>
      <c r="AA203" s="137">
        <v>0</v>
      </c>
      <c r="AB203" s="141">
        <v>3</v>
      </c>
      <c r="AC203" s="141">
        <v>56</v>
      </c>
      <c r="AD203" s="141">
        <v>0</v>
      </c>
    </row>
    <row r="204" spans="1:30" ht="14.25">
      <c r="A204">
        <v>616</v>
      </c>
      <c r="B204" s="121" t="s">
        <v>335</v>
      </c>
      <c r="C204" s="120">
        <v>2653</v>
      </c>
      <c r="D204" s="120">
        <v>0</v>
      </c>
      <c r="E204" s="120">
        <v>0</v>
      </c>
      <c r="F204" s="120">
        <v>0</v>
      </c>
      <c r="G204" s="123">
        <v>0</v>
      </c>
      <c r="H204" s="123">
        <v>116</v>
      </c>
      <c r="I204" s="123">
        <v>44</v>
      </c>
      <c r="J204" s="125">
        <v>0</v>
      </c>
      <c r="K204" s="125">
        <v>0</v>
      </c>
      <c r="L204" s="125">
        <v>0</v>
      </c>
      <c r="M204" s="127">
        <v>0</v>
      </c>
      <c r="N204" s="127">
        <v>0</v>
      </c>
      <c r="O204" s="127">
        <v>0</v>
      </c>
      <c r="P204" s="129">
        <v>0</v>
      </c>
      <c r="Q204" s="129">
        <v>0</v>
      </c>
      <c r="R204" s="129">
        <v>0</v>
      </c>
      <c r="S204" s="125">
        <v>13179</v>
      </c>
      <c r="T204" s="125">
        <v>463</v>
      </c>
      <c r="U204" s="125">
        <v>0</v>
      </c>
      <c r="V204" s="136">
        <v>64</v>
      </c>
      <c r="W204" s="136">
        <v>6394</v>
      </c>
      <c r="X204" s="136">
        <v>256</v>
      </c>
      <c r="Y204" s="137">
        <v>0</v>
      </c>
      <c r="Z204" s="137">
        <v>0</v>
      </c>
      <c r="AA204" s="137">
        <v>9</v>
      </c>
      <c r="AB204" s="141">
        <v>0</v>
      </c>
      <c r="AC204" s="141">
        <v>0</v>
      </c>
      <c r="AD204" s="141">
        <v>0</v>
      </c>
    </row>
    <row r="205" spans="1:30" ht="14.25">
      <c r="A205">
        <v>619</v>
      </c>
      <c r="B205" s="121" t="s">
        <v>336</v>
      </c>
      <c r="C205" s="120">
        <v>4634</v>
      </c>
      <c r="D205" s="120">
        <v>0</v>
      </c>
      <c r="E205" s="120">
        <v>0</v>
      </c>
      <c r="F205" s="120">
        <v>187</v>
      </c>
      <c r="G205" s="123">
        <v>82</v>
      </c>
      <c r="H205" s="123">
        <v>225</v>
      </c>
      <c r="I205" s="123">
        <v>0</v>
      </c>
      <c r="J205" s="125">
        <v>0</v>
      </c>
      <c r="K205" s="125">
        <v>0</v>
      </c>
      <c r="L205" s="125">
        <v>0</v>
      </c>
      <c r="M205" s="127">
        <v>0</v>
      </c>
      <c r="N205" s="127">
        <v>0</v>
      </c>
      <c r="O205" s="127">
        <v>0</v>
      </c>
      <c r="P205" s="129">
        <v>0</v>
      </c>
      <c r="Q205" s="129">
        <v>0</v>
      </c>
      <c r="R205" s="129">
        <v>0</v>
      </c>
      <c r="S205" s="125">
        <v>23167</v>
      </c>
      <c r="T205" s="125">
        <v>771</v>
      </c>
      <c r="U205" s="125">
        <v>187</v>
      </c>
      <c r="V205" s="136">
        <v>303</v>
      </c>
      <c r="W205" s="136">
        <v>12324</v>
      </c>
      <c r="X205" s="136">
        <v>221</v>
      </c>
      <c r="Y205" s="137">
        <v>0</v>
      </c>
      <c r="Z205" s="137">
        <v>9</v>
      </c>
      <c r="AA205" s="137">
        <v>0</v>
      </c>
      <c r="AB205" s="141">
        <v>5</v>
      </c>
      <c r="AC205" s="141">
        <v>5</v>
      </c>
      <c r="AD205" s="141">
        <v>0</v>
      </c>
    </row>
    <row r="206" spans="1:30" ht="14.25">
      <c r="A206">
        <v>620</v>
      </c>
      <c r="B206" s="121" t="s">
        <v>337</v>
      </c>
      <c r="C206" s="120">
        <v>5245</v>
      </c>
      <c r="D206" s="120">
        <v>0</v>
      </c>
      <c r="E206" s="120">
        <v>0</v>
      </c>
      <c r="F206" s="120">
        <v>266</v>
      </c>
      <c r="G206" s="123">
        <v>23</v>
      </c>
      <c r="H206" s="123">
        <v>1971</v>
      </c>
      <c r="I206" s="123">
        <v>0</v>
      </c>
      <c r="J206" s="125">
        <v>0</v>
      </c>
      <c r="K206" s="125">
        <v>0</v>
      </c>
      <c r="L206" s="125">
        <v>0</v>
      </c>
      <c r="M206" s="127">
        <v>0</v>
      </c>
      <c r="N206" s="127">
        <v>0</v>
      </c>
      <c r="O206" s="127">
        <v>0</v>
      </c>
      <c r="P206" s="129">
        <v>0</v>
      </c>
      <c r="Q206" s="129">
        <v>0</v>
      </c>
      <c r="R206" s="129">
        <v>0</v>
      </c>
      <c r="S206" s="125">
        <v>26988</v>
      </c>
      <c r="T206" s="125">
        <v>998</v>
      </c>
      <c r="U206" s="125">
        <v>266</v>
      </c>
      <c r="V206" s="136">
        <v>149</v>
      </c>
      <c r="W206" s="136">
        <v>16372</v>
      </c>
      <c r="X206" s="136">
        <v>254</v>
      </c>
      <c r="Y206" s="137">
        <v>0</v>
      </c>
      <c r="Z206" s="137">
        <v>231</v>
      </c>
      <c r="AA206" s="137">
        <v>0</v>
      </c>
      <c r="AB206" s="141">
        <v>0</v>
      </c>
      <c r="AC206" s="141">
        <v>111</v>
      </c>
      <c r="AD206" s="141">
        <v>0</v>
      </c>
    </row>
    <row r="207" spans="1:30" ht="14.25">
      <c r="A207">
        <v>623</v>
      </c>
      <c r="B207" s="121" t="s">
        <v>338</v>
      </c>
      <c r="C207" s="120">
        <v>4286</v>
      </c>
      <c r="D207" s="120">
        <v>0</v>
      </c>
      <c r="E207" s="120">
        <v>0</v>
      </c>
      <c r="F207" s="120">
        <v>167</v>
      </c>
      <c r="G207" s="123">
        <v>23</v>
      </c>
      <c r="H207" s="123">
        <v>275</v>
      </c>
      <c r="I207" s="123">
        <v>53</v>
      </c>
      <c r="J207" s="125">
        <v>0</v>
      </c>
      <c r="K207" s="125">
        <v>0</v>
      </c>
      <c r="L207" s="125">
        <v>0</v>
      </c>
      <c r="M207" s="127">
        <v>0</v>
      </c>
      <c r="N207" s="127">
        <v>0</v>
      </c>
      <c r="O207" s="127">
        <v>0</v>
      </c>
      <c r="P207" s="129">
        <v>0</v>
      </c>
      <c r="Q207" s="129">
        <v>0</v>
      </c>
      <c r="R207" s="129">
        <v>0</v>
      </c>
      <c r="S207" s="125">
        <v>19379</v>
      </c>
      <c r="T207" s="125">
        <v>862</v>
      </c>
      <c r="U207" s="125">
        <v>167</v>
      </c>
      <c r="V207" s="136">
        <v>73</v>
      </c>
      <c r="W207" s="136">
        <v>10234</v>
      </c>
      <c r="X207" s="136">
        <v>245</v>
      </c>
      <c r="Y207" s="137">
        <v>0</v>
      </c>
      <c r="Z207" s="137">
        <v>0</v>
      </c>
      <c r="AA207" s="137">
        <v>6</v>
      </c>
      <c r="AB207" s="141">
        <v>0</v>
      </c>
      <c r="AC207" s="141">
        <v>0</v>
      </c>
      <c r="AD207" s="141">
        <v>0</v>
      </c>
    </row>
    <row r="208" spans="1:30" ht="14.25">
      <c r="A208">
        <v>624</v>
      </c>
      <c r="B208" s="121" t="s">
        <v>132</v>
      </c>
      <c r="C208" s="120">
        <v>5793</v>
      </c>
      <c r="D208" s="120">
        <v>0</v>
      </c>
      <c r="E208" s="120">
        <v>0</v>
      </c>
      <c r="F208" s="120">
        <v>0</v>
      </c>
      <c r="G208" s="123">
        <v>0</v>
      </c>
      <c r="H208" s="123">
        <v>1050</v>
      </c>
      <c r="I208" s="123">
        <v>0</v>
      </c>
      <c r="J208" s="125">
        <v>0</v>
      </c>
      <c r="K208" s="125">
        <v>0</v>
      </c>
      <c r="L208" s="125">
        <v>0</v>
      </c>
      <c r="M208" s="127">
        <v>0</v>
      </c>
      <c r="N208" s="127">
        <v>0</v>
      </c>
      <c r="O208" s="127">
        <v>0</v>
      </c>
      <c r="P208" s="129">
        <v>0</v>
      </c>
      <c r="Q208" s="129">
        <v>0</v>
      </c>
      <c r="R208" s="129">
        <v>0</v>
      </c>
      <c r="S208" s="125">
        <v>34113</v>
      </c>
      <c r="T208" s="125">
        <v>1327</v>
      </c>
      <c r="U208" s="125">
        <v>0</v>
      </c>
      <c r="V208" s="136">
        <v>373</v>
      </c>
      <c r="W208" s="136">
        <v>18699</v>
      </c>
      <c r="X208" s="136">
        <v>325</v>
      </c>
      <c r="Y208" s="137">
        <v>0</v>
      </c>
      <c r="Z208" s="137">
        <v>14</v>
      </c>
      <c r="AA208" s="137">
        <v>0</v>
      </c>
      <c r="AB208" s="141">
        <v>0</v>
      </c>
      <c r="AC208" s="141">
        <v>0</v>
      </c>
      <c r="AD208" s="141">
        <v>0</v>
      </c>
    </row>
    <row r="209" spans="1:30" ht="14.25">
      <c r="A209">
        <v>625</v>
      </c>
      <c r="B209" s="121" t="s">
        <v>339</v>
      </c>
      <c r="C209" s="120">
        <v>6867</v>
      </c>
      <c r="D209" s="120">
        <v>2</v>
      </c>
      <c r="E209" s="120">
        <v>0</v>
      </c>
      <c r="F209" s="120">
        <v>246</v>
      </c>
      <c r="G209" s="123">
        <v>85</v>
      </c>
      <c r="H209" s="123">
        <v>118</v>
      </c>
      <c r="I209" s="123">
        <v>0</v>
      </c>
      <c r="J209" s="125">
        <v>0</v>
      </c>
      <c r="K209" s="125">
        <v>0</v>
      </c>
      <c r="L209" s="125">
        <v>0</v>
      </c>
      <c r="M209" s="127">
        <v>0</v>
      </c>
      <c r="N209" s="127">
        <v>0</v>
      </c>
      <c r="O209" s="127">
        <v>0</v>
      </c>
      <c r="P209" s="129">
        <v>0</v>
      </c>
      <c r="Q209" s="129">
        <v>31</v>
      </c>
      <c r="R209" s="129">
        <v>0</v>
      </c>
      <c r="S209" s="125">
        <v>24219</v>
      </c>
      <c r="T209" s="125">
        <v>887</v>
      </c>
      <c r="U209" s="125">
        <v>264</v>
      </c>
      <c r="V209" s="136">
        <v>239</v>
      </c>
      <c r="W209" s="136">
        <v>10701</v>
      </c>
      <c r="X209" s="136">
        <v>279</v>
      </c>
      <c r="Y209" s="137">
        <v>0</v>
      </c>
      <c r="Z209" s="137">
        <v>0</v>
      </c>
      <c r="AA209" s="137">
        <v>0</v>
      </c>
      <c r="AB209" s="141">
        <v>1</v>
      </c>
      <c r="AC209" s="141">
        <v>1</v>
      </c>
      <c r="AD209" s="141">
        <v>0</v>
      </c>
    </row>
    <row r="210" spans="1:30" ht="14.25">
      <c r="A210">
        <v>626</v>
      </c>
      <c r="B210" s="121" t="s">
        <v>133</v>
      </c>
      <c r="C210" s="120">
        <v>6153</v>
      </c>
      <c r="D210" s="120">
        <v>0</v>
      </c>
      <c r="E210" s="120">
        <v>0</v>
      </c>
      <c r="F210" s="120">
        <v>0</v>
      </c>
      <c r="G210" s="123">
        <v>0</v>
      </c>
      <c r="H210" s="123">
        <v>10</v>
      </c>
      <c r="I210" s="123">
        <v>0</v>
      </c>
      <c r="J210" s="125">
        <v>0</v>
      </c>
      <c r="K210" s="125">
        <v>0</v>
      </c>
      <c r="L210" s="125">
        <v>0</v>
      </c>
      <c r="M210" s="127">
        <v>0</v>
      </c>
      <c r="N210" s="127">
        <v>0</v>
      </c>
      <c r="O210" s="127">
        <v>0</v>
      </c>
      <c r="P210" s="129">
        <v>0</v>
      </c>
      <c r="Q210" s="129">
        <v>0</v>
      </c>
      <c r="R210" s="129">
        <v>0</v>
      </c>
      <c r="S210" s="125">
        <v>44812</v>
      </c>
      <c r="T210" s="125">
        <v>1195</v>
      </c>
      <c r="U210" s="125">
        <v>0</v>
      </c>
      <c r="V210" s="136">
        <v>554</v>
      </c>
      <c r="W210" s="136">
        <v>25394</v>
      </c>
      <c r="X210" s="136">
        <v>494</v>
      </c>
      <c r="Y210" s="137">
        <v>0</v>
      </c>
      <c r="Z210" s="137">
        <v>0</v>
      </c>
      <c r="AA210" s="137">
        <v>0</v>
      </c>
      <c r="AB210" s="141">
        <v>0</v>
      </c>
      <c r="AC210" s="141">
        <v>0</v>
      </c>
      <c r="AD210" s="141">
        <v>0</v>
      </c>
    </row>
    <row r="211" spans="1:30" ht="14.25">
      <c r="A211">
        <v>630</v>
      </c>
      <c r="B211" s="121" t="s">
        <v>340</v>
      </c>
      <c r="C211" s="120">
        <v>2538</v>
      </c>
      <c r="D211" s="120">
        <v>0</v>
      </c>
      <c r="E211" s="120">
        <v>0</v>
      </c>
      <c r="F211" s="120">
        <v>0</v>
      </c>
      <c r="G211" s="123">
        <v>0</v>
      </c>
      <c r="H211" s="123">
        <v>628</v>
      </c>
      <c r="I211" s="123">
        <v>36</v>
      </c>
      <c r="J211" s="125">
        <v>0</v>
      </c>
      <c r="K211" s="125">
        <v>0</v>
      </c>
      <c r="L211" s="125">
        <v>0</v>
      </c>
      <c r="M211" s="127">
        <v>0</v>
      </c>
      <c r="N211" s="127">
        <v>0</v>
      </c>
      <c r="O211" s="127">
        <v>0</v>
      </c>
      <c r="P211" s="129">
        <v>0</v>
      </c>
      <c r="Q211" s="129">
        <v>0</v>
      </c>
      <c r="R211" s="129">
        <v>0</v>
      </c>
      <c r="S211" s="125">
        <v>11823</v>
      </c>
      <c r="T211" s="125">
        <v>962</v>
      </c>
      <c r="U211" s="125">
        <v>0</v>
      </c>
      <c r="V211" s="136">
        <v>33</v>
      </c>
      <c r="W211" s="136">
        <v>6247</v>
      </c>
      <c r="X211" s="136">
        <v>198</v>
      </c>
      <c r="Y211" s="137">
        <v>0</v>
      </c>
      <c r="Z211" s="137">
        <v>243</v>
      </c>
      <c r="AA211" s="137">
        <v>24</v>
      </c>
      <c r="AB211" s="141">
        <v>0</v>
      </c>
      <c r="AC211" s="141">
        <v>0</v>
      </c>
      <c r="AD211" s="141">
        <v>0</v>
      </c>
    </row>
    <row r="212" spans="1:30" ht="14.25">
      <c r="A212">
        <v>631</v>
      </c>
      <c r="B212" s="121" t="s">
        <v>341</v>
      </c>
      <c r="C212" s="120">
        <v>1694</v>
      </c>
      <c r="D212" s="120">
        <v>0</v>
      </c>
      <c r="E212" s="120">
        <v>0</v>
      </c>
      <c r="F212" s="120">
        <v>0</v>
      </c>
      <c r="G212" s="123">
        <v>0</v>
      </c>
      <c r="H212" s="123">
        <v>368</v>
      </c>
      <c r="I212" s="123">
        <v>0</v>
      </c>
      <c r="J212" s="125">
        <v>0</v>
      </c>
      <c r="K212" s="125">
        <v>0</v>
      </c>
      <c r="L212" s="125">
        <v>0</v>
      </c>
      <c r="M212" s="127">
        <v>0</v>
      </c>
      <c r="N212" s="127">
        <v>0</v>
      </c>
      <c r="O212" s="127">
        <v>0</v>
      </c>
      <c r="P212" s="129">
        <v>0</v>
      </c>
      <c r="Q212" s="129">
        <v>0</v>
      </c>
      <c r="R212" s="129">
        <v>0</v>
      </c>
      <c r="S212" s="125">
        <v>12593</v>
      </c>
      <c r="T212" s="125">
        <v>410</v>
      </c>
      <c r="U212" s="125">
        <v>0</v>
      </c>
      <c r="V212" s="136">
        <v>0</v>
      </c>
      <c r="W212" s="136">
        <v>7109</v>
      </c>
      <c r="X212" s="136">
        <v>158</v>
      </c>
      <c r="Y212" s="137">
        <v>0</v>
      </c>
      <c r="Z212" s="137">
        <v>0</v>
      </c>
      <c r="AA212" s="137">
        <v>0</v>
      </c>
      <c r="AB212" s="141">
        <v>0</v>
      </c>
      <c r="AC212" s="141">
        <v>0</v>
      </c>
      <c r="AD212" s="141">
        <v>0</v>
      </c>
    </row>
    <row r="213" spans="1:30" ht="14.25">
      <c r="A213">
        <v>635</v>
      </c>
      <c r="B213" s="121" t="s">
        <v>342</v>
      </c>
      <c r="C213" s="120">
        <v>8749</v>
      </c>
      <c r="D213" s="120">
        <v>0</v>
      </c>
      <c r="E213" s="120">
        <v>0</v>
      </c>
      <c r="F213" s="120">
        <v>0</v>
      </c>
      <c r="G213" s="123">
        <v>73</v>
      </c>
      <c r="H213" s="123">
        <v>415</v>
      </c>
      <c r="I213" s="123">
        <v>0</v>
      </c>
      <c r="J213" s="125">
        <v>0</v>
      </c>
      <c r="K213" s="125">
        <v>0</v>
      </c>
      <c r="L213" s="125">
        <v>0</v>
      </c>
      <c r="M213" s="127">
        <v>0</v>
      </c>
      <c r="N213" s="127">
        <v>0</v>
      </c>
      <c r="O213" s="127">
        <v>0</v>
      </c>
      <c r="P213" s="129">
        <v>0</v>
      </c>
      <c r="Q213" s="129">
        <v>0</v>
      </c>
      <c r="R213" s="129">
        <v>0</v>
      </c>
      <c r="S213" s="125">
        <v>45228</v>
      </c>
      <c r="T213" s="125">
        <v>2154</v>
      </c>
      <c r="U213" s="125">
        <v>0</v>
      </c>
      <c r="V213" s="136">
        <v>449</v>
      </c>
      <c r="W213" s="136">
        <v>23838</v>
      </c>
      <c r="X213" s="136">
        <v>462</v>
      </c>
      <c r="Y213" s="137">
        <v>0</v>
      </c>
      <c r="Z213" s="137">
        <v>0</v>
      </c>
      <c r="AA213" s="137">
        <v>0</v>
      </c>
      <c r="AB213" s="141">
        <v>0</v>
      </c>
      <c r="AC213" s="141">
        <v>0</v>
      </c>
      <c r="AD213" s="141">
        <v>0</v>
      </c>
    </row>
    <row r="214" spans="1:30" ht="14.25">
      <c r="A214">
        <v>636</v>
      </c>
      <c r="B214" s="121" t="s">
        <v>343</v>
      </c>
      <c r="C214" s="120">
        <v>14720</v>
      </c>
      <c r="D214" s="120">
        <v>0</v>
      </c>
      <c r="E214" s="120">
        <v>0</v>
      </c>
      <c r="F214" s="120">
        <v>795</v>
      </c>
      <c r="G214" s="123">
        <v>117</v>
      </c>
      <c r="H214" s="123">
        <v>2722</v>
      </c>
      <c r="I214" s="123">
        <v>0</v>
      </c>
      <c r="J214" s="125">
        <v>0</v>
      </c>
      <c r="K214" s="125">
        <v>0</v>
      </c>
      <c r="L214" s="125">
        <v>0</v>
      </c>
      <c r="M214" s="127">
        <v>0</v>
      </c>
      <c r="N214" s="127">
        <v>0</v>
      </c>
      <c r="O214" s="127">
        <v>0</v>
      </c>
      <c r="P214" s="129">
        <v>0</v>
      </c>
      <c r="Q214" s="129">
        <v>0</v>
      </c>
      <c r="R214" s="129">
        <v>0</v>
      </c>
      <c r="S214" s="125">
        <v>61553</v>
      </c>
      <c r="T214" s="125">
        <v>1957</v>
      </c>
      <c r="U214" s="125">
        <v>795</v>
      </c>
      <c r="V214" s="136">
        <v>285</v>
      </c>
      <c r="W214" s="136">
        <v>31753</v>
      </c>
      <c r="X214" s="136">
        <v>617</v>
      </c>
      <c r="Y214" s="137">
        <v>0</v>
      </c>
      <c r="Z214" s="137">
        <v>25</v>
      </c>
      <c r="AA214" s="137">
        <v>0</v>
      </c>
      <c r="AB214" s="141">
        <v>6</v>
      </c>
      <c r="AC214" s="141">
        <v>161</v>
      </c>
      <c r="AD214" s="141">
        <v>0</v>
      </c>
    </row>
    <row r="215" spans="1:30" ht="14.25">
      <c r="A215">
        <v>638</v>
      </c>
      <c r="B215" s="121" t="s">
        <v>332</v>
      </c>
      <c r="C215" s="120">
        <v>115123</v>
      </c>
      <c r="D215" s="120">
        <v>0</v>
      </c>
      <c r="E215" s="120">
        <v>1340</v>
      </c>
      <c r="F215" s="120">
        <v>793</v>
      </c>
      <c r="G215" s="123">
        <v>333</v>
      </c>
      <c r="H215" s="123">
        <v>24791</v>
      </c>
      <c r="I215" s="123">
        <v>5497</v>
      </c>
      <c r="J215" s="125">
        <v>0</v>
      </c>
      <c r="K215" s="125">
        <v>0</v>
      </c>
      <c r="L215" s="125">
        <v>0</v>
      </c>
      <c r="M215" s="127">
        <v>0</v>
      </c>
      <c r="N215" s="127">
        <v>0</v>
      </c>
      <c r="O215" s="127">
        <v>0</v>
      </c>
      <c r="P215" s="129">
        <v>0</v>
      </c>
      <c r="Q215" s="129">
        <v>0</v>
      </c>
      <c r="R215" s="129">
        <v>0</v>
      </c>
      <c r="S215" s="125">
        <v>362837</v>
      </c>
      <c r="T215" s="125">
        <v>24294</v>
      </c>
      <c r="U215" s="125">
        <v>793</v>
      </c>
      <c r="V215" s="136">
        <v>5725</v>
      </c>
      <c r="W215" s="136">
        <v>172073</v>
      </c>
      <c r="X215" s="136">
        <v>9121</v>
      </c>
      <c r="Y215" s="137">
        <v>20</v>
      </c>
      <c r="Z215" s="137">
        <v>664</v>
      </c>
      <c r="AA215" s="137">
        <v>737</v>
      </c>
      <c r="AB215" s="141">
        <v>15</v>
      </c>
      <c r="AC215" s="141">
        <v>301</v>
      </c>
      <c r="AD215" s="141">
        <v>23</v>
      </c>
    </row>
    <row r="216" spans="1:30" ht="14.25">
      <c r="A216">
        <v>678</v>
      </c>
      <c r="B216" s="121" t="s">
        <v>344</v>
      </c>
      <c r="C216" s="120">
        <v>29825</v>
      </c>
      <c r="D216" s="120">
        <v>0</v>
      </c>
      <c r="E216" s="120">
        <v>392</v>
      </c>
      <c r="F216" s="120">
        <v>3846</v>
      </c>
      <c r="G216" s="123">
        <v>605</v>
      </c>
      <c r="H216" s="123">
        <v>772</v>
      </c>
      <c r="I216" s="123">
        <v>0</v>
      </c>
      <c r="J216" s="125">
        <v>0</v>
      </c>
      <c r="K216" s="125">
        <v>0</v>
      </c>
      <c r="L216" s="125">
        <v>0</v>
      </c>
      <c r="M216" s="127">
        <v>0</v>
      </c>
      <c r="N216" s="127">
        <v>0</v>
      </c>
      <c r="O216" s="127">
        <v>0</v>
      </c>
      <c r="P216" s="129">
        <v>0</v>
      </c>
      <c r="Q216" s="129">
        <v>134</v>
      </c>
      <c r="R216" s="129">
        <v>0</v>
      </c>
      <c r="S216" s="125">
        <v>163251</v>
      </c>
      <c r="T216" s="125">
        <v>6719</v>
      </c>
      <c r="U216" s="125">
        <v>3846</v>
      </c>
      <c r="V216" s="136">
        <v>2500</v>
      </c>
      <c r="W216" s="136">
        <v>83815</v>
      </c>
      <c r="X216" s="136">
        <v>2525</v>
      </c>
      <c r="Y216" s="137">
        <v>0</v>
      </c>
      <c r="Z216" s="137">
        <v>0</v>
      </c>
      <c r="AA216" s="137">
        <v>0</v>
      </c>
      <c r="AB216" s="141">
        <v>0</v>
      </c>
      <c r="AC216" s="141">
        <v>22</v>
      </c>
      <c r="AD216" s="141">
        <v>0</v>
      </c>
    </row>
    <row r="217" spans="1:30" ht="14.25">
      <c r="A217">
        <v>680</v>
      </c>
      <c r="B217" s="121" t="s">
        <v>345</v>
      </c>
      <c r="C217" s="120">
        <v>71111</v>
      </c>
      <c r="D217" s="120">
        <v>0</v>
      </c>
      <c r="E217" s="120">
        <v>0</v>
      </c>
      <c r="F217" s="120">
        <v>0</v>
      </c>
      <c r="G217" s="123">
        <v>239</v>
      </c>
      <c r="H217" s="123">
        <v>29613</v>
      </c>
      <c r="I217" s="123">
        <v>0</v>
      </c>
      <c r="J217" s="125">
        <v>0</v>
      </c>
      <c r="K217" s="125">
        <v>0</v>
      </c>
      <c r="L217" s="125">
        <v>0</v>
      </c>
      <c r="M217" s="127">
        <v>0</v>
      </c>
      <c r="N217" s="127">
        <v>0</v>
      </c>
      <c r="O217" s="127">
        <v>0</v>
      </c>
      <c r="P217" s="129">
        <v>0</v>
      </c>
      <c r="Q217" s="129">
        <v>0</v>
      </c>
      <c r="R217" s="129">
        <v>0</v>
      </c>
      <c r="S217" s="125">
        <v>189170</v>
      </c>
      <c r="T217" s="125">
        <v>8921</v>
      </c>
      <c r="U217" s="125">
        <v>0</v>
      </c>
      <c r="V217" s="136">
        <v>1723</v>
      </c>
      <c r="W217" s="136">
        <v>106596</v>
      </c>
      <c r="X217" s="136">
        <v>1724</v>
      </c>
      <c r="Y217" s="137">
        <v>0</v>
      </c>
      <c r="Z217" s="137">
        <v>234</v>
      </c>
      <c r="AA217" s="137">
        <v>0</v>
      </c>
      <c r="AB217" s="141">
        <v>0</v>
      </c>
      <c r="AC217" s="141">
        <v>0</v>
      </c>
      <c r="AD217" s="141">
        <v>0</v>
      </c>
    </row>
    <row r="218" spans="1:30" ht="14.25">
      <c r="A218">
        <v>681</v>
      </c>
      <c r="B218" s="121" t="s">
        <v>346</v>
      </c>
      <c r="C218" s="120">
        <v>9355</v>
      </c>
      <c r="D218" s="120">
        <v>0</v>
      </c>
      <c r="E218" s="120">
        <v>6</v>
      </c>
      <c r="F218" s="120">
        <v>0</v>
      </c>
      <c r="G218" s="123">
        <v>21</v>
      </c>
      <c r="H218" s="123">
        <v>2075</v>
      </c>
      <c r="I218" s="123">
        <v>28</v>
      </c>
      <c r="J218" s="125">
        <v>0</v>
      </c>
      <c r="K218" s="125">
        <v>0</v>
      </c>
      <c r="L218" s="125">
        <v>0</v>
      </c>
      <c r="M218" s="127">
        <v>0</v>
      </c>
      <c r="N218" s="127">
        <v>6</v>
      </c>
      <c r="O218" s="127">
        <v>0</v>
      </c>
      <c r="P218" s="129">
        <v>0</v>
      </c>
      <c r="Q218" s="129">
        <v>0</v>
      </c>
      <c r="R218" s="129">
        <v>0</v>
      </c>
      <c r="S218" s="125">
        <v>32756</v>
      </c>
      <c r="T218" s="125">
        <v>983</v>
      </c>
      <c r="U218" s="125">
        <v>0</v>
      </c>
      <c r="V218" s="136">
        <v>265</v>
      </c>
      <c r="W218" s="136">
        <v>17439</v>
      </c>
      <c r="X218" s="136">
        <v>330</v>
      </c>
      <c r="Y218" s="137">
        <v>0</v>
      </c>
      <c r="Z218" s="137">
        <v>243</v>
      </c>
      <c r="AA218" s="137">
        <v>7</v>
      </c>
      <c r="AB218" s="141">
        <v>0</v>
      </c>
      <c r="AC218" s="141">
        <v>0</v>
      </c>
      <c r="AD218" s="141">
        <v>0</v>
      </c>
    </row>
    <row r="219" spans="1:30" ht="14.25">
      <c r="A219">
        <v>683</v>
      </c>
      <c r="B219" s="121" t="s">
        <v>347</v>
      </c>
      <c r="C219" s="120">
        <v>8620</v>
      </c>
      <c r="D219" s="120">
        <v>0</v>
      </c>
      <c r="E219" s="120">
        <v>0</v>
      </c>
      <c r="F219" s="120">
        <v>0</v>
      </c>
      <c r="G219" s="123">
        <v>76</v>
      </c>
      <c r="H219" s="123">
        <v>2923</v>
      </c>
      <c r="I219" s="123">
        <v>0</v>
      </c>
      <c r="J219" s="125">
        <v>0</v>
      </c>
      <c r="K219" s="125">
        <v>0</v>
      </c>
      <c r="L219" s="125">
        <v>0</v>
      </c>
      <c r="M219" s="127">
        <v>0</v>
      </c>
      <c r="N219" s="127">
        <v>0</v>
      </c>
      <c r="O219" s="127">
        <v>0</v>
      </c>
      <c r="P219" s="129">
        <v>0</v>
      </c>
      <c r="Q219" s="129">
        <v>0</v>
      </c>
      <c r="R219" s="129">
        <v>0</v>
      </c>
      <c r="S219" s="125">
        <v>37390</v>
      </c>
      <c r="T219" s="125">
        <v>1302</v>
      </c>
      <c r="U219" s="125">
        <v>0</v>
      </c>
      <c r="V219" s="136">
        <v>683</v>
      </c>
      <c r="W219" s="136">
        <v>19992</v>
      </c>
      <c r="X219" s="136">
        <v>365</v>
      </c>
      <c r="Y219" s="137">
        <v>0</v>
      </c>
      <c r="Z219" s="137">
        <v>237</v>
      </c>
      <c r="AA219" s="137">
        <v>0</v>
      </c>
      <c r="AB219" s="141">
        <v>0</v>
      </c>
      <c r="AC219" s="141">
        <v>0</v>
      </c>
      <c r="AD219" s="141">
        <v>0</v>
      </c>
    </row>
    <row r="220" spans="1:30" ht="14.25">
      <c r="A220">
        <v>684</v>
      </c>
      <c r="B220" s="121" t="s">
        <v>348</v>
      </c>
      <c r="C220" s="120">
        <v>90895</v>
      </c>
      <c r="D220" s="120">
        <v>-6</v>
      </c>
      <c r="E220" s="120">
        <v>24643</v>
      </c>
      <c r="F220" s="120">
        <v>4630</v>
      </c>
      <c r="G220" s="123">
        <v>313</v>
      </c>
      <c r="H220" s="123">
        <v>20051</v>
      </c>
      <c r="I220" s="123">
        <v>0</v>
      </c>
      <c r="J220" s="125">
        <v>0</v>
      </c>
      <c r="K220" s="125">
        <v>0</v>
      </c>
      <c r="L220" s="125">
        <v>0</v>
      </c>
      <c r="M220" s="127">
        <v>0</v>
      </c>
      <c r="N220" s="127">
        <v>636</v>
      </c>
      <c r="O220" s="127">
        <v>87</v>
      </c>
      <c r="P220" s="129">
        <v>0</v>
      </c>
      <c r="Q220" s="129">
        <v>458</v>
      </c>
      <c r="R220" s="129">
        <v>0</v>
      </c>
      <c r="S220" s="125">
        <v>316882</v>
      </c>
      <c r="T220" s="125">
        <v>20594</v>
      </c>
      <c r="U220" s="125">
        <v>4630</v>
      </c>
      <c r="V220" s="136">
        <v>3787</v>
      </c>
      <c r="W220" s="136">
        <v>150918</v>
      </c>
      <c r="X220" s="136">
        <v>3568</v>
      </c>
      <c r="Y220" s="137">
        <v>3</v>
      </c>
      <c r="Z220" s="137">
        <v>475</v>
      </c>
      <c r="AA220" s="137">
        <v>0</v>
      </c>
      <c r="AB220" s="141">
        <v>23</v>
      </c>
      <c r="AC220" s="141">
        <v>2181</v>
      </c>
      <c r="AD220" s="141">
        <v>0</v>
      </c>
    </row>
    <row r="221" spans="1:30" ht="14.25">
      <c r="A221">
        <v>686</v>
      </c>
      <c r="B221" s="121" t="s">
        <v>349</v>
      </c>
      <c r="C221" s="120">
        <v>4235</v>
      </c>
      <c r="D221" s="120">
        <v>0</v>
      </c>
      <c r="E221" s="120">
        <v>0</v>
      </c>
      <c r="F221" s="120">
        <v>308</v>
      </c>
      <c r="G221" s="123">
        <v>17</v>
      </c>
      <c r="H221" s="123">
        <v>1321</v>
      </c>
      <c r="I221" s="123">
        <v>40</v>
      </c>
      <c r="J221" s="125">
        <v>0</v>
      </c>
      <c r="K221" s="125">
        <v>0</v>
      </c>
      <c r="L221" s="125">
        <v>0</v>
      </c>
      <c r="M221" s="127">
        <v>0</v>
      </c>
      <c r="N221" s="127">
        <v>0</v>
      </c>
      <c r="O221" s="127">
        <v>0</v>
      </c>
      <c r="P221" s="129">
        <v>0</v>
      </c>
      <c r="Q221" s="129">
        <v>0</v>
      </c>
      <c r="R221" s="129">
        <v>0</v>
      </c>
      <c r="S221" s="125">
        <v>25187</v>
      </c>
      <c r="T221" s="125">
        <v>777</v>
      </c>
      <c r="U221" s="125">
        <v>311</v>
      </c>
      <c r="V221" s="136">
        <v>210</v>
      </c>
      <c r="W221" s="136">
        <v>14823</v>
      </c>
      <c r="X221" s="136">
        <v>351</v>
      </c>
      <c r="Y221" s="137">
        <v>0</v>
      </c>
      <c r="Z221" s="137">
        <v>109</v>
      </c>
      <c r="AA221" s="137">
        <v>8</v>
      </c>
      <c r="AB221" s="141">
        <v>0</v>
      </c>
      <c r="AC221" s="141">
        <v>118</v>
      </c>
      <c r="AD221" s="141">
        <v>1</v>
      </c>
    </row>
    <row r="222" spans="1:30" ht="14.25">
      <c r="A222">
        <v>687</v>
      </c>
      <c r="B222" s="121" t="s">
        <v>350</v>
      </c>
      <c r="C222" s="120">
        <v>3969</v>
      </c>
      <c r="D222" s="120">
        <v>0</v>
      </c>
      <c r="E222" s="120">
        <v>0</v>
      </c>
      <c r="F222" s="120">
        <v>0</v>
      </c>
      <c r="G222" s="123">
        <v>21</v>
      </c>
      <c r="H222" s="123">
        <v>1231</v>
      </c>
      <c r="I222" s="123">
        <v>45</v>
      </c>
      <c r="J222" s="125">
        <v>0</v>
      </c>
      <c r="K222" s="125">
        <v>0</v>
      </c>
      <c r="L222" s="125">
        <v>0</v>
      </c>
      <c r="M222" s="127">
        <v>0</v>
      </c>
      <c r="N222" s="127">
        <v>0</v>
      </c>
      <c r="O222" s="127">
        <v>0</v>
      </c>
      <c r="P222" s="129">
        <v>0</v>
      </c>
      <c r="Q222" s="129">
        <v>0</v>
      </c>
      <c r="R222" s="129">
        <v>0</v>
      </c>
      <c r="S222" s="125">
        <v>16818</v>
      </c>
      <c r="T222" s="125">
        <v>908</v>
      </c>
      <c r="U222" s="125">
        <v>0</v>
      </c>
      <c r="V222" s="136">
        <v>186</v>
      </c>
      <c r="W222" s="136">
        <v>9645</v>
      </c>
      <c r="X222" s="136">
        <v>288</v>
      </c>
      <c r="Y222" s="137">
        <v>0</v>
      </c>
      <c r="Z222" s="137">
        <v>259</v>
      </c>
      <c r="AA222" s="137">
        <v>15</v>
      </c>
      <c r="AB222" s="141">
        <v>0</v>
      </c>
      <c r="AC222" s="141">
        <v>0</v>
      </c>
      <c r="AD222" s="141">
        <v>0</v>
      </c>
    </row>
    <row r="223" spans="1:30" ht="14.25">
      <c r="A223">
        <v>689</v>
      </c>
      <c r="B223" s="121" t="s">
        <v>351</v>
      </c>
      <c r="C223" s="120">
        <v>4729</v>
      </c>
      <c r="D223" s="120">
        <v>0</v>
      </c>
      <c r="E223" s="120">
        <v>0</v>
      </c>
      <c r="F223" s="120">
        <v>0</v>
      </c>
      <c r="G223" s="123">
        <v>4</v>
      </c>
      <c r="H223" s="123">
        <v>426</v>
      </c>
      <c r="I223" s="123">
        <v>4</v>
      </c>
      <c r="J223" s="125">
        <v>0</v>
      </c>
      <c r="K223" s="125">
        <v>0</v>
      </c>
      <c r="L223" s="125">
        <v>0</v>
      </c>
      <c r="M223" s="127">
        <v>0</v>
      </c>
      <c r="N223" s="127">
        <v>0</v>
      </c>
      <c r="O223" s="127">
        <v>0</v>
      </c>
      <c r="P223" s="129">
        <v>0</v>
      </c>
      <c r="Q223" s="129">
        <v>0</v>
      </c>
      <c r="R223" s="129">
        <v>0</v>
      </c>
      <c r="S223" s="125">
        <v>25813</v>
      </c>
      <c r="T223" s="125">
        <v>1470</v>
      </c>
      <c r="U223" s="125">
        <v>0</v>
      </c>
      <c r="V223" s="136">
        <v>108</v>
      </c>
      <c r="W223" s="136">
        <v>14843</v>
      </c>
      <c r="X223" s="136">
        <v>308</v>
      </c>
      <c r="Y223" s="137">
        <v>0</v>
      </c>
      <c r="Z223" s="137">
        <v>0</v>
      </c>
      <c r="AA223" s="137">
        <v>58</v>
      </c>
      <c r="AB223" s="141">
        <v>0</v>
      </c>
      <c r="AC223" s="141">
        <v>0</v>
      </c>
      <c r="AD223" s="141">
        <v>0</v>
      </c>
    </row>
    <row r="224" spans="1:30" ht="14.25">
      <c r="A224">
        <v>691</v>
      </c>
      <c r="B224" s="121" t="s">
        <v>352</v>
      </c>
      <c r="C224" s="120">
        <v>10013</v>
      </c>
      <c r="D224" s="120">
        <v>0</v>
      </c>
      <c r="E224" s="120">
        <v>0</v>
      </c>
      <c r="F224" s="120">
        <v>0</v>
      </c>
      <c r="G224" s="123">
        <v>3</v>
      </c>
      <c r="H224" s="123">
        <v>57</v>
      </c>
      <c r="I224" s="123">
        <v>0</v>
      </c>
      <c r="J224" s="125">
        <v>0</v>
      </c>
      <c r="K224" s="125">
        <v>0</v>
      </c>
      <c r="L224" s="125">
        <v>0</v>
      </c>
      <c r="M224" s="127">
        <v>0</v>
      </c>
      <c r="N224" s="127">
        <v>0</v>
      </c>
      <c r="O224" s="127">
        <v>0</v>
      </c>
      <c r="P224" s="129">
        <v>0</v>
      </c>
      <c r="Q224" s="129">
        <v>0</v>
      </c>
      <c r="R224" s="129">
        <v>0</v>
      </c>
      <c r="S224" s="125">
        <v>28137</v>
      </c>
      <c r="T224" s="125">
        <v>1197</v>
      </c>
      <c r="U224" s="125">
        <v>0</v>
      </c>
      <c r="V224" s="136">
        <v>336</v>
      </c>
      <c r="W224" s="136">
        <v>11236</v>
      </c>
      <c r="X224" s="136">
        <v>225</v>
      </c>
      <c r="Y224" s="137">
        <v>0</v>
      </c>
      <c r="Z224" s="137">
        <v>0</v>
      </c>
      <c r="AA224" s="137">
        <v>0</v>
      </c>
      <c r="AB224" s="141">
        <v>0</v>
      </c>
      <c r="AC224" s="141">
        <v>0</v>
      </c>
      <c r="AD224" s="141">
        <v>0</v>
      </c>
    </row>
    <row r="225" spans="1:30" ht="14.25">
      <c r="A225">
        <v>694</v>
      </c>
      <c r="B225" s="121" t="s">
        <v>353</v>
      </c>
      <c r="C225" s="120">
        <v>52287</v>
      </c>
      <c r="D225" s="120">
        <v>0</v>
      </c>
      <c r="E225" s="120">
        <v>0</v>
      </c>
      <c r="F225" s="120">
        <v>3472</v>
      </c>
      <c r="G225" s="123">
        <v>330</v>
      </c>
      <c r="H225" s="123">
        <v>7537</v>
      </c>
      <c r="I225" s="123">
        <v>1</v>
      </c>
      <c r="J225" s="125">
        <v>0</v>
      </c>
      <c r="K225" s="125">
        <v>0</v>
      </c>
      <c r="L225" s="125">
        <v>0</v>
      </c>
      <c r="M225" s="127">
        <v>0</v>
      </c>
      <c r="N225" s="127">
        <v>0</v>
      </c>
      <c r="O225" s="127">
        <v>0</v>
      </c>
      <c r="P225" s="129">
        <v>0</v>
      </c>
      <c r="Q225" s="129">
        <v>0</v>
      </c>
      <c r="R225" s="129">
        <v>0</v>
      </c>
      <c r="S225" s="125">
        <v>199055</v>
      </c>
      <c r="T225" s="125">
        <v>8525</v>
      </c>
      <c r="U225" s="125">
        <v>3472</v>
      </c>
      <c r="V225" s="136">
        <v>3458</v>
      </c>
      <c r="W225" s="136">
        <v>103885</v>
      </c>
      <c r="X225" s="136">
        <v>2124</v>
      </c>
      <c r="Y225" s="137">
        <v>7</v>
      </c>
      <c r="Z225" s="137">
        <v>49</v>
      </c>
      <c r="AA225" s="137">
        <v>0</v>
      </c>
      <c r="AB225" s="141">
        <v>62</v>
      </c>
      <c r="AC225" s="141">
        <v>1863</v>
      </c>
      <c r="AD225" s="141">
        <v>38</v>
      </c>
    </row>
    <row r="226" spans="1:30" ht="14.25">
      <c r="A226">
        <v>697</v>
      </c>
      <c r="B226" s="121" t="s">
        <v>354</v>
      </c>
      <c r="C226" s="120">
        <v>4923</v>
      </c>
      <c r="D226" s="120">
        <v>0</v>
      </c>
      <c r="E226" s="120">
        <v>0</v>
      </c>
      <c r="F226" s="120">
        <v>73</v>
      </c>
      <c r="G226" s="123">
        <v>0</v>
      </c>
      <c r="H226" s="123">
        <v>3</v>
      </c>
      <c r="I226" s="123">
        <v>0</v>
      </c>
      <c r="J226" s="125">
        <v>0</v>
      </c>
      <c r="K226" s="125">
        <v>0</v>
      </c>
      <c r="L226" s="125">
        <v>0</v>
      </c>
      <c r="M226" s="127">
        <v>0</v>
      </c>
      <c r="N226" s="127">
        <v>0</v>
      </c>
      <c r="O226" s="127">
        <v>0</v>
      </c>
      <c r="P226" s="129">
        <v>0</v>
      </c>
      <c r="Q226" s="129">
        <v>0</v>
      </c>
      <c r="R226" s="129">
        <v>0</v>
      </c>
      <c r="S226" s="125">
        <v>15266</v>
      </c>
      <c r="T226" s="125">
        <v>559</v>
      </c>
      <c r="U226" s="125">
        <v>73</v>
      </c>
      <c r="V226" s="136">
        <v>117</v>
      </c>
      <c r="W226" s="136">
        <v>7174</v>
      </c>
      <c r="X226" s="136">
        <v>130</v>
      </c>
      <c r="Y226" s="137">
        <v>0</v>
      </c>
      <c r="Z226" s="137">
        <v>0</v>
      </c>
      <c r="AA226" s="137">
        <v>0</v>
      </c>
      <c r="AB226" s="141">
        <v>0</v>
      </c>
      <c r="AC226" s="141">
        <v>0</v>
      </c>
      <c r="AD226" s="141">
        <v>0</v>
      </c>
    </row>
    <row r="227" spans="1:30" ht="14.25">
      <c r="A227">
        <v>698</v>
      </c>
      <c r="B227" s="121" t="s">
        <v>355</v>
      </c>
      <c r="C227" s="120">
        <v>110836</v>
      </c>
      <c r="D227" s="120">
        <v>0</v>
      </c>
      <c r="E227" s="120">
        <v>6006</v>
      </c>
      <c r="F227" s="120">
        <v>0</v>
      </c>
      <c r="G227" s="123">
        <v>1061</v>
      </c>
      <c r="H227" s="123">
        <v>29691</v>
      </c>
      <c r="I227" s="123">
        <v>59</v>
      </c>
      <c r="J227" s="125">
        <v>0</v>
      </c>
      <c r="K227" s="125">
        <v>0</v>
      </c>
      <c r="L227" s="125">
        <v>0</v>
      </c>
      <c r="M227" s="127">
        <v>0</v>
      </c>
      <c r="N227" s="127">
        <v>0</v>
      </c>
      <c r="O227" s="127">
        <v>0</v>
      </c>
      <c r="P227" s="129">
        <v>0</v>
      </c>
      <c r="Q227" s="129">
        <v>0</v>
      </c>
      <c r="R227" s="129">
        <v>0</v>
      </c>
      <c r="S227" s="125">
        <v>455921</v>
      </c>
      <c r="T227" s="125">
        <v>20152</v>
      </c>
      <c r="U227" s="125">
        <v>0</v>
      </c>
      <c r="V227" s="136">
        <v>7790</v>
      </c>
      <c r="W227" s="136">
        <v>237745</v>
      </c>
      <c r="X227" s="136">
        <v>4630</v>
      </c>
      <c r="Y227" s="137">
        <v>0</v>
      </c>
      <c r="Z227" s="137">
        <v>26</v>
      </c>
      <c r="AA227" s="137">
        <v>0</v>
      </c>
      <c r="AB227" s="141">
        <v>0</v>
      </c>
      <c r="AC227" s="141">
        <v>0</v>
      </c>
      <c r="AD227" s="141">
        <v>0</v>
      </c>
    </row>
    <row r="228" spans="1:30" ht="14.25">
      <c r="A228">
        <v>700</v>
      </c>
      <c r="B228" s="121" t="s">
        <v>356</v>
      </c>
      <c r="C228" s="120">
        <v>9058</v>
      </c>
      <c r="D228" s="120">
        <v>0</v>
      </c>
      <c r="E228" s="120">
        <v>0</v>
      </c>
      <c r="F228" s="120">
        <v>0</v>
      </c>
      <c r="G228" s="123">
        <v>0</v>
      </c>
      <c r="H228" s="123">
        <v>37</v>
      </c>
      <c r="I228" s="123">
        <v>0</v>
      </c>
      <c r="J228" s="125">
        <v>0</v>
      </c>
      <c r="K228" s="125">
        <v>0</v>
      </c>
      <c r="L228" s="125">
        <v>0</v>
      </c>
      <c r="M228" s="127">
        <v>0</v>
      </c>
      <c r="N228" s="127">
        <v>0</v>
      </c>
      <c r="O228" s="127">
        <v>0</v>
      </c>
      <c r="P228" s="129">
        <v>0</v>
      </c>
      <c r="Q228" s="129">
        <v>0</v>
      </c>
      <c r="R228" s="129">
        <v>0</v>
      </c>
      <c r="S228" s="125">
        <v>40358</v>
      </c>
      <c r="T228" s="125">
        <v>2842</v>
      </c>
      <c r="U228" s="125">
        <v>0</v>
      </c>
      <c r="V228" s="136">
        <v>134</v>
      </c>
      <c r="W228" s="136">
        <v>20166</v>
      </c>
      <c r="X228" s="136">
        <v>0</v>
      </c>
      <c r="Y228" s="137">
        <v>0</v>
      </c>
      <c r="Z228" s="137">
        <v>0</v>
      </c>
      <c r="AA228" s="137">
        <v>0</v>
      </c>
      <c r="AB228" s="141">
        <v>0</v>
      </c>
      <c r="AC228" s="141">
        <v>0</v>
      </c>
      <c r="AD228" s="141">
        <v>0</v>
      </c>
    </row>
    <row r="229" spans="1:30" ht="14.25">
      <c r="A229">
        <v>702</v>
      </c>
      <c r="B229" s="121" t="s">
        <v>357</v>
      </c>
      <c r="C229" s="120">
        <v>5667</v>
      </c>
      <c r="D229" s="120">
        <v>0</v>
      </c>
      <c r="E229" s="120">
        <v>0</v>
      </c>
      <c r="F229" s="120">
        <v>834</v>
      </c>
      <c r="G229" s="123">
        <v>105</v>
      </c>
      <c r="H229" s="123">
        <v>205</v>
      </c>
      <c r="I229" s="123">
        <v>0</v>
      </c>
      <c r="J229" s="125">
        <v>0</v>
      </c>
      <c r="K229" s="125">
        <v>0</v>
      </c>
      <c r="L229" s="125">
        <v>0</v>
      </c>
      <c r="M229" s="127">
        <v>0</v>
      </c>
      <c r="N229" s="127">
        <v>0</v>
      </c>
      <c r="O229" s="127">
        <v>0</v>
      </c>
      <c r="P229" s="129">
        <v>0</v>
      </c>
      <c r="Q229" s="129">
        <v>0</v>
      </c>
      <c r="R229" s="129">
        <v>0</v>
      </c>
      <c r="S229" s="125">
        <v>34302</v>
      </c>
      <c r="T229" s="125">
        <v>1257</v>
      </c>
      <c r="U229" s="125">
        <v>834</v>
      </c>
      <c r="V229" s="136">
        <v>188</v>
      </c>
      <c r="W229" s="136">
        <v>20783</v>
      </c>
      <c r="X229" s="136">
        <v>347</v>
      </c>
      <c r="Y229" s="137">
        <v>0</v>
      </c>
      <c r="Z229" s="137">
        <v>4</v>
      </c>
      <c r="AA229" s="137">
        <v>0</v>
      </c>
      <c r="AB229" s="141">
        <v>0</v>
      </c>
      <c r="AC229" s="141">
        <v>47</v>
      </c>
      <c r="AD229" s="141">
        <v>0</v>
      </c>
    </row>
    <row r="230" spans="1:30" ht="14.25">
      <c r="A230">
        <v>704</v>
      </c>
      <c r="B230" s="121" t="s">
        <v>358</v>
      </c>
      <c r="C230" s="120">
        <v>7960</v>
      </c>
      <c r="D230" s="120">
        <v>0</v>
      </c>
      <c r="E230" s="120">
        <v>0</v>
      </c>
      <c r="F230" s="120">
        <v>379</v>
      </c>
      <c r="G230" s="123">
        <v>0</v>
      </c>
      <c r="H230" s="123">
        <v>6</v>
      </c>
      <c r="I230" s="123">
        <v>41</v>
      </c>
      <c r="J230" s="125">
        <v>0</v>
      </c>
      <c r="K230" s="125">
        <v>0</v>
      </c>
      <c r="L230" s="125">
        <v>0</v>
      </c>
      <c r="M230" s="127">
        <v>0</v>
      </c>
      <c r="N230" s="127">
        <v>0</v>
      </c>
      <c r="O230" s="127">
        <v>0</v>
      </c>
      <c r="P230" s="129">
        <v>0</v>
      </c>
      <c r="Q230" s="129">
        <v>0</v>
      </c>
      <c r="R230" s="129">
        <v>0</v>
      </c>
      <c r="S230" s="125">
        <v>34267</v>
      </c>
      <c r="T230" s="125">
        <v>1557</v>
      </c>
      <c r="U230" s="125">
        <v>377</v>
      </c>
      <c r="V230" s="136">
        <v>19</v>
      </c>
      <c r="W230" s="136">
        <v>14886</v>
      </c>
      <c r="X230" s="136">
        <v>493</v>
      </c>
      <c r="Y230" s="137">
        <v>0</v>
      </c>
      <c r="Z230" s="137">
        <v>0</v>
      </c>
      <c r="AA230" s="137">
        <v>0</v>
      </c>
      <c r="AB230" s="141">
        <v>0</v>
      </c>
      <c r="AC230" s="141">
        <v>4</v>
      </c>
      <c r="AD230" s="141">
        <v>0</v>
      </c>
    </row>
    <row r="231" spans="1:30" ht="14.25">
      <c r="A231">
        <v>707</v>
      </c>
      <c r="B231" s="121" t="s">
        <v>359</v>
      </c>
      <c r="C231" s="120">
        <v>3537</v>
      </c>
      <c r="D231" s="120">
        <v>0</v>
      </c>
      <c r="E231" s="120">
        <v>0</v>
      </c>
      <c r="F231" s="120">
        <v>0</v>
      </c>
      <c r="G231" s="123">
        <v>96</v>
      </c>
      <c r="H231" s="123">
        <v>1063</v>
      </c>
      <c r="I231" s="123">
        <v>21</v>
      </c>
      <c r="J231" s="125">
        <v>0</v>
      </c>
      <c r="K231" s="125">
        <v>0</v>
      </c>
      <c r="L231" s="125">
        <v>0</v>
      </c>
      <c r="M231" s="127">
        <v>0</v>
      </c>
      <c r="N231" s="127">
        <v>0</v>
      </c>
      <c r="O231" s="127">
        <v>0</v>
      </c>
      <c r="P231" s="129">
        <v>0</v>
      </c>
      <c r="Q231" s="129">
        <v>0</v>
      </c>
      <c r="R231" s="129">
        <v>0</v>
      </c>
      <c r="S231" s="125">
        <v>19204</v>
      </c>
      <c r="T231" s="125">
        <v>517</v>
      </c>
      <c r="U231" s="125">
        <v>0</v>
      </c>
      <c r="V231" s="136">
        <v>344</v>
      </c>
      <c r="W231" s="136">
        <v>12221</v>
      </c>
      <c r="X231" s="136">
        <v>212</v>
      </c>
      <c r="Y231" s="137">
        <v>0</v>
      </c>
      <c r="Z231" s="137">
        <v>1</v>
      </c>
      <c r="AA231" s="137">
        <v>0</v>
      </c>
      <c r="AB231" s="141">
        <v>0</v>
      </c>
      <c r="AC231" s="141">
        <v>0</v>
      </c>
      <c r="AD231" s="141">
        <v>0</v>
      </c>
    </row>
    <row r="232" spans="1:30" ht="14.25">
      <c r="A232">
        <v>710</v>
      </c>
      <c r="B232" s="121" t="s">
        <v>134</v>
      </c>
      <c r="C232" s="120">
        <v>53819</v>
      </c>
      <c r="D232" s="120">
        <v>0</v>
      </c>
      <c r="E232" s="120">
        <v>130</v>
      </c>
      <c r="F232" s="120">
        <v>0</v>
      </c>
      <c r="G232" s="123">
        <v>510</v>
      </c>
      <c r="H232" s="123">
        <v>13370</v>
      </c>
      <c r="I232" s="123">
        <v>0</v>
      </c>
      <c r="J232" s="125">
        <v>0</v>
      </c>
      <c r="K232" s="125">
        <v>0</v>
      </c>
      <c r="L232" s="125">
        <v>0</v>
      </c>
      <c r="M232" s="127">
        <v>0</v>
      </c>
      <c r="N232" s="127">
        <v>0</v>
      </c>
      <c r="O232" s="127">
        <v>0</v>
      </c>
      <c r="P232" s="129">
        <v>0</v>
      </c>
      <c r="Q232" s="129">
        <v>0</v>
      </c>
      <c r="R232" s="129">
        <v>0</v>
      </c>
      <c r="S232" s="125">
        <v>217165</v>
      </c>
      <c r="T232" s="125">
        <v>5919</v>
      </c>
      <c r="U232" s="125">
        <v>0</v>
      </c>
      <c r="V232" s="136">
        <v>3331</v>
      </c>
      <c r="W232" s="136">
        <v>116822</v>
      </c>
      <c r="X232" s="136">
        <v>1838</v>
      </c>
      <c r="Y232" s="137">
        <v>0</v>
      </c>
      <c r="Z232" s="137">
        <v>3</v>
      </c>
      <c r="AA232" s="137">
        <v>0</v>
      </c>
      <c r="AB232" s="141">
        <v>0</v>
      </c>
      <c r="AC232" s="141">
        <v>0</v>
      </c>
      <c r="AD232" s="141">
        <v>0</v>
      </c>
    </row>
    <row r="233" spans="1:30" ht="14.25">
      <c r="A233">
        <v>729</v>
      </c>
      <c r="B233" s="121" t="s">
        <v>360</v>
      </c>
      <c r="C233" s="120">
        <v>15963</v>
      </c>
      <c r="D233" s="120">
        <v>0</v>
      </c>
      <c r="E233" s="120">
        <v>0</v>
      </c>
      <c r="F233" s="120">
        <v>925</v>
      </c>
      <c r="G233" s="123">
        <v>0</v>
      </c>
      <c r="H233" s="123">
        <v>316</v>
      </c>
      <c r="I233" s="123">
        <v>0</v>
      </c>
      <c r="J233" s="125">
        <v>0</v>
      </c>
      <c r="K233" s="125">
        <v>0</v>
      </c>
      <c r="L233" s="125">
        <v>0</v>
      </c>
      <c r="M233" s="127">
        <v>0</v>
      </c>
      <c r="N233" s="127">
        <v>0</v>
      </c>
      <c r="O233" s="127">
        <v>0</v>
      </c>
      <c r="P233" s="129">
        <v>0</v>
      </c>
      <c r="Q233" s="129">
        <v>0</v>
      </c>
      <c r="R233" s="129">
        <v>0</v>
      </c>
      <c r="S233" s="125">
        <v>72887</v>
      </c>
      <c r="T233" s="125">
        <v>4304</v>
      </c>
      <c r="U233" s="125">
        <v>926</v>
      </c>
      <c r="V233" s="136">
        <v>797</v>
      </c>
      <c r="W233" s="136">
        <v>39294</v>
      </c>
      <c r="X233" s="136">
        <v>838</v>
      </c>
      <c r="Y233" s="137">
        <v>0</v>
      </c>
      <c r="Z233" s="137">
        <v>0</v>
      </c>
      <c r="AA233" s="137">
        <v>0</v>
      </c>
      <c r="AB233" s="141">
        <v>0</v>
      </c>
      <c r="AC233" s="141">
        <v>0</v>
      </c>
      <c r="AD233" s="141">
        <v>19</v>
      </c>
    </row>
    <row r="234" spans="1:30" ht="14.25">
      <c r="A234">
        <v>732</v>
      </c>
      <c r="B234" s="121" t="s">
        <v>361</v>
      </c>
      <c r="C234" s="120">
        <v>7052</v>
      </c>
      <c r="D234" s="120">
        <v>0</v>
      </c>
      <c r="E234" s="120">
        <v>0</v>
      </c>
      <c r="F234" s="120">
        <v>4376</v>
      </c>
      <c r="G234" s="123">
        <v>13</v>
      </c>
      <c r="H234" s="123">
        <v>3128</v>
      </c>
      <c r="I234" s="123">
        <v>0</v>
      </c>
      <c r="J234" s="125">
        <v>0</v>
      </c>
      <c r="K234" s="125">
        <v>0</v>
      </c>
      <c r="L234" s="125">
        <v>0</v>
      </c>
      <c r="M234" s="127">
        <v>0</v>
      </c>
      <c r="N234" s="127">
        <v>0</v>
      </c>
      <c r="O234" s="127">
        <v>0</v>
      </c>
      <c r="P234" s="129">
        <v>0</v>
      </c>
      <c r="Q234" s="129">
        <v>911</v>
      </c>
      <c r="R234" s="129">
        <v>0</v>
      </c>
      <c r="S234" s="125">
        <v>36755</v>
      </c>
      <c r="T234" s="125">
        <v>1297</v>
      </c>
      <c r="U234" s="125">
        <v>4376</v>
      </c>
      <c r="V234" s="136">
        <v>149</v>
      </c>
      <c r="W234" s="136">
        <v>22092</v>
      </c>
      <c r="X234" s="136">
        <v>350</v>
      </c>
      <c r="Y234" s="137">
        <v>0</v>
      </c>
      <c r="Z234" s="137">
        <v>155</v>
      </c>
      <c r="AA234" s="137">
        <v>0</v>
      </c>
      <c r="AB234" s="141">
        <v>0</v>
      </c>
      <c r="AC234" s="141">
        <v>2683</v>
      </c>
      <c r="AD234" s="141">
        <v>0</v>
      </c>
    </row>
    <row r="235" spans="1:30" ht="14.25">
      <c r="A235">
        <v>734</v>
      </c>
      <c r="B235" s="121" t="s">
        <v>362</v>
      </c>
      <c r="C235" s="120">
        <v>92418</v>
      </c>
      <c r="D235" s="120">
        <v>0</v>
      </c>
      <c r="E235" s="120">
        <v>0</v>
      </c>
      <c r="F235" s="120">
        <v>4760</v>
      </c>
      <c r="G235" s="123">
        <v>461</v>
      </c>
      <c r="H235" s="123">
        <v>24178</v>
      </c>
      <c r="I235" s="123">
        <v>0</v>
      </c>
      <c r="J235" s="125">
        <v>0</v>
      </c>
      <c r="K235" s="125">
        <v>0</v>
      </c>
      <c r="L235" s="125">
        <v>0</v>
      </c>
      <c r="M235" s="127">
        <v>0</v>
      </c>
      <c r="N235" s="127">
        <v>0</v>
      </c>
      <c r="O235" s="127">
        <v>0</v>
      </c>
      <c r="P235" s="129">
        <v>0</v>
      </c>
      <c r="Q235" s="129">
        <v>1010</v>
      </c>
      <c r="R235" s="129">
        <v>0</v>
      </c>
      <c r="S235" s="125">
        <v>372315</v>
      </c>
      <c r="T235" s="125">
        <v>15320</v>
      </c>
      <c r="U235" s="125">
        <v>4762</v>
      </c>
      <c r="V235" s="136">
        <v>1725</v>
      </c>
      <c r="W235" s="136">
        <v>204371</v>
      </c>
      <c r="X235" s="136">
        <v>3915</v>
      </c>
      <c r="Y235" s="137">
        <v>0</v>
      </c>
      <c r="Z235" s="137">
        <v>594</v>
      </c>
      <c r="AA235" s="137">
        <v>0</v>
      </c>
      <c r="AB235" s="141">
        <v>32</v>
      </c>
      <c r="AC235" s="141">
        <v>2264</v>
      </c>
      <c r="AD235" s="141">
        <v>1</v>
      </c>
    </row>
    <row r="236" spans="1:30" ht="14.25">
      <c r="A236">
        <v>738</v>
      </c>
      <c r="B236" s="121" t="s">
        <v>363</v>
      </c>
      <c r="C236" s="120">
        <v>2871</v>
      </c>
      <c r="D236" s="120">
        <v>0</v>
      </c>
      <c r="E236" s="120">
        <v>0</v>
      </c>
      <c r="F236" s="120">
        <v>176</v>
      </c>
      <c r="G236" s="123">
        <v>21</v>
      </c>
      <c r="H236" s="123">
        <v>636</v>
      </c>
      <c r="I236" s="123">
        <v>0</v>
      </c>
      <c r="J236" s="125">
        <v>0</v>
      </c>
      <c r="K236" s="125">
        <v>0</v>
      </c>
      <c r="L236" s="125">
        <v>0</v>
      </c>
      <c r="M236" s="127">
        <v>0</v>
      </c>
      <c r="N236" s="127">
        <v>0</v>
      </c>
      <c r="O236" s="127">
        <v>0</v>
      </c>
      <c r="P236" s="129">
        <v>0</v>
      </c>
      <c r="Q236" s="129">
        <v>0</v>
      </c>
      <c r="R236" s="129">
        <v>0</v>
      </c>
      <c r="S236" s="125">
        <v>18471</v>
      </c>
      <c r="T236" s="125">
        <v>360</v>
      </c>
      <c r="U236" s="125">
        <v>175</v>
      </c>
      <c r="V236" s="136">
        <v>157</v>
      </c>
      <c r="W236" s="136">
        <v>9981</v>
      </c>
      <c r="X236" s="136">
        <v>218</v>
      </c>
      <c r="Y236" s="137">
        <v>0</v>
      </c>
      <c r="Z236" s="137">
        <v>0</v>
      </c>
      <c r="AA236" s="137">
        <v>0</v>
      </c>
      <c r="AB236" s="141">
        <v>1</v>
      </c>
      <c r="AC236" s="141">
        <v>59</v>
      </c>
      <c r="AD236" s="141">
        <v>1</v>
      </c>
    </row>
    <row r="237" spans="1:30" ht="14.25">
      <c r="A237">
        <v>739</v>
      </c>
      <c r="B237" s="121" t="s">
        <v>364</v>
      </c>
      <c r="C237" s="120">
        <v>7595</v>
      </c>
      <c r="D237" s="120">
        <v>0</v>
      </c>
      <c r="E237" s="120">
        <v>76</v>
      </c>
      <c r="F237" s="120">
        <v>1144</v>
      </c>
      <c r="G237" s="123">
        <v>22</v>
      </c>
      <c r="H237" s="123">
        <v>376</v>
      </c>
      <c r="I237" s="123">
        <v>0</v>
      </c>
      <c r="J237" s="125">
        <v>0</v>
      </c>
      <c r="K237" s="125">
        <v>0</v>
      </c>
      <c r="L237" s="125">
        <v>0</v>
      </c>
      <c r="M237" s="127">
        <v>0</v>
      </c>
      <c r="N237" s="127">
        <v>0</v>
      </c>
      <c r="O237" s="127">
        <v>0</v>
      </c>
      <c r="P237" s="129">
        <v>0</v>
      </c>
      <c r="Q237" s="129">
        <v>0</v>
      </c>
      <c r="R237" s="129">
        <v>0</v>
      </c>
      <c r="S237" s="125">
        <v>30408</v>
      </c>
      <c r="T237" s="125">
        <v>1099</v>
      </c>
      <c r="U237" s="125">
        <v>1144</v>
      </c>
      <c r="V237" s="136">
        <v>174</v>
      </c>
      <c r="W237" s="136">
        <v>16245</v>
      </c>
      <c r="X237" s="136">
        <v>279</v>
      </c>
      <c r="Y237" s="137">
        <v>0</v>
      </c>
      <c r="Z237" s="137">
        <v>0</v>
      </c>
      <c r="AA237" s="137">
        <v>0</v>
      </c>
      <c r="AB237" s="141">
        <v>0</v>
      </c>
      <c r="AC237" s="141">
        <v>0</v>
      </c>
      <c r="AD237" s="141">
        <v>17</v>
      </c>
    </row>
    <row r="238" spans="1:30" ht="14.25">
      <c r="A238">
        <v>740</v>
      </c>
      <c r="B238" s="121" t="s">
        <v>365</v>
      </c>
      <c r="C238" s="120">
        <v>53478</v>
      </c>
      <c r="D238" s="120">
        <v>0</v>
      </c>
      <c r="E238" s="120">
        <v>0</v>
      </c>
      <c r="F238" s="120">
        <v>0</v>
      </c>
      <c r="G238" s="123">
        <v>1137</v>
      </c>
      <c r="H238" s="123">
        <v>5407</v>
      </c>
      <c r="I238" s="123">
        <v>1</v>
      </c>
      <c r="J238" s="125">
        <v>0</v>
      </c>
      <c r="K238" s="125">
        <v>0</v>
      </c>
      <c r="L238" s="125">
        <v>0</v>
      </c>
      <c r="M238" s="127">
        <v>0</v>
      </c>
      <c r="N238" s="127">
        <v>0</v>
      </c>
      <c r="O238" s="127">
        <v>0</v>
      </c>
      <c r="P238" s="129">
        <v>0</v>
      </c>
      <c r="Q238" s="129">
        <v>0</v>
      </c>
      <c r="R238" s="129">
        <v>0</v>
      </c>
      <c r="S238" s="125">
        <v>255267</v>
      </c>
      <c r="T238" s="125">
        <v>8926</v>
      </c>
      <c r="U238" s="125">
        <v>0</v>
      </c>
      <c r="V238" s="136">
        <v>3972</v>
      </c>
      <c r="W238" s="136">
        <v>148435</v>
      </c>
      <c r="X238" s="136">
        <v>3082</v>
      </c>
      <c r="Y238" s="137">
        <v>0</v>
      </c>
      <c r="Z238" s="137">
        <v>15</v>
      </c>
      <c r="AA238" s="137">
        <v>0</v>
      </c>
      <c r="AB238" s="141">
        <v>0</v>
      </c>
      <c r="AC238" s="141">
        <v>0</v>
      </c>
      <c r="AD238" s="141">
        <v>0</v>
      </c>
    </row>
    <row r="239" spans="1:30" ht="14.25">
      <c r="A239">
        <v>742</v>
      </c>
      <c r="B239" s="121" t="s">
        <v>366</v>
      </c>
      <c r="C239" s="120">
        <v>1629</v>
      </c>
      <c r="D239" s="120">
        <v>0</v>
      </c>
      <c r="E239" s="120">
        <v>0</v>
      </c>
      <c r="F239" s="120">
        <v>1132</v>
      </c>
      <c r="G239" s="123">
        <v>26</v>
      </c>
      <c r="H239" s="123">
        <v>370</v>
      </c>
      <c r="I239" s="123">
        <v>0</v>
      </c>
      <c r="J239" s="125">
        <v>0</v>
      </c>
      <c r="K239" s="125">
        <v>0</v>
      </c>
      <c r="L239" s="125">
        <v>0</v>
      </c>
      <c r="M239" s="127">
        <v>0</v>
      </c>
      <c r="N239" s="127">
        <v>0</v>
      </c>
      <c r="O239" s="127">
        <v>0</v>
      </c>
      <c r="P239" s="129">
        <v>0</v>
      </c>
      <c r="Q239" s="129">
        <v>11</v>
      </c>
      <c r="R239" s="129">
        <v>0</v>
      </c>
      <c r="S239" s="125">
        <v>9520</v>
      </c>
      <c r="T239" s="125">
        <v>249</v>
      </c>
      <c r="U239" s="125">
        <v>1134</v>
      </c>
      <c r="V239" s="136">
        <v>224</v>
      </c>
      <c r="W239" s="136">
        <v>5266</v>
      </c>
      <c r="X239" s="136">
        <v>176</v>
      </c>
      <c r="Y239" s="137">
        <v>0</v>
      </c>
      <c r="Z239" s="137">
        <v>63</v>
      </c>
      <c r="AA239" s="137">
        <v>0</v>
      </c>
      <c r="AB239" s="141">
        <v>12</v>
      </c>
      <c r="AC239" s="141">
        <v>234</v>
      </c>
      <c r="AD239" s="141">
        <v>0</v>
      </c>
    </row>
    <row r="240" spans="1:30" ht="14.25">
      <c r="A240">
        <v>743</v>
      </c>
      <c r="B240" s="121" t="s">
        <v>367</v>
      </c>
      <c r="C240" s="120">
        <v>107994</v>
      </c>
      <c r="D240" s="120">
        <v>0</v>
      </c>
      <c r="E240" s="120">
        <v>0</v>
      </c>
      <c r="F240" s="120">
        <v>0</v>
      </c>
      <c r="G240" s="123">
        <v>155</v>
      </c>
      <c r="H240" s="123">
        <v>27698</v>
      </c>
      <c r="I240" s="123">
        <v>11539</v>
      </c>
      <c r="J240" s="125">
        <v>0</v>
      </c>
      <c r="K240" s="125">
        <v>0</v>
      </c>
      <c r="L240" s="125">
        <v>0</v>
      </c>
      <c r="M240" s="127">
        <v>0</v>
      </c>
      <c r="N240" s="127">
        <v>0</v>
      </c>
      <c r="O240" s="127">
        <v>0</v>
      </c>
      <c r="P240" s="129">
        <v>0</v>
      </c>
      <c r="Q240" s="129">
        <v>0</v>
      </c>
      <c r="R240" s="129">
        <v>0</v>
      </c>
      <c r="S240" s="125">
        <v>427394</v>
      </c>
      <c r="T240" s="125">
        <v>17151</v>
      </c>
      <c r="U240" s="125">
        <v>0</v>
      </c>
      <c r="V240" s="136">
        <v>384</v>
      </c>
      <c r="W240" s="136">
        <v>213082</v>
      </c>
      <c r="X240" s="136">
        <v>15909</v>
      </c>
      <c r="Y240" s="137">
        <v>0</v>
      </c>
      <c r="Z240" s="137">
        <v>736</v>
      </c>
      <c r="AA240" s="137">
        <v>907</v>
      </c>
      <c r="AB240" s="141">
        <v>0</v>
      </c>
      <c r="AC240" s="141">
        <v>0</v>
      </c>
      <c r="AD240" s="141">
        <v>0</v>
      </c>
    </row>
    <row r="241" spans="1:30" ht="14.25">
      <c r="A241">
        <v>746</v>
      </c>
      <c r="B241" s="121" t="s">
        <v>368</v>
      </c>
      <c r="C241" s="120">
        <v>6485</v>
      </c>
      <c r="D241" s="120">
        <v>0</v>
      </c>
      <c r="E241" s="120">
        <v>0</v>
      </c>
      <c r="F241" s="120">
        <v>0</v>
      </c>
      <c r="G241" s="123">
        <v>0</v>
      </c>
      <c r="H241" s="123">
        <v>0</v>
      </c>
      <c r="I241" s="123">
        <v>0</v>
      </c>
      <c r="J241" s="125">
        <v>0</v>
      </c>
      <c r="K241" s="125">
        <v>0</v>
      </c>
      <c r="L241" s="125">
        <v>0</v>
      </c>
      <c r="M241" s="127">
        <v>0</v>
      </c>
      <c r="N241" s="127">
        <v>0</v>
      </c>
      <c r="O241" s="127">
        <v>0</v>
      </c>
      <c r="P241" s="129">
        <v>0</v>
      </c>
      <c r="Q241" s="129">
        <v>0</v>
      </c>
      <c r="R241" s="129">
        <v>0</v>
      </c>
      <c r="S241" s="125">
        <v>38057</v>
      </c>
      <c r="T241" s="125">
        <v>664</v>
      </c>
      <c r="U241" s="125">
        <v>2</v>
      </c>
      <c r="V241" s="136">
        <v>180</v>
      </c>
      <c r="W241" s="136">
        <v>19167</v>
      </c>
      <c r="X241" s="136">
        <v>437</v>
      </c>
      <c r="Y241" s="137">
        <v>0</v>
      </c>
      <c r="Z241" s="137">
        <v>0</v>
      </c>
      <c r="AA241" s="137">
        <v>0</v>
      </c>
      <c r="AB241" s="141">
        <v>0</v>
      </c>
      <c r="AC241" s="141">
        <v>0</v>
      </c>
      <c r="AD241" s="141">
        <v>0</v>
      </c>
    </row>
    <row r="242" spans="1:30" ht="14.25">
      <c r="A242">
        <v>747</v>
      </c>
      <c r="B242" s="121" t="s">
        <v>369</v>
      </c>
      <c r="C242" s="120">
        <v>1824</v>
      </c>
      <c r="D242" s="120">
        <v>0</v>
      </c>
      <c r="E242" s="120">
        <v>0</v>
      </c>
      <c r="F242" s="120">
        <v>539</v>
      </c>
      <c r="G242" s="123">
        <v>25</v>
      </c>
      <c r="H242" s="123">
        <v>59</v>
      </c>
      <c r="I242" s="123">
        <v>6</v>
      </c>
      <c r="J242" s="125">
        <v>0</v>
      </c>
      <c r="K242" s="125">
        <v>0</v>
      </c>
      <c r="L242" s="125">
        <v>0</v>
      </c>
      <c r="M242" s="127">
        <v>0</v>
      </c>
      <c r="N242" s="127">
        <v>0</v>
      </c>
      <c r="O242" s="127">
        <v>0</v>
      </c>
      <c r="P242" s="129">
        <v>0</v>
      </c>
      <c r="Q242" s="129">
        <v>0</v>
      </c>
      <c r="R242" s="129">
        <v>0</v>
      </c>
      <c r="S242" s="125">
        <v>11582</v>
      </c>
      <c r="T242" s="125">
        <v>574</v>
      </c>
      <c r="U242" s="125">
        <v>539</v>
      </c>
      <c r="V242" s="136">
        <v>74</v>
      </c>
      <c r="W242" s="136">
        <v>6588</v>
      </c>
      <c r="X242" s="136">
        <v>204</v>
      </c>
      <c r="Y242" s="137">
        <v>0</v>
      </c>
      <c r="Z242" s="137">
        <v>0</v>
      </c>
      <c r="AA242" s="137">
        <v>0</v>
      </c>
      <c r="AB242" s="141">
        <v>0</v>
      </c>
      <c r="AC242" s="141">
        <v>0</v>
      </c>
      <c r="AD242" s="141">
        <v>20</v>
      </c>
    </row>
    <row r="243" spans="1:30" ht="14.25">
      <c r="A243">
        <v>748</v>
      </c>
      <c r="B243" s="121" t="s">
        <v>370</v>
      </c>
      <c r="C243" s="120">
        <v>6892</v>
      </c>
      <c r="D243" s="120">
        <v>0</v>
      </c>
      <c r="E243" s="120">
        <v>0</v>
      </c>
      <c r="F243" s="120">
        <v>100</v>
      </c>
      <c r="G243" s="123">
        <v>116</v>
      </c>
      <c r="H243" s="123">
        <v>171</v>
      </c>
      <c r="I243" s="123">
        <v>0</v>
      </c>
      <c r="J243" s="125">
        <v>0</v>
      </c>
      <c r="K243" s="125">
        <v>0</v>
      </c>
      <c r="L243" s="125">
        <v>0</v>
      </c>
      <c r="M243" s="127">
        <v>0</v>
      </c>
      <c r="N243" s="127">
        <v>0</v>
      </c>
      <c r="O243" s="127">
        <v>0</v>
      </c>
      <c r="P243" s="129">
        <v>0</v>
      </c>
      <c r="Q243" s="129">
        <v>49</v>
      </c>
      <c r="R243" s="129">
        <v>0</v>
      </c>
      <c r="S243" s="125">
        <v>39322</v>
      </c>
      <c r="T243" s="125">
        <v>1037</v>
      </c>
      <c r="U243" s="125">
        <v>100</v>
      </c>
      <c r="V243" s="136">
        <v>477</v>
      </c>
      <c r="W243" s="136">
        <v>18556</v>
      </c>
      <c r="X243" s="136">
        <v>443</v>
      </c>
      <c r="Y243" s="137">
        <v>0</v>
      </c>
      <c r="Z243" s="137">
        <v>0</v>
      </c>
      <c r="AA243" s="137">
        <v>0</v>
      </c>
      <c r="AB243" s="141">
        <v>0</v>
      </c>
      <c r="AC243" s="141">
        <v>0</v>
      </c>
      <c r="AD243" s="141">
        <v>0</v>
      </c>
    </row>
    <row r="244" spans="1:30" ht="14.25">
      <c r="A244">
        <v>749</v>
      </c>
      <c r="B244" s="121" t="s">
        <v>371</v>
      </c>
      <c r="C244" s="120">
        <v>37310</v>
      </c>
      <c r="D244" s="120">
        <v>0</v>
      </c>
      <c r="E244" s="120">
        <v>175</v>
      </c>
      <c r="F244" s="120">
        <v>2511</v>
      </c>
      <c r="G244" s="123">
        <v>700</v>
      </c>
      <c r="H244" s="123">
        <v>8341</v>
      </c>
      <c r="I244" s="123">
        <v>0</v>
      </c>
      <c r="J244" s="125">
        <v>0</v>
      </c>
      <c r="K244" s="125">
        <v>0</v>
      </c>
      <c r="L244" s="125">
        <v>0</v>
      </c>
      <c r="M244" s="127">
        <v>0</v>
      </c>
      <c r="N244" s="127">
        <v>0</v>
      </c>
      <c r="O244" s="127">
        <v>0</v>
      </c>
      <c r="P244" s="129">
        <v>0</v>
      </c>
      <c r="Q244" s="129">
        <v>72</v>
      </c>
      <c r="R244" s="129">
        <v>0</v>
      </c>
      <c r="S244" s="125">
        <v>143272</v>
      </c>
      <c r="T244" s="125">
        <v>5894</v>
      </c>
      <c r="U244" s="125">
        <v>2511</v>
      </c>
      <c r="V244" s="136">
        <v>2126</v>
      </c>
      <c r="W244" s="136">
        <v>69386</v>
      </c>
      <c r="X244" s="136">
        <v>1535</v>
      </c>
      <c r="Y244" s="137">
        <v>0</v>
      </c>
      <c r="Z244" s="137">
        <v>306</v>
      </c>
      <c r="AA244" s="137">
        <v>0</v>
      </c>
      <c r="AB244" s="141">
        <v>15</v>
      </c>
      <c r="AC244" s="141">
        <v>2250</v>
      </c>
      <c r="AD244" s="141">
        <v>0</v>
      </c>
    </row>
    <row r="245" spans="1:30" ht="14.25">
      <c r="A245">
        <v>751</v>
      </c>
      <c r="B245" s="121" t="s">
        <v>372</v>
      </c>
      <c r="C245" s="120">
        <v>4099</v>
      </c>
      <c r="D245" s="120">
        <v>0</v>
      </c>
      <c r="E245" s="120">
        <v>0</v>
      </c>
      <c r="F245" s="120">
        <v>0</v>
      </c>
      <c r="G245" s="123">
        <v>0</v>
      </c>
      <c r="H245" s="123">
        <v>32</v>
      </c>
      <c r="I245" s="123">
        <v>84</v>
      </c>
      <c r="J245" s="125">
        <v>0</v>
      </c>
      <c r="K245" s="125">
        <v>0</v>
      </c>
      <c r="L245" s="125">
        <v>0</v>
      </c>
      <c r="M245" s="127">
        <v>0</v>
      </c>
      <c r="N245" s="127">
        <v>0</v>
      </c>
      <c r="O245" s="127">
        <v>0</v>
      </c>
      <c r="P245" s="129">
        <v>0</v>
      </c>
      <c r="Q245" s="129">
        <v>0</v>
      </c>
      <c r="R245" s="129">
        <v>0</v>
      </c>
      <c r="S245" s="125">
        <v>24057</v>
      </c>
      <c r="T245" s="125">
        <v>817</v>
      </c>
      <c r="U245" s="125">
        <v>0</v>
      </c>
      <c r="V245" s="136">
        <v>110</v>
      </c>
      <c r="W245" s="136">
        <v>12564</v>
      </c>
      <c r="X245" s="136">
        <v>376</v>
      </c>
      <c r="Y245" s="137">
        <v>0</v>
      </c>
      <c r="Z245" s="137">
        <v>0</v>
      </c>
      <c r="AA245" s="137">
        <v>14</v>
      </c>
      <c r="AB245" s="141">
        <v>0</v>
      </c>
      <c r="AC245" s="141">
        <v>0</v>
      </c>
      <c r="AD245" s="141">
        <v>0</v>
      </c>
    </row>
    <row r="246" spans="1:30" ht="14.25">
      <c r="A246">
        <v>753</v>
      </c>
      <c r="B246" s="121" t="s">
        <v>373</v>
      </c>
      <c r="C246" s="120">
        <v>50146</v>
      </c>
      <c r="D246" s="120">
        <v>0</v>
      </c>
      <c r="E246" s="120">
        <v>0</v>
      </c>
      <c r="F246" s="120">
        <v>0</v>
      </c>
      <c r="G246" s="123">
        <v>2</v>
      </c>
      <c r="H246" s="123">
        <v>5316</v>
      </c>
      <c r="I246" s="123">
        <v>0</v>
      </c>
      <c r="J246" s="125">
        <v>0</v>
      </c>
      <c r="K246" s="125">
        <v>0</v>
      </c>
      <c r="L246" s="125">
        <v>0</v>
      </c>
      <c r="M246" s="127">
        <v>0</v>
      </c>
      <c r="N246" s="127">
        <v>0</v>
      </c>
      <c r="O246" s="127">
        <v>0</v>
      </c>
      <c r="P246" s="129">
        <v>0</v>
      </c>
      <c r="Q246" s="129">
        <v>0</v>
      </c>
      <c r="R246" s="129">
        <v>0</v>
      </c>
      <c r="S246" s="125">
        <v>136253</v>
      </c>
      <c r="T246" s="125">
        <v>8312</v>
      </c>
      <c r="U246" s="125">
        <v>0</v>
      </c>
      <c r="V246" s="136">
        <v>159</v>
      </c>
      <c r="W246" s="136">
        <v>55777</v>
      </c>
      <c r="X246" s="136">
        <v>2291</v>
      </c>
      <c r="Y246" s="137">
        <v>0</v>
      </c>
      <c r="Z246" s="137">
        <v>32</v>
      </c>
      <c r="AA246" s="137">
        <v>0</v>
      </c>
      <c r="AB246" s="141">
        <v>0</v>
      </c>
      <c r="AC246" s="141">
        <v>0</v>
      </c>
      <c r="AD246" s="141">
        <v>0</v>
      </c>
    </row>
    <row r="247" spans="1:30" ht="14.25">
      <c r="A247">
        <v>755</v>
      </c>
      <c r="B247" s="121" t="s">
        <v>374</v>
      </c>
      <c r="C247" s="120">
        <v>9095</v>
      </c>
      <c r="D247" s="120">
        <v>0</v>
      </c>
      <c r="E247" s="120">
        <v>0</v>
      </c>
      <c r="F247" s="120">
        <v>0</v>
      </c>
      <c r="G247" s="123">
        <v>0</v>
      </c>
      <c r="H247" s="123">
        <v>1454</v>
      </c>
      <c r="I247" s="123">
        <v>0</v>
      </c>
      <c r="J247" s="125">
        <v>0</v>
      </c>
      <c r="K247" s="125">
        <v>0</v>
      </c>
      <c r="L247" s="125">
        <v>0</v>
      </c>
      <c r="M247" s="127">
        <v>0</v>
      </c>
      <c r="N247" s="127">
        <v>0</v>
      </c>
      <c r="O247" s="127">
        <v>0</v>
      </c>
      <c r="P247" s="129">
        <v>0</v>
      </c>
      <c r="Q247" s="129">
        <v>0</v>
      </c>
      <c r="R247" s="129">
        <v>0</v>
      </c>
      <c r="S247" s="125">
        <v>40155</v>
      </c>
      <c r="T247" s="125">
        <v>1921</v>
      </c>
      <c r="U247" s="125">
        <v>0</v>
      </c>
      <c r="V247" s="136">
        <v>154</v>
      </c>
      <c r="W247" s="136">
        <v>18053</v>
      </c>
      <c r="X247" s="136">
        <v>396</v>
      </c>
      <c r="Y247" s="137">
        <v>0</v>
      </c>
      <c r="Z247" s="137">
        <v>26</v>
      </c>
      <c r="AA247" s="137">
        <v>1</v>
      </c>
      <c r="AB247" s="141">
        <v>0</v>
      </c>
      <c r="AC247" s="141">
        <v>0</v>
      </c>
      <c r="AD247" s="141">
        <v>0</v>
      </c>
    </row>
    <row r="248" spans="1:30" ht="14.25">
      <c r="A248">
        <v>758</v>
      </c>
      <c r="B248" s="121" t="s">
        <v>375</v>
      </c>
      <c r="C248" s="120">
        <v>15304</v>
      </c>
      <c r="D248" s="120">
        <v>0</v>
      </c>
      <c r="E248" s="120">
        <v>0</v>
      </c>
      <c r="F248" s="120">
        <v>1542</v>
      </c>
      <c r="G248" s="123">
        <v>256</v>
      </c>
      <c r="H248" s="123">
        <v>5121</v>
      </c>
      <c r="I248" s="123">
        <v>0</v>
      </c>
      <c r="J248" s="125">
        <v>0</v>
      </c>
      <c r="K248" s="125">
        <v>0</v>
      </c>
      <c r="L248" s="125">
        <v>0</v>
      </c>
      <c r="M248" s="127">
        <v>0</v>
      </c>
      <c r="N248" s="127">
        <v>0</v>
      </c>
      <c r="O248" s="127">
        <v>0</v>
      </c>
      <c r="P248" s="129">
        <v>0</v>
      </c>
      <c r="Q248" s="129">
        <v>0</v>
      </c>
      <c r="R248" s="129">
        <v>0</v>
      </c>
      <c r="S248" s="125">
        <v>73273</v>
      </c>
      <c r="T248" s="125">
        <v>3660</v>
      </c>
      <c r="U248" s="125">
        <v>1465</v>
      </c>
      <c r="V248" s="136">
        <v>1138</v>
      </c>
      <c r="W248" s="136">
        <v>39263</v>
      </c>
      <c r="X248" s="136">
        <v>727</v>
      </c>
      <c r="Y248" s="137">
        <v>0</v>
      </c>
      <c r="Z248" s="137">
        <v>151</v>
      </c>
      <c r="AA248" s="137">
        <v>102</v>
      </c>
      <c r="AB248" s="141">
        <v>24</v>
      </c>
      <c r="AC248" s="141">
        <v>815</v>
      </c>
      <c r="AD248" s="141">
        <v>15</v>
      </c>
    </row>
    <row r="249" spans="1:30" ht="14.25">
      <c r="A249">
        <v>759</v>
      </c>
      <c r="B249" s="121" t="s">
        <v>376</v>
      </c>
      <c r="C249" s="120">
        <v>15643</v>
      </c>
      <c r="D249" s="120">
        <v>0</v>
      </c>
      <c r="E249" s="120">
        <v>0</v>
      </c>
      <c r="F249" s="120">
        <v>0</v>
      </c>
      <c r="G249" s="123">
        <v>0</v>
      </c>
      <c r="H249" s="123">
        <v>11</v>
      </c>
      <c r="I249" s="123">
        <v>0</v>
      </c>
      <c r="J249" s="125">
        <v>0</v>
      </c>
      <c r="K249" s="125">
        <v>0</v>
      </c>
      <c r="L249" s="125">
        <v>0</v>
      </c>
      <c r="M249" s="127">
        <v>0</v>
      </c>
      <c r="N249" s="127">
        <v>0</v>
      </c>
      <c r="O249" s="127">
        <v>0</v>
      </c>
      <c r="P249" s="129">
        <v>0</v>
      </c>
      <c r="Q249" s="129">
        <v>0</v>
      </c>
      <c r="R249" s="129">
        <v>0</v>
      </c>
      <c r="S249" s="125">
        <v>28868</v>
      </c>
      <c r="T249" s="125">
        <v>507</v>
      </c>
      <c r="U249" s="125">
        <v>0</v>
      </c>
      <c r="V249" s="136">
        <v>75</v>
      </c>
      <c r="W249" s="136">
        <v>8947</v>
      </c>
      <c r="X249" s="136">
        <v>191</v>
      </c>
      <c r="Y249" s="137">
        <v>0</v>
      </c>
      <c r="Z249" s="137">
        <v>0</v>
      </c>
      <c r="AA249" s="137">
        <v>0</v>
      </c>
      <c r="AB249" s="141">
        <v>0</v>
      </c>
      <c r="AC249" s="141">
        <v>0</v>
      </c>
      <c r="AD249" s="141">
        <v>0</v>
      </c>
    </row>
    <row r="250" spans="1:30" ht="14.25">
      <c r="A250">
        <v>761</v>
      </c>
      <c r="B250" s="121" t="s">
        <v>377</v>
      </c>
      <c r="C250" s="120">
        <v>17452</v>
      </c>
      <c r="D250" s="120">
        <v>0</v>
      </c>
      <c r="E250" s="120">
        <v>0</v>
      </c>
      <c r="F250" s="120">
        <v>0</v>
      </c>
      <c r="G250" s="123">
        <v>242</v>
      </c>
      <c r="H250" s="123">
        <v>5243</v>
      </c>
      <c r="I250" s="123">
        <v>20</v>
      </c>
      <c r="J250" s="125">
        <v>0</v>
      </c>
      <c r="K250" s="125">
        <v>0</v>
      </c>
      <c r="L250" s="125">
        <v>0</v>
      </c>
      <c r="M250" s="127">
        <v>0</v>
      </c>
      <c r="N250" s="127">
        <v>0</v>
      </c>
      <c r="O250" s="127">
        <v>0</v>
      </c>
      <c r="P250" s="129">
        <v>0</v>
      </c>
      <c r="Q250" s="129">
        <v>0</v>
      </c>
      <c r="R250" s="129">
        <v>0</v>
      </c>
      <c r="S250" s="125">
        <v>65923</v>
      </c>
      <c r="T250" s="125">
        <v>2442</v>
      </c>
      <c r="U250" s="125">
        <v>0</v>
      </c>
      <c r="V250" s="136">
        <v>503</v>
      </c>
      <c r="W250" s="136">
        <v>37144</v>
      </c>
      <c r="X250" s="136">
        <v>656</v>
      </c>
      <c r="Y250" s="137">
        <v>1</v>
      </c>
      <c r="Z250" s="137">
        <v>95</v>
      </c>
      <c r="AA250" s="137">
        <v>0</v>
      </c>
      <c r="AB250" s="141">
        <v>0</v>
      </c>
      <c r="AC250" s="141">
        <v>0</v>
      </c>
      <c r="AD250" s="141">
        <v>0</v>
      </c>
    </row>
    <row r="251" spans="1:30" ht="14.25">
      <c r="A251">
        <v>762</v>
      </c>
      <c r="B251" s="121" t="s">
        <v>378</v>
      </c>
      <c r="C251" s="120">
        <v>5518</v>
      </c>
      <c r="D251" s="120">
        <v>0</v>
      </c>
      <c r="E251" s="120">
        <v>29</v>
      </c>
      <c r="F251" s="120">
        <v>243</v>
      </c>
      <c r="G251" s="123">
        <v>161</v>
      </c>
      <c r="H251" s="123">
        <v>296</v>
      </c>
      <c r="I251" s="123">
        <v>0</v>
      </c>
      <c r="J251" s="125">
        <v>0</v>
      </c>
      <c r="K251" s="125">
        <v>0</v>
      </c>
      <c r="L251" s="125">
        <v>0</v>
      </c>
      <c r="M251" s="127">
        <v>13</v>
      </c>
      <c r="N251" s="127">
        <v>13</v>
      </c>
      <c r="O251" s="127">
        <v>0</v>
      </c>
      <c r="P251" s="129">
        <v>0</v>
      </c>
      <c r="Q251" s="129">
        <v>0</v>
      </c>
      <c r="R251" s="129">
        <v>0</v>
      </c>
      <c r="S251" s="125">
        <v>31794</v>
      </c>
      <c r="T251" s="125">
        <v>1804</v>
      </c>
      <c r="U251" s="125">
        <v>243</v>
      </c>
      <c r="V251" s="136">
        <v>793</v>
      </c>
      <c r="W251" s="136">
        <v>18433</v>
      </c>
      <c r="X251" s="136">
        <v>372</v>
      </c>
      <c r="Y251" s="137">
        <v>0</v>
      </c>
      <c r="Z251" s="137">
        <v>0</v>
      </c>
      <c r="AA251" s="137">
        <v>0</v>
      </c>
      <c r="AB251" s="141">
        <v>10</v>
      </c>
      <c r="AC251" s="141">
        <v>10</v>
      </c>
      <c r="AD251" s="141">
        <v>0</v>
      </c>
    </row>
    <row r="252" spans="1:30" ht="14.25">
      <c r="A252">
        <v>765</v>
      </c>
      <c r="B252" s="121" t="s">
        <v>379</v>
      </c>
      <c r="C252" s="120">
        <v>15238</v>
      </c>
      <c r="D252" s="120">
        <v>0</v>
      </c>
      <c r="E252" s="120">
        <v>0</v>
      </c>
      <c r="F252" s="120">
        <v>433</v>
      </c>
      <c r="G252" s="123">
        <v>0</v>
      </c>
      <c r="H252" s="123">
        <v>19</v>
      </c>
      <c r="I252" s="123">
        <v>0</v>
      </c>
      <c r="J252" s="125">
        <v>0</v>
      </c>
      <c r="K252" s="125">
        <v>0</v>
      </c>
      <c r="L252" s="125">
        <v>0</v>
      </c>
      <c r="M252" s="127">
        <v>0</v>
      </c>
      <c r="N252" s="127">
        <v>0</v>
      </c>
      <c r="O252" s="127">
        <v>0</v>
      </c>
      <c r="P252" s="129">
        <v>0</v>
      </c>
      <c r="Q252" s="129">
        <v>0</v>
      </c>
      <c r="R252" s="129">
        <v>0</v>
      </c>
      <c r="S252" s="125">
        <v>80647</v>
      </c>
      <c r="T252" s="125">
        <v>2583</v>
      </c>
      <c r="U252" s="125">
        <v>433</v>
      </c>
      <c r="V252" s="136">
        <v>130</v>
      </c>
      <c r="W252" s="136">
        <v>37348</v>
      </c>
      <c r="X252" s="136">
        <v>931</v>
      </c>
      <c r="Y252" s="137">
        <v>0</v>
      </c>
      <c r="Z252" s="137">
        <v>0</v>
      </c>
      <c r="AA252" s="137">
        <v>0</v>
      </c>
      <c r="AB252" s="141">
        <v>0</v>
      </c>
      <c r="AC252" s="141">
        <v>0</v>
      </c>
      <c r="AD252" s="141">
        <v>12</v>
      </c>
    </row>
    <row r="253" spans="1:30" ht="14.25">
      <c r="A253">
        <v>768</v>
      </c>
      <c r="B253" s="121" t="s">
        <v>380</v>
      </c>
      <c r="C253" s="120">
        <v>3026</v>
      </c>
      <c r="D253" s="120">
        <v>0</v>
      </c>
      <c r="E253" s="120">
        <v>0</v>
      </c>
      <c r="F253" s="120">
        <v>0</v>
      </c>
      <c r="G253" s="123">
        <v>4</v>
      </c>
      <c r="H253" s="123">
        <v>948</v>
      </c>
      <c r="I253" s="123">
        <v>41</v>
      </c>
      <c r="J253" s="125">
        <v>0</v>
      </c>
      <c r="K253" s="125">
        <v>0</v>
      </c>
      <c r="L253" s="125">
        <v>0</v>
      </c>
      <c r="M253" s="127">
        <v>0</v>
      </c>
      <c r="N253" s="127">
        <v>0</v>
      </c>
      <c r="O253" s="127">
        <v>0</v>
      </c>
      <c r="P253" s="129">
        <v>0</v>
      </c>
      <c r="Q253" s="129">
        <v>0</v>
      </c>
      <c r="R253" s="129">
        <v>0</v>
      </c>
      <c r="S253" s="125">
        <v>21917</v>
      </c>
      <c r="T253" s="125">
        <v>416</v>
      </c>
      <c r="U253" s="125">
        <v>0</v>
      </c>
      <c r="V253" s="136">
        <v>151</v>
      </c>
      <c r="W253" s="136">
        <v>14104</v>
      </c>
      <c r="X253" s="136">
        <v>279</v>
      </c>
      <c r="Y253" s="137">
        <v>0</v>
      </c>
      <c r="Z253" s="137">
        <v>78</v>
      </c>
      <c r="AA253" s="137">
        <v>1</v>
      </c>
      <c r="AB253" s="141">
        <v>0</v>
      </c>
      <c r="AC253" s="141">
        <v>0</v>
      </c>
      <c r="AD253" s="141">
        <v>0</v>
      </c>
    </row>
    <row r="254" spans="1:30" ht="14.25">
      <c r="A254">
        <v>777</v>
      </c>
      <c r="B254" s="121" t="s">
        <v>381</v>
      </c>
      <c r="C254" s="120">
        <v>13101</v>
      </c>
      <c r="D254" s="120">
        <v>0</v>
      </c>
      <c r="E254" s="120">
        <v>0</v>
      </c>
      <c r="F254" s="120">
        <v>0</v>
      </c>
      <c r="G254" s="123">
        <v>0</v>
      </c>
      <c r="H254" s="123">
        <v>267</v>
      </c>
      <c r="I254" s="123">
        <v>0</v>
      </c>
      <c r="J254" s="125">
        <v>0</v>
      </c>
      <c r="K254" s="125">
        <v>0</v>
      </c>
      <c r="L254" s="125">
        <v>0</v>
      </c>
      <c r="M254" s="127">
        <v>0</v>
      </c>
      <c r="N254" s="127">
        <v>0</v>
      </c>
      <c r="O254" s="127">
        <v>0</v>
      </c>
      <c r="P254" s="129">
        <v>0</v>
      </c>
      <c r="Q254" s="129">
        <v>0</v>
      </c>
      <c r="R254" s="129">
        <v>0</v>
      </c>
      <c r="S254" s="125">
        <v>70815</v>
      </c>
      <c r="T254" s="125">
        <v>3220</v>
      </c>
      <c r="U254" s="125">
        <v>0</v>
      </c>
      <c r="V254" s="136">
        <v>133</v>
      </c>
      <c r="W254" s="136">
        <v>39698</v>
      </c>
      <c r="X254" s="136">
        <v>733</v>
      </c>
      <c r="Y254" s="137">
        <v>0</v>
      </c>
      <c r="Z254" s="137">
        <v>0</v>
      </c>
      <c r="AA254" s="137">
        <v>0</v>
      </c>
      <c r="AB254" s="141">
        <v>0</v>
      </c>
      <c r="AC254" s="141">
        <v>0</v>
      </c>
      <c r="AD254" s="141">
        <v>0</v>
      </c>
    </row>
    <row r="255" spans="1:30" ht="14.25">
      <c r="A255">
        <v>778</v>
      </c>
      <c r="B255" s="121" t="s">
        <v>382</v>
      </c>
      <c r="C255" s="120">
        <v>10457</v>
      </c>
      <c r="D255" s="120">
        <v>0</v>
      </c>
      <c r="E255" s="120">
        <v>67</v>
      </c>
      <c r="F255" s="120">
        <v>657</v>
      </c>
      <c r="G255" s="123">
        <v>31</v>
      </c>
      <c r="H255" s="123">
        <v>2952</v>
      </c>
      <c r="I255" s="123">
        <v>0</v>
      </c>
      <c r="J255" s="125">
        <v>0</v>
      </c>
      <c r="K255" s="125">
        <v>0</v>
      </c>
      <c r="L255" s="125">
        <v>0</v>
      </c>
      <c r="M255" s="127">
        <v>0</v>
      </c>
      <c r="N255" s="127">
        <v>0</v>
      </c>
      <c r="O255" s="127">
        <v>0</v>
      </c>
      <c r="P255" s="129">
        <v>0</v>
      </c>
      <c r="Q255" s="129">
        <v>26</v>
      </c>
      <c r="R255" s="129">
        <v>0</v>
      </c>
      <c r="S255" s="125">
        <v>54115</v>
      </c>
      <c r="T255" s="125">
        <v>3060</v>
      </c>
      <c r="U255" s="125">
        <v>657</v>
      </c>
      <c r="V255" s="136">
        <v>74</v>
      </c>
      <c r="W255" s="136">
        <v>33299</v>
      </c>
      <c r="X255" s="136">
        <v>581</v>
      </c>
      <c r="Y255" s="137">
        <v>0</v>
      </c>
      <c r="Z255" s="137">
        <v>158</v>
      </c>
      <c r="AA255" s="137">
        <v>0</v>
      </c>
      <c r="AB255" s="141">
        <v>1</v>
      </c>
      <c r="AC255" s="141">
        <v>316</v>
      </c>
      <c r="AD255" s="141">
        <v>0</v>
      </c>
    </row>
    <row r="256" spans="1:30" ht="14.25">
      <c r="A256">
        <v>781</v>
      </c>
      <c r="B256" s="121" t="s">
        <v>383</v>
      </c>
      <c r="C256" s="120">
        <v>11426</v>
      </c>
      <c r="D256" s="120">
        <v>0</v>
      </c>
      <c r="E256" s="120">
        <v>3</v>
      </c>
      <c r="F256" s="120">
        <v>281</v>
      </c>
      <c r="G256" s="123">
        <v>0</v>
      </c>
      <c r="H256" s="123">
        <v>0</v>
      </c>
      <c r="I256" s="123">
        <v>0</v>
      </c>
      <c r="J256" s="125">
        <v>0</v>
      </c>
      <c r="K256" s="125">
        <v>0</v>
      </c>
      <c r="L256" s="125">
        <v>0</v>
      </c>
      <c r="M256" s="127">
        <v>0</v>
      </c>
      <c r="N256" s="127">
        <v>0</v>
      </c>
      <c r="O256" s="127">
        <v>0</v>
      </c>
      <c r="P256" s="129">
        <v>0</v>
      </c>
      <c r="Q256" s="129">
        <v>0</v>
      </c>
      <c r="R256" s="129">
        <v>0</v>
      </c>
      <c r="S256" s="125">
        <v>35229</v>
      </c>
      <c r="T256" s="125">
        <v>929</v>
      </c>
      <c r="U256" s="125">
        <v>275</v>
      </c>
      <c r="V256" s="136">
        <v>496</v>
      </c>
      <c r="W256" s="136">
        <v>16010</v>
      </c>
      <c r="X256" s="136">
        <v>282</v>
      </c>
      <c r="Y256" s="137">
        <v>0</v>
      </c>
      <c r="Z256" s="137">
        <v>0</v>
      </c>
      <c r="AA256" s="137">
        <v>0</v>
      </c>
      <c r="AB256" s="141">
        <v>2</v>
      </c>
      <c r="AC256" s="141">
        <v>89</v>
      </c>
      <c r="AD256" s="141">
        <v>0</v>
      </c>
    </row>
    <row r="257" spans="1:30" ht="14.25">
      <c r="A257">
        <v>783</v>
      </c>
      <c r="B257" s="121" t="s">
        <v>384</v>
      </c>
      <c r="C257" s="120">
        <v>5965</v>
      </c>
      <c r="D257" s="120">
        <v>0</v>
      </c>
      <c r="E257" s="120">
        <v>0</v>
      </c>
      <c r="F257" s="120">
        <v>2267</v>
      </c>
      <c r="G257" s="123">
        <v>51</v>
      </c>
      <c r="H257" s="123">
        <v>1654</v>
      </c>
      <c r="I257" s="123">
        <v>0</v>
      </c>
      <c r="J257" s="125">
        <v>0</v>
      </c>
      <c r="K257" s="125">
        <v>0</v>
      </c>
      <c r="L257" s="125">
        <v>0</v>
      </c>
      <c r="M257" s="127">
        <v>0</v>
      </c>
      <c r="N257" s="127">
        <v>0</v>
      </c>
      <c r="O257" s="127">
        <v>0</v>
      </c>
      <c r="P257" s="129">
        <v>27</v>
      </c>
      <c r="Q257" s="129">
        <v>182</v>
      </c>
      <c r="R257" s="129">
        <v>0</v>
      </c>
      <c r="S257" s="125">
        <v>30209</v>
      </c>
      <c r="T257" s="125">
        <v>1514</v>
      </c>
      <c r="U257" s="125">
        <v>2267</v>
      </c>
      <c r="V257" s="136">
        <v>239</v>
      </c>
      <c r="W257" s="136">
        <v>17508</v>
      </c>
      <c r="X257" s="136">
        <v>468</v>
      </c>
      <c r="Y257" s="137">
        <v>0</v>
      </c>
      <c r="Z257" s="137">
        <v>15</v>
      </c>
      <c r="AA257" s="137">
        <v>0</v>
      </c>
      <c r="AB257" s="141">
        <v>20</v>
      </c>
      <c r="AC257" s="141">
        <v>451</v>
      </c>
      <c r="AD257" s="141">
        <v>19</v>
      </c>
    </row>
    <row r="258" spans="1:30" ht="14.25">
      <c r="A258">
        <v>785</v>
      </c>
      <c r="B258" s="121" t="s">
        <v>408</v>
      </c>
      <c r="C258" s="120">
        <v>5122</v>
      </c>
      <c r="D258" s="120">
        <v>0</v>
      </c>
      <c r="E258" s="120">
        <v>45</v>
      </c>
      <c r="F258" s="120">
        <v>690</v>
      </c>
      <c r="G258" s="123">
        <v>65</v>
      </c>
      <c r="H258" s="123">
        <v>158</v>
      </c>
      <c r="I258" s="123">
        <v>0</v>
      </c>
      <c r="J258" s="125">
        <v>0</v>
      </c>
      <c r="K258" s="125">
        <v>0</v>
      </c>
      <c r="L258" s="125">
        <v>0</v>
      </c>
      <c r="M258" s="127">
        <v>0</v>
      </c>
      <c r="N258" s="127">
        <v>0</v>
      </c>
      <c r="O258" s="127">
        <v>0</v>
      </c>
      <c r="P258" s="129">
        <v>0</v>
      </c>
      <c r="Q258" s="129">
        <v>0</v>
      </c>
      <c r="R258" s="129">
        <v>0</v>
      </c>
      <c r="S258" s="125">
        <v>27261</v>
      </c>
      <c r="T258" s="125">
        <v>1449</v>
      </c>
      <c r="U258" s="125">
        <v>690</v>
      </c>
      <c r="V258" s="136">
        <v>255</v>
      </c>
      <c r="W258" s="136">
        <v>14036</v>
      </c>
      <c r="X258" s="136">
        <v>258</v>
      </c>
      <c r="Y258" s="137">
        <v>0</v>
      </c>
      <c r="Z258" s="137">
        <v>0</v>
      </c>
      <c r="AA258" s="137">
        <v>15</v>
      </c>
      <c r="AB258" s="141">
        <v>0</v>
      </c>
      <c r="AC258" s="141">
        <v>0</v>
      </c>
      <c r="AD258" s="141">
        <v>5</v>
      </c>
    </row>
    <row r="259" spans="1:30" ht="14.25">
      <c r="A259">
        <v>790</v>
      </c>
      <c r="B259" s="121" t="s">
        <v>135</v>
      </c>
      <c r="C259" s="120">
        <v>57556</v>
      </c>
      <c r="D259" s="120">
        <v>0</v>
      </c>
      <c r="E259" s="120">
        <v>477</v>
      </c>
      <c r="F259" s="120">
        <v>0</v>
      </c>
      <c r="G259" s="123">
        <v>692</v>
      </c>
      <c r="H259" s="123">
        <v>22530</v>
      </c>
      <c r="I259" s="123">
        <v>0</v>
      </c>
      <c r="J259" s="125">
        <v>0</v>
      </c>
      <c r="K259" s="125">
        <v>0</v>
      </c>
      <c r="L259" s="125">
        <v>0</v>
      </c>
      <c r="M259" s="127">
        <v>0</v>
      </c>
      <c r="N259" s="127">
        <v>0</v>
      </c>
      <c r="O259" s="127">
        <v>0</v>
      </c>
      <c r="P259" s="129">
        <v>0</v>
      </c>
      <c r="Q259" s="129">
        <v>0</v>
      </c>
      <c r="R259" s="129">
        <v>0</v>
      </c>
      <c r="S259" s="125">
        <v>191792</v>
      </c>
      <c r="T259" s="125">
        <v>7231</v>
      </c>
      <c r="U259" s="125">
        <v>0</v>
      </c>
      <c r="V259" s="136">
        <v>1247</v>
      </c>
      <c r="W259" s="136">
        <v>112485</v>
      </c>
      <c r="X259" s="136">
        <v>1844</v>
      </c>
      <c r="Y259" s="137">
        <v>0</v>
      </c>
      <c r="Z259" s="137">
        <v>96</v>
      </c>
      <c r="AA259" s="137">
        <v>0</v>
      </c>
      <c r="AB259" s="141">
        <v>0</v>
      </c>
      <c r="AC259" s="141">
        <v>0</v>
      </c>
      <c r="AD259" s="141">
        <v>0</v>
      </c>
    </row>
    <row r="260" spans="1:30" ht="14.25">
      <c r="A260">
        <v>791</v>
      </c>
      <c r="B260" s="121" t="s">
        <v>136</v>
      </c>
      <c r="C260" s="120">
        <v>11442</v>
      </c>
      <c r="D260" s="120">
        <v>0</v>
      </c>
      <c r="E260" s="120">
        <v>0</v>
      </c>
      <c r="F260" s="120">
        <v>0</v>
      </c>
      <c r="G260" s="123">
        <v>0</v>
      </c>
      <c r="H260" s="123">
        <v>68</v>
      </c>
      <c r="I260" s="123">
        <v>0</v>
      </c>
      <c r="J260" s="125">
        <v>0</v>
      </c>
      <c r="K260" s="125">
        <v>0</v>
      </c>
      <c r="L260" s="125">
        <v>0</v>
      </c>
      <c r="M260" s="127">
        <v>0</v>
      </c>
      <c r="N260" s="127">
        <v>0</v>
      </c>
      <c r="O260" s="127">
        <v>0</v>
      </c>
      <c r="P260" s="129">
        <v>0</v>
      </c>
      <c r="Q260" s="129">
        <v>0</v>
      </c>
      <c r="R260" s="129">
        <v>0</v>
      </c>
      <c r="S260" s="125">
        <v>50399</v>
      </c>
      <c r="T260" s="125">
        <v>1248</v>
      </c>
      <c r="U260" s="125">
        <v>0</v>
      </c>
      <c r="V260" s="136">
        <v>77</v>
      </c>
      <c r="W260" s="136">
        <v>26456</v>
      </c>
      <c r="X260" s="136">
        <v>626</v>
      </c>
      <c r="Y260" s="137">
        <v>0</v>
      </c>
      <c r="Z260" s="137">
        <v>4</v>
      </c>
      <c r="AA260" s="137">
        <v>0</v>
      </c>
      <c r="AB260" s="141">
        <v>0</v>
      </c>
      <c r="AC260" s="141">
        <v>0</v>
      </c>
      <c r="AD260" s="141">
        <v>0</v>
      </c>
    </row>
    <row r="261" spans="1:30" ht="14.25">
      <c r="A261">
        <v>831</v>
      </c>
      <c r="B261" s="121" t="s">
        <v>385</v>
      </c>
      <c r="C261" s="120">
        <v>4147</v>
      </c>
      <c r="D261" s="120">
        <v>0</v>
      </c>
      <c r="E261" s="120">
        <v>0</v>
      </c>
      <c r="F261" s="120">
        <v>0</v>
      </c>
      <c r="G261" s="123">
        <v>0</v>
      </c>
      <c r="H261" s="123">
        <v>428</v>
      </c>
      <c r="I261" s="123">
        <v>0</v>
      </c>
      <c r="J261" s="125">
        <v>0</v>
      </c>
      <c r="K261" s="125">
        <v>0</v>
      </c>
      <c r="L261" s="125">
        <v>0</v>
      </c>
      <c r="M261" s="127">
        <v>0</v>
      </c>
      <c r="N261" s="127">
        <v>0</v>
      </c>
      <c r="O261" s="127">
        <v>0</v>
      </c>
      <c r="P261" s="129">
        <v>0</v>
      </c>
      <c r="Q261" s="129">
        <v>0</v>
      </c>
      <c r="R261" s="129">
        <v>0</v>
      </c>
      <c r="S261" s="125">
        <v>27463</v>
      </c>
      <c r="T261" s="125">
        <v>1563</v>
      </c>
      <c r="U261" s="125">
        <v>0</v>
      </c>
      <c r="V261" s="136">
        <v>115</v>
      </c>
      <c r="W261" s="136">
        <v>13525</v>
      </c>
      <c r="X261" s="136">
        <v>378</v>
      </c>
      <c r="Y261" s="137">
        <v>0</v>
      </c>
      <c r="Z261" s="137">
        <v>0</v>
      </c>
      <c r="AA261" s="137">
        <v>0</v>
      </c>
      <c r="AB261" s="141">
        <v>0</v>
      </c>
      <c r="AC261" s="141">
        <v>0</v>
      </c>
      <c r="AD261" s="141">
        <v>0</v>
      </c>
    </row>
    <row r="262" spans="1:30" ht="14.25">
      <c r="A262">
        <v>832</v>
      </c>
      <c r="B262" s="121" t="s">
        <v>386</v>
      </c>
      <c r="C262" s="120">
        <v>8655</v>
      </c>
      <c r="D262" s="120">
        <v>0</v>
      </c>
      <c r="E262" s="120">
        <v>0</v>
      </c>
      <c r="F262" s="120">
        <v>733</v>
      </c>
      <c r="G262" s="123">
        <v>13</v>
      </c>
      <c r="H262" s="123">
        <v>2177</v>
      </c>
      <c r="I262" s="123">
        <v>66</v>
      </c>
      <c r="J262" s="125">
        <v>0</v>
      </c>
      <c r="K262" s="125">
        <v>0</v>
      </c>
      <c r="L262" s="125">
        <v>0</v>
      </c>
      <c r="M262" s="127">
        <v>0</v>
      </c>
      <c r="N262" s="127">
        <v>0</v>
      </c>
      <c r="O262" s="127">
        <v>0</v>
      </c>
      <c r="P262" s="129">
        <v>0</v>
      </c>
      <c r="Q262" s="129">
        <v>0</v>
      </c>
      <c r="R262" s="129">
        <v>0</v>
      </c>
      <c r="S262" s="125">
        <v>36171</v>
      </c>
      <c r="T262" s="125">
        <v>2005</v>
      </c>
      <c r="U262" s="125">
        <v>733</v>
      </c>
      <c r="V262" s="136">
        <v>239</v>
      </c>
      <c r="W262" s="136">
        <v>18591</v>
      </c>
      <c r="X262" s="136">
        <v>316</v>
      </c>
      <c r="Y262" s="137">
        <v>0</v>
      </c>
      <c r="Z262" s="137">
        <v>104</v>
      </c>
      <c r="AA262" s="137">
        <v>0</v>
      </c>
      <c r="AB262" s="141">
        <v>1</v>
      </c>
      <c r="AC262" s="141">
        <v>312</v>
      </c>
      <c r="AD262" s="141">
        <v>10</v>
      </c>
    </row>
    <row r="263" spans="1:30" ht="14.25">
      <c r="A263">
        <v>833</v>
      </c>
      <c r="B263" s="121" t="s">
        <v>387</v>
      </c>
      <c r="C263" s="120">
        <v>2901</v>
      </c>
      <c r="D263" s="120">
        <v>0</v>
      </c>
      <c r="E263" s="120">
        <v>0</v>
      </c>
      <c r="F263" s="120">
        <v>0</v>
      </c>
      <c r="G263" s="123">
        <v>0</v>
      </c>
      <c r="H263" s="123">
        <v>579</v>
      </c>
      <c r="I263" s="123">
        <v>0</v>
      </c>
      <c r="J263" s="125">
        <v>0</v>
      </c>
      <c r="K263" s="125">
        <v>0</v>
      </c>
      <c r="L263" s="125">
        <v>0</v>
      </c>
      <c r="M263" s="127">
        <v>0</v>
      </c>
      <c r="N263" s="127">
        <v>0</v>
      </c>
      <c r="O263" s="127">
        <v>0</v>
      </c>
      <c r="P263" s="129">
        <v>0</v>
      </c>
      <c r="Q263" s="129">
        <v>0</v>
      </c>
      <c r="R263" s="129">
        <v>0</v>
      </c>
      <c r="S263" s="125">
        <v>12088</v>
      </c>
      <c r="T263" s="125">
        <v>694</v>
      </c>
      <c r="U263" s="125">
        <v>0</v>
      </c>
      <c r="V263" s="136">
        <v>1</v>
      </c>
      <c r="W263" s="136">
        <v>6213</v>
      </c>
      <c r="X263" s="136">
        <v>126</v>
      </c>
      <c r="Y263" s="137">
        <v>0</v>
      </c>
      <c r="Z263" s="137">
        <v>28</v>
      </c>
      <c r="AA263" s="137">
        <v>0</v>
      </c>
      <c r="AB263" s="141">
        <v>0</v>
      </c>
      <c r="AC263" s="141">
        <v>0</v>
      </c>
      <c r="AD263" s="141">
        <v>0</v>
      </c>
    </row>
    <row r="264" spans="1:30" ht="14.25">
      <c r="A264">
        <v>834</v>
      </c>
      <c r="B264" s="121" t="s">
        <v>388</v>
      </c>
      <c r="C264" s="120">
        <v>6633</v>
      </c>
      <c r="D264" s="120">
        <v>0</v>
      </c>
      <c r="E264" s="120">
        <v>0</v>
      </c>
      <c r="F264" s="120">
        <v>282</v>
      </c>
      <c r="G264" s="123">
        <v>123</v>
      </c>
      <c r="H264" s="123">
        <v>123</v>
      </c>
      <c r="I264" s="123">
        <v>0</v>
      </c>
      <c r="J264" s="125">
        <v>0</v>
      </c>
      <c r="K264" s="125">
        <v>0</v>
      </c>
      <c r="L264" s="125">
        <v>0</v>
      </c>
      <c r="M264" s="127">
        <v>0</v>
      </c>
      <c r="N264" s="127">
        <v>0</v>
      </c>
      <c r="O264" s="127">
        <v>0</v>
      </c>
      <c r="P264" s="129">
        <v>0</v>
      </c>
      <c r="Q264" s="129">
        <v>0</v>
      </c>
      <c r="R264" s="129">
        <v>0</v>
      </c>
      <c r="S264" s="125">
        <v>38347</v>
      </c>
      <c r="T264" s="125">
        <v>2003</v>
      </c>
      <c r="U264" s="125">
        <v>283</v>
      </c>
      <c r="V264" s="136">
        <v>538</v>
      </c>
      <c r="W264" s="136">
        <v>19336</v>
      </c>
      <c r="X264" s="136">
        <v>344</v>
      </c>
      <c r="Y264" s="137">
        <v>0</v>
      </c>
      <c r="Z264" s="137">
        <v>12</v>
      </c>
      <c r="AA264" s="137">
        <v>0</v>
      </c>
      <c r="AB264" s="141">
        <v>0</v>
      </c>
      <c r="AC264" s="141">
        <v>0</v>
      </c>
      <c r="AD264" s="141">
        <v>0</v>
      </c>
    </row>
    <row r="265" spans="1:30" ht="14.25">
      <c r="A265">
        <v>837</v>
      </c>
      <c r="B265" s="121" t="s">
        <v>389</v>
      </c>
      <c r="C265" s="120">
        <v>760039</v>
      </c>
      <c r="D265" s="120">
        <v>-156</v>
      </c>
      <c r="E265" s="120">
        <v>22457</v>
      </c>
      <c r="F265" s="120">
        <v>0</v>
      </c>
      <c r="G265" s="123">
        <v>1712</v>
      </c>
      <c r="H265" s="123">
        <v>161296</v>
      </c>
      <c r="I265" s="123">
        <v>20476</v>
      </c>
      <c r="J265" s="125">
        <v>0</v>
      </c>
      <c r="K265" s="125">
        <v>0</v>
      </c>
      <c r="L265" s="125">
        <v>0</v>
      </c>
      <c r="M265" s="127">
        <v>0</v>
      </c>
      <c r="N265" s="127">
        <v>0</v>
      </c>
      <c r="O265" s="127">
        <v>0</v>
      </c>
      <c r="P265" s="129">
        <v>0</v>
      </c>
      <c r="Q265" s="129">
        <v>0</v>
      </c>
      <c r="R265" s="129">
        <v>0</v>
      </c>
      <c r="S265" s="125">
        <v>1905780</v>
      </c>
      <c r="T265" s="125">
        <v>103136</v>
      </c>
      <c r="U265" s="125">
        <v>0</v>
      </c>
      <c r="V265" s="136">
        <v>38270</v>
      </c>
      <c r="W265" s="136">
        <v>883128</v>
      </c>
      <c r="X265" s="136">
        <v>35038</v>
      </c>
      <c r="Y265" s="137">
        <v>0</v>
      </c>
      <c r="Z265" s="137">
        <v>4079</v>
      </c>
      <c r="AA265" s="137">
        <v>1565</v>
      </c>
      <c r="AB265" s="141">
        <v>0</v>
      </c>
      <c r="AC265" s="141">
        <v>0</v>
      </c>
      <c r="AD265" s="141">
        <v>0</v>
      </c>
    </row>
    <row r="266" spans="1:30" ht="14.25">
      <c r="A266">
        <v>844</v>
      </c>
      <c r="B266" s="121" t="s">
        <v>390</v>
      </c>
      <c r="C266" s="120">
        <v>3631</v>
      </c>
      <c r="D266" s="120">
        <v>0</v>
      </c>
      <c r="E266" s="120">
        <v>0</v>
      </c>
      <c r="F266" s="120">
        <v>297</v>
      </c>
      <c r="G266" s="123">
        <v>3</v>
      </c>
      <c r="H266" s="123">
        <v>2043</v>
      </c>
      <c r="I266" s="123">
        <v>15</v>
      </c>
      <c r="J266" s="125">
        <v>0</v>
      </c>
      <c r="K266" s="125">
        <v>0</v>
      </c>
      <c r="L266" s="125">
        <v>0</v>
      </c>
      <c r="M266" s="127">
        <v>0</v>
      </c>
      <c r="N266" s="127">
        <v>0</v>
      </c>
      <c r="O266" s="127">
        <v>0</v>
      </c>
      <c r="P266" s="129">
        <v>0</v>
      </c>
      <c r="Q266" s="129">
        <v>0</v>
      </c>
      <c r="R266" s="129">
        <v>0</v>
      </c>
      <c r="S266" s="125">
        <v>14317</v>
      </c>
      <c r="T266" s="125">
        <v>403</v>
      </c>
      <c r="U266" s="125">
        <v>295</v>
      </c>
      <c r="V266" s="136">
        <v>143</v>
      </c>
      <c r="W266" s="136">
        <v>9531</v>
      </c>
      <c r="X266" s="136">
        <v>150</v>
      </c>
      <c r="Y266" s="137">
        <v>0</v>
      </c>
      <c r="Z266" s="137">
        <v>26</v>
      </c>
      <c r="AA266" s="137">
        <v>3</v>
      </c>
      <c r="AB266" s="141">
        <v>3</v>
      </c>
      <c r="AC266" s="141">
        <v>141</v>
      </c>
      <c r="AD266" s="141">
        <v>0</v>
      </c>
    </row>
    <row r="267" spans="1:30" ht="14.25">
      <c r="A267">
        <v>845</v>
      </c>
      <c r="B267" s="121" t="s">
        <v>391</v>
      </c>
      <c r="C267" s="120">
        <v>8112</v>
      </c>
      <c r="D267" s="120">
        <v>0</v>
      </c>
      <c r="E267" s="120">
        <v>0</v>
      </c>
      <c r="F267" s="120">
        <v>2586</v>
      </c>
      <c r="G267" s="123">
        <v>15</v>
      </c>
      <c r="H267" s="123">
        <v>1661</v>
      </c>
      <c r="I267" s="123">
        <v>0</v>
      </c>
      <c r="J267" s="125">
        <v>0</v>
      </c>
      <c r="K267" s="125">
        <v>0</v>
      </c>
      <c r="L267" s="125">
        <v>0</v>
      </c>
      <c r="M267" s="127">
        <v>0</v>
      </c>
      <c r="N267" s="127">
        <v>0</v>
      </c>
      <c r="O267" s="127">
        <v>0</v>
      </c>
      <c r="P267" s="129">
        <v>0</v>
      </c>
      <c r="Q267" s="129">
        <v>0</v>
      </c>
      <c r="R267" s="129">
        <v>0</v>
      </c>
      <c r="S267" s="125">
        <v>29331</v>
      </c>
      <c r="T267" s="125">
        <v>1330</v>
      </c>
      <c r="U267" s="125">
        <v>2586</v>
      </c>
      <c r="V267" s="136">
        <v>40</v>
      </c>
      <c r="W267" s="136">
        <v>14373</v>
      </c>
      <c r="X267" s="136">
        <v>303</v>
      </c>
      <c r="Y267" s="137">
        <v>0</v>
      </c>
      <c r="Z267" s="137">
        <v>34</v>
      </c>
      <c r="AA267" s="137">
        <v>0</v>
      </c>
      <c r="AB267" s="141">
        <v>1</v>
      </c>
      <c r="AC267" s="141">
        <v>1111</v>
      </c>
      <c r="AD267" s="141">
        <v>0</v>
      </c>
    </row>
    <row r="268" spans="1:30" ht="14.25">
      <c r="A268">
        <v>846</v>
      </c>
      <c r="B268" s="121" t="s">
        <v>392</v>
      </c>
      <c r="C268" s="120">
        <v>8233</v>
      </c>
      <c r="D268" s="120">
        <v>0</v>
      </c>
      <c r="E268" s="120">
        <v>0</v>
      </c>
      <c r="F268" s="120">
        <v>680</v>
      </c>
      <c r="G268" s="123">
        <v>0</v>
      </c>
      <c r="H268" s="123">
        <v>151</v>
      </c>
      <c r="I268" s="123">
        <v>0</v>
      </c>
      <c r="J268" s="125">
        <v>0</v>
      </c>
      <c r="K268" s="125">
        <v>0</v>
      </c>
      <c r="L268" s="125">
        <v>0</v>
      </c>
      <c r="M268" s="127">
        <v>0</v>
      </c>
      <c r="N268" s="127">
        <v>0</v>
      </c>
      <c r="O268" s="127">
        <v>0</v>
      </c>
      <c r="P268" s="129">
        <v>0</v>
      </c>
      <c r="Q268" s="129">
        <v>0</v>
      </c>
      <c r="R268" s="129">
        <v>0</v>
      </c>
      <c r="S268" s="125">
        <v>41705</v>
      </c>
      <c r="T268" s="125">
        <v>1515</v>
      </c>
      <c r="U268" s="125">
        <v>680</v>
      </c>
      <c r="V268" s="136">
        <v>78</v>
      </c>
      <c r="W268" s="136">
        <v>22741</v>
      </c>
      <c r="X268" s="136">
        <v>509</v>
      </c>
      <c r="Y268" s="137">
        <v>0</v>
      </c>
      <c r="Z268" s="137">
        <v>0</v>
      </c>
      <c r="AA268" s="137">
        <v>0</v>
      </c>
      <c r="AB268" s="141">
        <v>0</v>
      </c>
      <c r="AC268" s="141">
        <v>0</v>
      </c>
      <c r="AD268" s="141">
        <v>13</v>
      </c>
    </row>
    <row r="269" spans="1:30" ht="14.25">
      <c r="A269">
        <v>848</v>
      </c>
      <c r="B269" s="121" t="s">
        <v>393</v>
      </c>
      <c r="C269" s="120">
        <v>12305</v>
      </c>
      <c r="D269" s="120">
        <v>0</v>
      </c>
      <c r="E269" s="120">
        <v>0</v>
      </c>
      <c r="F269" s="120">
        <v>0</v>
      </c>
      <c r="G269" s="123">
        <v>50</v>
      </c>
      <c r="H269" s="123">
        <v>2184</v>
      </c>
      <c r="I269" s="123">
        <v>0</v>
      </c>
      <c r="J269" s="125">
        <v>0</v>
      </c>
      <c r="K269" s="125">
        <v>0</v>
      </c>
      <c r="L269" s="125">
        <v>0</v>
      </c>
      <c r="M269" s="127">
        <v>0</v>
      </c>
      <c r="N269" s="127">
        <v>0</v>
      </c>
      <c r="O269" s="127">
        <v>0</v>
      </c>
      <c r="P269" s="129">
        <v>0</v>
      </c>
      <c r="Q269" s="129">
        <v>0</v>
      </c>
      <c r="R269" s="129">
        <v>0</v>
      </c>
      <c r="S269" s="125">
        <v>40934</v>
      </c>
      <c r="T269" s="125">
        <v>840</v>
      </c>
      <c r="U269" s="125">
        <v>0</v>
      </c>
      <c r="V269" s="136">
        <v>430</v>
      </c>
      <c r="W269" s="136">
        <v>20799</v>
      </c>
      <c r="X269" s="136">
        <v>379</v>
      </c>
      <c r="Y269" s="137">
        <v>0</v>
      </c>
      <c r="Z269" s="137">
        <v>3</v>
      </c>
      <c r="AA269" s="137">
        <v>0</v>
      </c>
      <c r="AB269" s="141">
        <v>0</v>
      </c>
      <c r="AC269" s="141">
        <v>0</v>
      </c>
      <c r="AD269" s="141">
        <v>0</v>
      </c>
    </row>
    <row r="270" spans="1:30" ht="14.25">
      <c r="A270">
        <v>849</v>
      </c>
      <c r="B270" s="121" t="s">
        <v>394</v>
      </c>
      <c r="C270" s="120">
        <v>12699</v>
      </c>
      <c r="D270" s="120">
        <v>0</v>
      </c>
      <c r="E270" s="120">
        <v>0</v>
      </c>
      <c r="F270" s="120">
        <v>0</v>
      </c>
      <c r="G270" s="123">
        <v>0</v>
      </c>
      <c r="H270" s="123">
        <v>0</v>
      </c>
      <c r="I270" s="123">
        <v>2</v>
      </c>
      <c r="J270" s="125">
        <v>0</v>
      </c>
      <c r="K270" s="125">
        <v>0</v>
      </c>
      <c r="L270" s="125">
        <v>0</v>
      </c>
      <c r="M270" s="127">
        <v>0</v>
      </c>
      <c r="N270" s="127">
        <v>0</v>
      </c>
      <c r="O270" s="127">
        <v>0</v>
      </c>
      <c r="P270" s="129">
        <v>0</v>
      </c>
      <c r="Q270" s="129">
        <v>0</v>
      </c>
      <c r="R270" s="129">
        <v>0</v>
      </c>
      <c r="S270" s="125">
        <v>30513</v>
      </c>
      <c r="T270" s="125">
        <v>1971</v>
      </c>
      <c r="U270" s="125">
        <v>0</v>
      </c>
      <c r="V270" s="136">
        <v>54</v>
      </c>
      <c r="W270" s="136">
        <v>11252</v>
      </c>
      <c r="X270" s="136">
        <v>244</v>
      </c>
      <c r="Y270" s="137">
        <v>0</v>
      </c>
      <c r="Z270" s="137">
        <v>27</v>
      </c>
      <c r="AA270" s="137">
        <v>31</v>
      </c>
      <c r="AB270" s="141">
        <v>0</v>
      </c>
      <c r="AC270" s="141">
        <v>0</v>
      </c>
      <c r="AD270" s="141">
        <v>0</v>
      </c>
    </row>
    <row r="271" spans="1:30" ht="14.25">
      <c r="A271">
        <v>850</v>
      </c>
      <c r="B271" s="121" t="s">
        <v>395</v>
      </c>
      <c r="C271" s="120">
        <v>3863</v>
      </c>
      <c r="D271" s="120">
        <v>0</v>
      </c>
      <c r="E271" s="120">
        <v>0</v>
      </c>
      <c r="F271" s="120">
        <v>0</v>
      </c>
      <c r="G271" s="123">
        <v>0</v>
      </c>
      <c r="H271" s="123">
        <v>618</v>
      </c>
      <c r="I271" s="123">
        <v>0</v>
      </c>
      <c r="J271" s="125">
        <v>0</v>
      </c>
      <c r="K271" s="125">
        <v>0</v>
      </c>
      <c r="L271" s="125">
        <v>0</v>
      </c>
      <c r="M271" s="127">
        <v>0</v>
      </c>
      <c r="N271" s="127">
        <v>0</v>
      </c>
      <c r="O271" s="127">
        <v>0</v>
      </c>
      <c r="P271" s="129">
        <v>0</v>
      </c>
      <c r="Q271" s="129">
        <v>0</v>
      </c>
      <c r="R271" s="129">
        <v>0</v>
      </c>
      <c r="S271" s="125">
        <v>17040</v>
      </c>
      <c r="T271" s="125">
        <v>495</v>
      </c>
      <c r="U271" s="125">
        <v>0</v>
      </c>
      <c r="V271" s="136">
        <v>30</v>
      </c>
      <c r="W271" s="136">
        <v>8118</v>
      </c>
      <c r="X271" s="136">
        <v>197</v>
      </c>
      <c r="Y271" s="137">
        <v>0</v>
      </c>
      <c r="Z271" s="137">
        <v>22</v>
      </c>
      <c r="AA271" s="137">
        <v>0</v>
      </c>
      <c r="AB271" s="141">
        <v>0</v>
      </c>
      <c r="AC271" s="141">
        <v>0</v>
      </c>
      <c r="AD271" s="141">
        <v>0</v>
      </c>
    </row>
    <row r="272" spans="1:30" ht="14.25">
      <c r="A272">
        <v>851</v>
      </c>
      <c r="B272" s="121" t="s">
        <v>396</v>
      </c>
      <c r="C272" s="120">
        <v>33566</v>
      </c>
      <c r="D272" s="120">
        <v>0</v>
      </c>
      <c r="E272" s="120">
        <v>0</v>
      </c>
      <c r="F272" s="120">
        <v>0</v>
      </c>
      <c r="G272" s="123">
        <v>81</v>
      </c>
      <c r="H272" s="123">
        <v>10797</v>
      </c>
      <c r="I272" s="123">
        <v>0</v>
      </c>
      <c r="J272" s="125">
        <v>0</v>
      </c>
      <c r="K272" s="125">
        <v>0</v>
      </c>
      <c r="L272" s="125">
        <v>0</v>
      </c>
      <c r="M272" s="127">
        <v>0</v>
      </c>
      <c r="N272" s="127">
        <v>0</v>
      </c>
      <c r="O272" s="127">
        <v>0</v>
      </c>
      <c r="P272" s="129">
        <v>0</v>
      </c>
      <c r="Q272" s="129">
        <v>0</v>
      </c>
      <c r="R272" s="129">
        <v>0</v>
      </c>
      <c r="S272" s="125">
        <v>147187</v>
      </c>
      <c r="T272" s="125">
        <v>5415</v>
      </c>
      <c r="U272" s="125">
        <v>0</v>
      </c>
      <c r="V272" s="136">
        <v>2022</v>
      </c>
      <c r="W272" s="136">
        <v>80684</v>
      </c>
      <c r="X272" s="136">
        <v>2192</v>
      </c>
      <c r="Y272" s="137">
        <v>0</v>
      </c>
      <c r="Z272" s="137">
        <v>60</v>
      </c>
      <c r="AA272" s="137">
        <v>0</v>
      </c>
      <c r="AB272" s="141">
        <v>0</v>
      </c>
      <c r="AC272" s="141">
        <v>0</v>
      </c>
      <c r="AD272" s="141">
        <v>0</v>
      </c>
    </row>
    <row r="273" spans="1:30" ht="14.25">
      <c r="A273">
        <v>853</v>
      </c>
      <c r="B273" s="121" t="s">
        <v>397</v>
      </c>
      <c r="C273" s="120">
        <v>510413</v>
      </c>
      <c r="D273" s="120">
        <v>0</v>
      </c>
      <c r="E273" s="120">
        <v>3856</v>
      </c>
      <c r="F273" s="120">
        <v>2310</v>
      </c>
      <c r="G273" s="123">
        <v>1862</v>
      </c>
      <c r="H273" s="123">
        <v>97730</v>
      </c>
      <c r="I273" s="123">
        <v>29315</v>
      </c>
      <c r="J273" s="125">
        <v>0</v>
      </c>
      <c r="K273" s="125">
        <v>0</v>
      </c>
      <c r="L273" s="125">
        <v>0</v>
      </c>
      <c r="M273" s="127">
        <v>0</v>
      </c>
      <c r="N273" s="127">
        <v>206</v>
      </c>
      <c r="O273" s="127">
        <v>0</v>
      </c>
      <c r="P273" s="129">
        <v>0</v>
      </c>
      <c r="Q273" s="129">
        <v>0</v>
      </c>
      <c r="R273" s="129">
        <v>0</v>
      </c>
      <c r="S273" s="125">
        <v>1475757</v>
      </c>
      <c r="T273" s="125">
        <v>62705</v>
      </c>
      <c r="U273" s="125">
        <v>2310</v>
      </c>
      <c r="V273" s="136">
        <v>31723</v>
      </c>
      <c r="W273" s="136">
        <v>708956</v>
      </c>
      <c r="X273" s="136">
        <v>41071</v>
      </c>
      <c r="Y273" s="137">
        <v>0</v>
      </c>
      <c r="Z273" s="137">
        <v>372</v>
      </c>
      <c r="AA273" s="137">
        <v>1607</v>
      </c>
      <c r="AB273" s="141">
        <v>0</v>
      </c>
      <c r="AC273" s="141">
        <v>0</v>
      </c>
      <c r="AD273" s="141">
        <v>0</v>
      </c>
    </row>
    <row r="274" spans="1:30" ht="14.25">
      <c r="A274">
        <v>854</v>
      </c>
      <c r="B274" s="121" t="s">
        <v>319</v>
      </c>
      <c r="C274" s="120">
        <v>4372</v>
      </c>
      <c r="D274" s="120">
        <v>0</v>
      </c>
      <c r="E274" s="120">
        <v>0</v>
      </c>
      <c r="F274" s="120">
        <v>2163</v>
      </c>
      <c r="G274" s="123">
        <v>0</v>
      </c>
      <c r="H274" s="123">
        <v>2532</v>
      </c>
      <c r="I274" s="123">
        <v>0</v>
      </c>
      <c r="J274" s="125">
        <v>0</v>
      </c>
      <c r="K274" s="125">
        <v>0</v>
      </c>
      <c r="L274" s="125">
        <v>0</v>
      </c>
      <c r="M274" s="127">
        <v>0</v>
      </c>
      <c r="N274" s="127">
        <v>0</v>
      </c>
      <c r="O274" s="127">
        <v>0</v>
      </c>
      <c r="P274" s="129">
        <v>0</v>
      </c>
      <c r="Q274" s="129">
        <v>344</v>
      </c>
      <c r="R274" s="129">
        <v>0</v>
      </c>
      <c r="S274" s="125">
        <v>30030</v>
      </c>
      <c r="T274" s="125">
        <v>1142</v>
      </c>
      <c r="U274" s="125">
        <v>2163</v>
      </c>
      <c r="V274" s="136">
        <v>135</v>
      </c>
      <c r="W274" s="136">
        <v>20337</v>
      </c>
      <c r="X274" s="136">
        <v>381</v>
      </c>
      <c r="Y274" s="137">
        <v>0</v>
      </c>
      <c r="Z274" s="137">
        <v>327</v>
      </c>
      <c r="AA274" s="137">
        <v>0</v>
      </c>
      <c r="AB274" s="141">
        <v>0</v>
      </c>
      <c r="AC274" s="141">
        <v>1050</v>
      </c>
      <c r="AD274" s="141">
        <v>6</v>
      </c>
    </row>
    <row r="275" spans="1:30" ht="14.25">
      <c r="A275">
        <v>857</v>
      </c>
      <c r="B275" s="121" t="s">
        <v>398</v>
      </c>
      <c r="C275" s="120">
        <v>4806</v>
      </c>
      <c r="D275" s="120">
        <v>0</v>
      </c>
      <c r="E275" s="120">
        <v>0</v>
      </c>
      <c r="F275" s="120">
        <v>0</v>
      </c>
      <c r="G275" s="123">
        <v>23</v>
      </c>
      <c r="H275" s="123">
        <v>1135</v>
      </c>
      <c r="I275" s="123">
        <v>0</v>
      </c>
      <c r="J275" s="125">
        <v>0</v>
      </c>
      <c r="K275" s="125">
        <v>0</v>
      </c>
      <c r="L275" s="125">
        <v>0</v>
      </c>
      <c r="M275" s="127">
        <v>0</v>
      </c>
      <c r="N275" s="127">
        <v>0</v>
      </c>
      <c r="O275" s="127">
        <v>0</v>
      </c>
      <c r="P275" s="129">
        <v>0</v>
      </c>
      <c r="Q275" s="129">
        <v>0</v>
      </c>
      <c r="R275" s="129">
        <v>0</v>
      </c>
      <c r="S275" s="125">
        <v>21808</v>
      </c>
      <c r="T275" s="125">
        <v>1241</v>
      </c>
      <c r="U275" s="125">
        <v>0</v>
      </c>
      <c r="V275" s="136">
        <v>267</v>
      </c>
      <c r="W275" s="136">
        <v>13274</v>
      </c>
      <c r="X275" s="136">
        <v>270</v>
      </c>
      <c r="Y275" s="137">
        <v>0</v>
      </c>
      <c r="Z275" s="137">
        <v>276</v>
      </c>
      <c r="AA275" s="137">
        <v>0</v>
      </c>
      <c r="AB275" s="141">
        <v>0</v>
      </c>
      <c r="AC275" s="141">
        <v>0</v>
      </c>
      <c r="AD275" s="141">
        <v>0</v>
      </c>
    </row>
    <row r="276" spans="1:30" ht="14.25">
      <c r="A276">
        <v>858</v>
      </c>
      <c r="B276" s="121" t="s">
        <v>399</v>
      </c>
      <c r="C276" s="120">
        <v>72512</v>
      </c>
      <c r="D276" s="120">
        <v>0</v>
      </c>
      <c r="E276" s="120">
        <v>120</v>
      </c>
      <c r="F276" s="120">
        <v>0</v>
      </c>
      <c r="G276" s="123">
        <v>97</v>
      </c>
      <c r="H276" s="123">
        <v>12605</v>
      </c>
      <c r="I276" s="123">
        <v>0</v>
      </c>
      <c r="J276" s="125">
        <v>0</v>
      </c>
      <c r="K276" s="125">
        <v>0</v>
      </c>
      <c r="L276" s="125">
        <v>0</v>
      </c>
      <c r="M276" s="127">
        <v>0</v>
      </c>
      <c r="N276" s="127">
        <v>0</v>
      </c>
      <c r="O276" s="127">
        <v>0</v>
      </c>
      <c r="P276" s="129">
        <v>0</v>
      </c>
      <c r="Q276" s="129">
        <v>0</v>
      </c>
      <c r="R276" s="129">
        <v>0</v>
      </c>
      <c r="S276" s="125">
        <v>252432</v>
      </c>
      <c r="T276" s="125">
        <v>12154</v>
      </c>
      <c r="U276" s="125">
        <v>0</v>
      </c>
      <c r="V276" s="136">
        <v>2059</v>
      </c>
      <c r="W276" s="136">
        <v>116711</v>
      </c>
      <c r="X276" s="136">
        <v>2939</v>
      </c>
      <c r="Y276" s="137">
        <v>4</v>
      </c>
      <c r="Z276" s="137">
        <v>573</v>
      </c>
      <c r="AA276" s="137">
        <v>35</v>
      </c>
      <c r="AB276" s="141">
        <v>0</v>
      </c>
      <c r="AC276" s="141">
        <v>0</v>
      </c>
      <c r="AD276" s="141">
        <v>0</v>
      </c>
    </row>
    <row r="277" spans="1:30" ht="14.25">
      <c r="A277">
        <v>859</v>
      </c>
      <c r="B277" s="121" t="s">
        <v>400</v>
      </c>
      <c r="C277" s="120">
        <v>7419</v>
      </c>
      <c r="D277" s="120">
        <v>0</v>
      </c>
      <c r="E277" s="120">
        <v>0</v>
      </c>
      <c r="F277" s="120">
        <v>1432</v>
      </c>
      <c r="G277" s="123">
        <v>87</v>
      </c>
      <c r="H277" s="123">
        <v>1239</v>
      </c>
      <c r="I277" s="123">
        <v>0</v>
      </c>
      <c r="J277" s="125">
        <v>0</v>
      </c>
      <c r="K277" s="125">
        <v>0</v>
      </c>
      <c r="L277" s="125">
        <v>0</v>
      </c>
      <c r="M277" s="127">
        <v>0</v>
      </c>
      <c r="N277" s="127">
        <v>0</v>
      </c>
      <c r="O277" s="127">
        <v>0</v>
      </c>
      <c r="P277" s="129">
        <v>0</v>
      </c>
      <c r="Q277" s="129">
        <v>0</v>
      </c>
      <c r="R277" s="129">
        <v>0</v>
      </c>
      <c r="S277" s="125">
        <v>41964</v>
      </c>
      <c r="T277" s="125">
        <v>1604</v>
      </c>
      <c r="U277" s="125">
        <v>1429</v>
      </c>
      <c r="V277" s="136">
        <v>478</v>
      </c>
      <c r="W277" s="136">
        <v>19864</v>
      </c>
      <c r="X277" s="136">
        <v>417</v>
      </c>
      <c r="Y277" s="137">
        <v>0</v>
      </c>
      <c r="Z277" s="137">
        <v>186</v>
      </c>
      <c r="AA277" s="137">
        <v>0</v>
      </c>
      <c r="AB277" s="141">
        <v>19</v>
      </c>
      <c r="AC277" s="141">
        <v>526</v>
      </c>
      <c r="AD277" s="141">
        <v>17</v>
      </c>
    </row>
    <row r="278" spans="1:30" ht="14.25">
      <c r="A278">
        <v>886</v>
      </c>
      <c r="B278" s="121" t="s">
        <v>401</v>
      </c>
      <c r="C278" s="120">
        <v>13542</v>
      </c>
      <c r="D278" s="120">
        <v>0</v>
      </c>
      <c r="E278" s="120">
        <v>0</v>
      </c>
      <c r="F278" s="120">
        <v>0</v>
      </c>
      <c r="G278" s="123">
        <v>132</v>
      </c>
      <c r="H278" s="123">
        <v>876</v>
      </c>
      <c r="I278" s="123">
        <v>412</v>
      </c>
      <c r="J278" s="125">
        <v>0</v>
      </c>
      <c r="K278" s="125">
        <v>0</v>
      </c>
      <c r="L278" s="125">
        <v>0</v>
      </c>
      <c r="M278" s="127">
        <v>0</v>
      </c>
      <c r="N278" s="127">
        <v>0</v>
      </c>
      <c r="O278" s="127">
        <v>0</v>
      </c>
      <c r="P278" s="129">
        <v>0</v>
      </c>
      <c r="Q278" s="129">
        <v>0</v>
      </c>
      <c r="R278" s="129">
        <v>0</v>
      </c>
      <c r="S278" s="125">
        <v>81917</v>
      </c>
      <c r="T278" s="125">
        <v>2953</v>
      </c>
      <c r="U278" s="125">
        <v>0</v>
      </c>
      <c r="V278" s="136">
        <v>253</v>
      </c>
      <c r="W278" s="136">
        <v>42374</v>
      </c>
      <c r="X278" s="136">
        <v>1581</v>
      </c>
      <c r="Y278" s="137">
        <v>0</v>
      </c>
      <c r="Z278" s="137">
        <v>67</v>
      </c>
      <c r="AA278" s="137">
        <v>0</v>
      </c>
      <c r="AB278" s="141">
        <v>0</v>
      </c>
      <c r="AC278" s="141">
        <v>0</v>
      </c>
      <c r="AD278" s="141">
        <v>0</v>
      </c>
    </row>
    <row r="279" spans="1:30" ht="14.25">
      <c r="A279">
        <v>887</v>
      </c>
      <c r="B279" s="121" t="s">
        <v>402</v>
      </c>
      <c r="C279" s="120">
        <v>5638</v>
      </c>
      <c r="D279" s="120">
        <v>0</v>
      </c>
      <c r="E279" s="120">
        <v>0</v>
      </c>
      <c r="F279" s="120">
        <v>0</v>
      </c>
      <c r="G279" s="123">
        <v>507</v>
      </c>
      <c r="H279" s="123">
        <v>654</v>
      </c>
      <c r="I279" s="123">
        <v>0</v>
      </c>
      <c r="J279" s="125">
        <v>0</v>
      </c>
      <c r="K279" s="125">
        <v>0</v>
      </c>
      <c r="L279" s="125">
        <v>0</v>
      </c>
      <c r="M279" s="127">
        <v>0</v>
      </c>
      <c r="N279" s="127">
        <v>0</v>
      </c>
      <c r="O279" s="127">
        <v>0</v>
      </c>
      <c r="P279" s="129">
        <v>0</v>
      </c>
      <c r="Q279" s="129">
        <v>0</v>
      </c>
      <c r="R279" s="129">
        <v>0</v>
      </c>
      <c r="S279" s="125">
        <v>32701</v>
      </c>
      <c r="T279" s="125">
        <v>842</v>
      </c>
      <c r="U279" s="125">
        <v>136</v>
      </c>
      <c r="V279" s="136">
        <v>1328</v>
      </c>
      <c r="W279" s="136">
        <v>18552</v>
      </c>
      <c r="X279" s="136">
        <v>349</v>
      </c>
      <c r="Y279" s="137">
        <v>0</v>
      </c>
      <c r="Z279" s="137">
        <v>26</v>
      </c>
      <c r="AA279" s="137">
        <v>2</v>
      </c>
      <c r="AB279" s="141">
        <v>0</v>
      </c>
      <c r="AC279" s="141">
        <v>0</v>
      </c>
      <c r="AD279" s="141">
        <v>0</v>
      </c>
    </row>
    <row r="280" spans="1:30" ht="14.25">
      <c r="A280">
        <v>889</v>
      </c>
      <c r="B280" s="121" t="s">
        <v>403</v>
      </c>
      <c r="C280" s="120">
        <v>4562</v>
      </c>
      <c r="D280" s="120">
        <v>0</v>
      </c>
      <c r="E280" s="120">
        <v>0</v>
      </c>
      <c r="F280" s="120">
        <v>409</v>
      </c>
      <c r="G280" s="123">
        <v>56</v>
      </c>
      <c r="H280" s="123">
        <v>89</v>
      </c>
      <c r="I280" s="123">
        <v>0</v>
      </c>
      <c r="J280" s="125">
        <v>0</v>
      </c>
      <c r="K280" s="125">
        <v>0</v>
      </c>
      <c r="L280" s="125">
        <v>0</v>
      </c>
      <c r="M280" s="127">
        <v>0</v>
      </c>
      <c r="N280" s="127">
        <v>0</v>
      </c>
      <c r="O280" s="127">
        <v>0</v>
      </c>
      <c r="P280" s="129">
        <v>0</v>
      </c>
      <c r="Q280" s="129">
        <v>60</v>
      </c>
      <c r="R280" s="129">
        <v>0</v>
      </c>
      <c r="S280" s="125">
        <v>25379</v>
      </c>
      <c r="T280" s="125">
        <v>1234</v>
      </c>
      <c r="U280" s="125">
        <v>409</v>
      </c>
      <c r="V280" s="136">
        <v>265</v>
      </c>
      <c r="W280" s="136">
        <v>11775</v>
      </c>
      <c r="X280" s="136">
        <v>185</v>
      </c>
      <c r="Y280" s="137">
        <v>0</v>
      </c>
      <c r="Z280" s="137">
        <v>0</v>
      </c>
      <c r="AA280" s="137">
        <v>0</v>
      </c>
      <c r="AB280" s="141">
        <v>0</v>
      </c>
      <c r="AC280" s="141">
        <v>0</v>
      </c>
      <c r="AD280" s="141">
        <v>0</v>
      </c>
    </row>
    <row r="281" spans="1:30" ht="14.25">
      <c r="A281">
        <v>890</v>
      </c>
      <c r="B281" s="121" t="s">
        <v>404</v>
      </c>
      <c r="C281" s="120">
        <v>3401</v>
      </c>
      <c r="D281" s="120">
        <v>0</v>
      </c>
      <c r="E281" s="120">
        <v>0</v>
      </c>
      <c r="F281" s="120">
        <v>349</v>
      </c>
      <c r="G281" s="123">
        <v>4</v>
      </c>
      <c r="H281" s="123">
        <v>557</v>
      </c>
      <c r="I281" s="123">
        <v>0</v>
      </c>
      <c r="J281" s="125">
        <v>0</v>
      </c>
      <c r="K281" s="125">
        <v>0</v>
      </c>
      <c r="L281" s="125">
        <v>0</v>
      </c>
      <c r="M281" s="127">
        <v>0</v>
      </c>
      <c r="N281" s="127">
        <v>0</v>
      </c>
      <c r="O281" s="127">
        <v>0</v>
      </c>
      <c r="P281" s="129">
        <v>0</v>
      </c>
      <c r="Q281" s="129">
        <v>0</v>
      </c>
      <c r="R281" s="129">
        <v>0</v>
      </c>
      <c r="S281" s="125">
        <v>13825</v>
      </c>
      <c r="T281" s="125">
        <v>527</v>
      </c>
      <c r="U281" s="125">
        <v>335</v>
      </c>
      <c r="V281" s="136">
        <v>116</v>
      </c>
      <c r="W281" s="136">
        <v>6820</v>
      </c>
      <c r="X281" s="136">
        <v>165</v>
      </c>
      <c r="Y281" s="137">
        <v>0</v>
      </c>
      <c r="Z281" s="137">
        <v>83</v>
      </c>
      <c r="AA281" s="137">
        <v>0</v>
      </c>
      <c r="AB281" s="141">
        <v>1</v>
      </c>
      <c r="AC281" s="141">
        <v>120</v>
      </c>
      <c r="AD281" s="141">
        <v>1</v>
      </c>
    </row>
    <row r="282" spans="1:30" ht="14.25">
      <c r="A282">
        <v>892</v>
      </c>
      <c r="B282" s="121" t="s">
        <v>405</v>
      </c>
      <c r="C282" s="120">
        <v>4729</v>
      </c>
      <c r="D282" s="120">
        <v>0</v>
      </c>
      <c r="E282" s="120">
        <v>25</v>
      </c>
      <c r="F282" s="120">
        <v>483</v>
      </c>
      <c r="G282" s="123">
        <v>55</v>
      </c>
      <c r="H282" s="123">
        <v>1225</v>
      </c>
      <c r="I282" s="123">
        <v>0</v>
      </c>
      <c r="J282" s="125">
        <v>0</v>
      </c>
      <c r="K282" s="125">
        <v>0</v>
      </c>
      <c r="L282" s="125">
        <v>0</v>
      </c>
      <c r="M282" s="127">
        <v>0</v>
      </c>
      <c r="N282" s="127">
        <v>0</v>
      </c>
      <c r="O282" s="127">
        <v>0</v>
      </c>
      <c r="P282" s="129">
        <v>0</v>
      </c>
      <c r="Q282" s="129">
        <v>0</v>
      </c>
      <c r="R282" s="129">
        <v>0</v>
      </c>
      <c r="S282" s="125">
        <v>23059</v>
      </c>
      <c r="T282" s="125">
        <v>1068</v>
      </c>
      <c r="U282" s="125">
        <v>483</v>
      </c>
      <c r="V282" s="136">
        <v>104</v>
      </c>
      <c r="W282" s="136">
        <v>10850</v>
      </c>
      <c r="X282" s="136">
        <v>291</v>
      </c>
      <c r="Y282" s="137">
        <v>0</v>
      </c>
      <c r="Z282" s="137">
        <v>87</v>
      </c>
      <c r="AA282" s="137">
        <v>0</v>
      </c>
      <c r="AB282" s="141">
        <v>3</v>
      </c>
      <c r="AC282" s="141">
        <v>138</v>
      </c>
      <c r="AD282" s="141">
        <v>1</v>
      </c>
    </row>
    <row r="283" spans="1:30" ht="14.25">
      <c r="A283">
        <v>893</v>
      </c>
      <c r="B283" s="121" t="s">
        <v>406</v>
      </c>
      <c r="C283" s="120">
        <v>8134</v>
      </c>
      <c r="D283" s="120">
        <v>0</v>
      </c>
      <c r="E283" s="120">
        <v>76</v>
      </c>
      <c r="F283" s="120">
        <v>0</v>
      </c>
      <c r="G283" s="123">
        <v>0</v>
      </c>
      <c r="H283" s="123">
        <v>327</v>
      </c>
      <c r="I283" s="123">
        <v>0</v>
      </c>
      <c r="J283" s="125">
        <v>0</v>
      </c>
      <c r="K283" s="125">
        <v>0</v>
      </c>
      <c r="L283" s="125">
        <v>0</v>
      </c>
      <c r="M283" s="127">
        <v>0</v>
      </c>
      <c r="N283" s="127">
        <v>0</v>
      </c>
      <c r="O283" s="127">
        <v>0</v>
      </c>
      <c r="P283" s="129">
        <v>0</v>
      </c>
      <c r="Q283" s="129">
        <v>0</v>
      </c>
      <c r="R283" s="129">
        <v>0</v>
      </c>
      <c r="S283" s="125">
        <v>51897</v>
      </c>
      <c r="T283" s="125">
        <v>1725</v>
      </c>
      <c r="U283" s="125">
        <v>0</v>
      </c>
      <c r="V283" s="136">
        <v>561</v>
      </c>
      <c r="W283" s="136">
        <v>26455</v>
      </c>
      <c r="X283" s="136">
        <v>540</v>
      </c>
      <c r="Y283" s="137">
        <v>0</v>
      </c>
      <c r="Z283" s="137">
        <v>49</v>
      </c>
      <c r="AA283" s="137">
        <v>0</v>
      </c>
      <c r="AB283" s="141">
        <v>0</v>
      </c>
      <c r="AC283" s="141">
        <v>0</v>
      </c>
      <c r="AD283" s="141">
        <v>0</v>
      </c>
    </row>
    <row r="284" spans="1:30" ht="14.25">
      <c r="A284">
        <v>895</v>
      </c>
      <c r="B284" s="121" t="s">
        <v>407</v>
      </c>
      <c r="C284" s="120">
        <v>44598</v>
      </c>
      <c r="D284" s="120">
        <v>0</v>
      </c>
      <c r="E284" s="120">
        <v>448</v>
      </c>
      <c r="F284" s="120">
        <v>0</v>
      </c>
      <c r="G284" s="123">
        <v>142</v>
      </c>
      <c r="H284" s="123">
        <v>15276</v>
      </c>
      <c r="I284" s="123">
        <v>0</v>
      </c>
      <c r="J284" s="125">
        <v>0</v>
      </c>
      <c r="K284" s="125">
        <v>0</v>
      </c>
      <c r="L284" s="125">
        <v>0</v>
      </c>
      <c r="M284" s="127">
        <v>0</v>
      </c>
      <c r="N284" s="127">
        <v>0</v>
      </c>
      <c r="O284" s="127">
        <v>0</v>
      </c>
      <c r="P284" s="129">
        <v>0</v>
      </c>
      <c r="Q284" s="129">
        <v>0</v>
      </c>
      <c r="R284" s="129">
        <v>0</v>
      </c>
      <c r="S284" s="125">
        <v>123011</v>
      </c>
      <c r="T284" s="125">
        <v>5510</v>
      </c>
      <c r="U284" s="125">
        <v>0</v>
      </c>
      <c r="V284" s="136">
        <v>780</v>
      </c>
      <c r="W284" s="136">
        <v>71524</v>
      </c>
      <c r="X284" s="136">
        <v>1169</v>
      </c>
      <c r="Y284" s="137">
        <v>0</v>
      </c>
      <c r="Z284" s="137">
        <v>270</v>
      </c>
      <c r="AA284" s="137">
        <v>0</v>
      </c>
      <c r="AB284" s="141">
        <v>0</v>
      </c>
      <c r="AC284" s="141">
        <v>0</v>
      </c>
      <c r="AD284" s="141">
        <v>0</v>
      </c>
    </row>
    <row r="285" spans="1:30" ht="14.25">
      <c r="A285">
        <v>905</v>
      </c>
      <c r="B285" s="121" t="s">
        <v>409</v>
      </c>
      <c r="C285" s="120">
        <v>194830</v>
      </c>
      <c r="D285" s="120">
        <v>0</v>
      </c>
      <c r="E285" s="120">
        <v>2473</v>
      </c>
      <c r="F285" s="120">
        <v>5543</v>
      </c>
      <c r="G285" s="123">
        <v>1646</v>
      </c>
      <c r="H285" s="123">
        <v>49575</v>
      </c>
      <c r="I285" s="123">
        <v>6113</v>
      </c>
      <c r="J285" s="125">
        <v>0</v>
      </c>
      <c r="K285" s="125">
        <v>0</v>
      </c>
      <c r="L285" s="125">
        <v>0</v>
      </c>
      <c r="M285" s="127">
        <v>0</v>
      </c>
      <c r="N285" s="127">
        <v>0</v>
      </c>
      <c r="O285" s="127">
        <v>0</v>
      </c>
      <c r="P285" s="129">
        <v>0</v>
      </c>
      <c r="Q285" s="129">
        <v>715</v>
      </c>
      <c r="R285" s="129">
        <v>0</v>
      </c>
      <c r="S285" s="125">
        <v>574248</v>
      </c>
      <c r="T285" s="125">
        <v>30904</v>
      </c>
      <c r="U285" s="125">
        <v>5544</v>
      </c>
      <c r="V285" s="136">
        <v>6530</v>
      </c>
      <c r="W285" s="136">
        <v>281395</v>
      </c>
      <c r="X285" s="136">
        <v>10208</v>
      </c>
      <c r="Y285" s="137">
        <v>1</v>
      </c>
      <c r="Z285" s="137">
        <v>1132</v>
      </c>
      <c r="AA285" s="137">
        <v>421</v>
      </c>
      <c r="AB285" s="141">
        <v>17</v>
      </c>
      <c r="AC285" s="141">
        <v>2722</v>
      </c>
      <c r="AD285" s="141">
        <v>0</v>
      </c>
    </row>
    <row r="286" spans="1:30" ht="14.25">
      <c r="A286">
        <v>908</v>
      </c>
      <c r="B286" s="121" t="s">
        <v>410</v>
      </c>
      <c r="C286" s="120">
        <v>52869</v>
      </c>
      <c r="D286" s="120">
        <v>0</v>
      </c>
      <c r="E286" s="120">
        <v>283</v>
      </c>
      <c r="F286" s="120">
        <v>0</v>
      </c>
      <c r="G286" s="123">
        <v>584</v>
      </c>
      <c r="H286" s="123">
        <v>10766</v>
      </c>
      <c r="I286" s="123">
        <v>0</v>
      </c>
      <c r="J286" s="125">
        <v>0</v>
      </c>
      <c r="K286" s="125">
        <v>0</v>
      </c>
      <c r="L286" s="125">
        <v>0</v>
      </c>
      <c r="M286" s="127">
        <v>0</v>
      </c>
      <c r="N286" s="127">
        <v>0</v>
      </c>
      <c r="O286" s="127">
        <v>0</v>
      </c>
      <c r="P286" s="129">
        <v>0</v>
      </c>
      <c r="Q286" s="129">
        <v>0</v>
      </c>
      <c r="R286" s="129">
        <v>0</v>
      </c>
      <c r="S286" s="125">
        <v>160366</v>
      </c>
      <c r="T286" s="125">
        <v>9254</v>
      </c>
      <c r="U286" s="125">
        <v>0</v>
      </c>
      <c r="V286" s="136">
        <v>1735</v>
      </c>
      <c r="W286" s="136">
        <v>79366</v>
      </c>
      <c r="X286" s="136">
        <v>1505</v>
      </c>
      <c r="Y286" s="137">
        <v>0</v>
      </c>
      <c r="Z286" s="137">
        <v>81</v>
      </c>
      <c r="AA286" s="137">
        <v>2</v>
      </c>
      <c r="AB286" s="141">
        <v>0</v>
      </c>
      <c r="AC286" s="141">
        <v>0</v>
      </c>
      <c r="AD286" s="141">
        <v>0</v>
      </c>
    </row>
    <row r="287" spans="1:30" ht="14.25">
      <c r="A287">
        <v>911</v>
      </c>
      <c r="B287" s="121" t="s">
        <v>411</v>
      </c>
      <c r="C287" s="120">
        <v>8320</v>
      </c>
      <c r="D287" s="120">
        <v>0</v>
      </c>
      <c r="E287" s="120">
        <v>23</v>
      </c>
      <c r="F287" s="120">
        <v>0</v>
      </c>
      <c r="G287" s="123">
        <v>15</v>
      </c>
      <c r="H287" s="123">
        <v>772</v>
      </c>
      <c r="I287" s="123">
        <v>0</v>
      </c>
      <c r="J287" s="125">
        <v>0</v>
      </c>
      <c r="K287" s="125">
        <v>0</v>
      </c>
      <c r="L287" s="125">
        <v>0</v>
      </c>
      <c r="M287" s="127">
        <v>0</v>
      </c>
      <c r="N287" s="127">
        <v>1</v>
      </c>
      <c r="O287" s="127">
        <v>0</v>
      </c>
      <c r="P287" s="129">
        <v>0</v>
      </c>
      <c r="Q287" s="129">
        <v>0</v>
      </c>
      <c r="R287" s="129">
        <v>0</v>
      </c>
      <c r="S287" s="125">
        <v>24748</v>
      </c>
      <c r="T287" s="125">
        <v>940</v>
      </c>
      <c r="U287" s="125">
        <v>0</v>
      </c>
      <c r="V287" s="136">
        <v>45</v>
      </c>
      <c r="W287" s="136">
        <v>12274</v>
      </c>
      <c r="X287" s="136">
        <v>172</v>
      </c>
      <c r="Y287" s="137">
        <v>0</v>
      </c>
      <c r="Z287" s="137">
        <v>0</v>
      </c>
      <c r="AA287" s="137">
        <v>0</v>
      </c>
      <c r="AB287" s="141">
        <v>0</v>
      </c>
      <c r="AC287" s="141">
        <v>0</v>
      </c>
      <c r="AD287" s="141">
        <v>0</v>
      </c>
    </row>
    <row r="288" spans="1:30" ht="14.25">
      <c r="A288">
        <v>915</v>
      </c>
      <c r="B288" s="121" t="s">
        <v>413</v>
      </c>
      <c r="C288" s="120">
        <v>75131</v>
      </c>
      <c r="D288" s="120">
        <v>0</v>
      </c>
      <c r="E288" s="120">
        <v>338</v>
      </c>
      <c r="F288" s="120">
        <v>0</v>
      </c>
      <c r="G288" s="123">
        <v>777</v>
      </c>
      <c r="H288" s="123">
        <v>45664</v>
      </c>
      <c r="I288" s="123">
        <v>0</v>
      </c>
      <c r="J288" s="125">
        <v>0</v>
      </c>
      <c r="K288" s="125">
        <v>0</v>
      </c>
      <c r="L288" s="125">
        <v>0</v>
      </c>
      <c r="M288" s="127">
        <v>0</v>
      </c>
      <c r="N288" s="127">
        <v>0</v>
      </c>
      <c r="O288" s="127">
        <v>0</v>
      </c>
      <c r="P288" s="129">
        <v>0</v>
      </c>
      <c r="Q288" s="129">
        <v>0</v>
      </c>
      <c r="R288" s="129">
        <v>0</v>
      </c>
      <c r="S288" s="125">
        <v>195467</v>
      </c>
      <c r="T288" s="125">
        <v>5048</v>
      </c>
      <c r="U288" s="125">
        <v>0</v>
      </c>
      <c r="V288" s="136">
        <v>3491</v>
      </c>
      <c r="W288" s="136">
        <v>127441</v>
      </c>
      <c r="X288" s="136">
        <v>2490</v>
      </c>
      <c r="Y288" s="137">
        <v>0</v>
      </c>
      <c r="Z288" s="137">
        <v>599</v>
      </c>
      <c r="AA288" s="137">
        <v>0</v>
      </c>
      <c r="AB288" s="141">
        <v>0</v>
      </c>
      <c r="AC288" s="141">
        <v>0</v>
      </c>
      <c r="AD288" s="141">
        <v>0</v>
      </c>
    </row>
    <row r="289" spans="1:30" ht="14.25">
      <c r="A289">
        <v>918</v>
      </c>
      <c r="B289" s="121" t="s">
        <v>414</v>
      </c>
      <c r="C289" s="120">
        <v>6967</v>
      </c>
      <c r="D289" s="120">
        <v>0</v>
      </c>
      <c r="E289" s="120">
        <v>0</v>
      </c>
      <c r="F289" s="120">
        <v>0</v>
      </c>
      <c r="G289" s="123">
        <v>0</v>
      </c>
      <c r="H289" s="123">
        <v>1366</v>
      </c>
      <c r="I289" s="123">
        <v>86</v>
      </c>
      <c r="J289" s="125">
        <v>0</v>
      </c>
      <c r="K289" s="125">
        <v>0</v>
      </c>
      <c r="L289" s="125">
        <v>0</v>
      </c>
      <c r="M289" s="127">
        <v>0</v>
      </c>
      <c r="N289" s="127">
        <v>0</v>
      </c>
      <c r="O289" s="127">
        <v>0</v>
      </c>
      <c r="P289" s="129">
        <v>0</v>
      </c>
      <c r="Q289" s="129">
        <v>0</v>
      </c>
      <c r="R289" s="129">
        <v>0</v>
      </c>
      <c r="S289" s="125">
        <v>20362</v>
      </c>
      <c r="T289" s="125">
        <v>391</v>
      </c>
      <c r="U289" s="125">
        <v>0</v>
      </c>
      <c r="V289" s="136">
        <v>54</v>
      </c>
      <c r="W289" s="136">
        <v>10798</v>
      </c>
      <c r="X289" s="136">
        <v>233</v>
      </c>
      <c r="Y289" s="137">
        <v>0</v>
      </c>
      <c r="Z289" s="137">
        <v>9</v>
      </c>
      <c r="AA289" s="137">
        <v>4</v>
      </c>
      <c r="AB289" s="141">
        <v>0</v>
      </c>
      <c r="AC289" s="141">
        <v>0</v>
      </c>
      <c r="AD289" s="141">
        <v>0</v>
      </c>
    </row>
    <row r="290" spans="1:30" ht="14.25">
      <c r="A290">
        <v>921</v>
      </c>
      <c r="B290" s="121" t="s">
        <v>415</v>
      </c>
      <c r="C290" s="120">
        <v>3446</v>
      </c>
      <c r="D290" s="120">
        <v>0</v>
      </c>
      <c r="E290" s="120">
        <v>0</v>
      </c>
      <c r="F290" s="120">
        <v>821</v>
      </c>
      <c r="G290" s="123">
        <v>50</v>
      </c>
      <c r="H290" s="123">
        <v>1008</v>
      </c>
      <c r="I290" s="123">
        <v>0</v>
      </c>
      <c r="J290" s="125">
        <v>0</v>
      </c>
      <c r="K290" s="125">
        <v>0</v>
      </c>
      <c r="L290" s="125">
        <v>0</v>
      </c>
      <c r="M290" s="127">
        <v>0</v>
      </c>
      <c r="N290" s="127">
        <v>0</v>
      </c>
      <c r="O290" s="127">
        <v>0</v>
      </c>
      <c r="P290" s="129">
        <v>0</v>
      </c>
      <c r="Q290" s="129">
        <v>96</v>
      </c>
      <c r="R290" s="129">
        <v>0</v>
      </c>
      <c r="S290" s="125">
        <v>19366</v>
      </c>
      <c r="T290" s="125">
        <v>596</v>
      </c>
      <c r="U290" s="125">
        <v>810</v>
      </c>
      <c r="V290" s="136">
        <v>187</v>
      </c>
      <c r="W290" s="136">
        <v>12154</v>
      </c>
      <c r="X290" s="136">
        <v>230</v>
      </c>
      <c r="Y290" s="137">
        <v>1</v>
      </c>
      <c r="Z290" s="137">
        <v>16</v>
      </c>
      <c r="AA290" s="137">
        <v>0</v>
      </c>
      <c r="AB290" s="141">
        <v>24</v>
      </c>
      <c r="AC290" s="141">
        <v>259</v>
      </c>
      <c r="AD290" s="141">
        <v>0</v>
      </c>
    </row>
    <row r="291" spans="1:30" ht="14.25">
      <c r="A291">
        <v>922</v>
      </c>
      <c r="B291" s="121" t="s">
        <v>416</v>
      </c>
      <c r="C291" s="120">
        <v>6078</v>
      </c>
      <c r="D291" s="120">
        <v>0</v>
      </c>
      <c r="E291" s="120">
        <v>0</v>
      </c>
      <c r="F291" s="120">
        <v>421</v>
      </c>
      <c r="G291" s="123">
        <v>47</v>
      </c>
      <c r="H291" s="123">
        <v>175</v>
      </c>
      <c r="I291" s="123">
        <v>0</v>
      </c>
      <c r="J291" s="125">
        <v>0</v>
      </c>
      <c r="K291" s="125">
        <v>0</v>
      </c>
      <c r="L291" s="125">
        <v>0</v>
      </c>
      <c r="M291" s="127">
        <v>0</v>
      </c>
      <c r="N291" s="127">
        <v>0</v>
      </c>
      <c r="O291" s="127">
        <v>0</v>
      </c>
      <c r="P291" s="129">
        <v>0</v>
      </c>
      <c r="Q291" s="129">
        <v>0</v>
      </c>
      <c r="R291" s="129">
        <v>0</v>
      </c>
      <c r="S291" s="125">
        <v>29585</v>
      </c>
      <c r="T291" s="125">
        <v>1823</v>
      </c>
      <c r="U291" s="125">
        <v>418</v>
      </c>
      <c r="V291" s="136">
        <v>204</v>
      </c>
      <c r="W291" s="136">
        <v>13829</v>
      </c>
      <c r="X291" s="136">
        <v>307</v>
      </c>
      <c r="Y291" s="137">
        <v>0</v>
      </c>
      <c r="Z291" s="137">
        <v>12</v>
      </c>
      <c r="AA291" s="137">
        <v>0</v>
      </c>
      <c r="AB291" s="141">
        <v>3</v>
      </c>
      <c r="AC291" s="141">
        <v>150</v>
      </c>
      <c r="AD291" s="141">
        <v>3</v>
      </c>
    </row>
    <row r="292" spans="1:30" ht="14.25">
      <c r="A292">
        <v>924</v>
      </c>
      <c r="B292" s="121" t="s">
        <v>417</v>
      </c>
      <c r="C292" s="120">
        <v>8226</v>
      </c>
      <c r="D292" s="120">
        <v>0</v>
      </c>
      <c r="E292" s="120">
        <v>0</v>
      </c>
      <c r="F292" s="120">
        <v>457</v>
      </c>
      <c r="G292" s="123">
        <v>0</v>
      </c>
      <c r="H292" s="123">
        <v>0</v>
      </c>
      <c r="I292" s="123">
        <v>0</v>
      </c>
      <c r="J292" s="125">
        <v>0</v>
      </c>
      <c r="K292" s="125">
        <v>0</v>
      </c>
      <c r="L292" s="125">
        <v>0</v>
      </c>
      <c r="M292" s="127">
        <v>0</v>
      </c>
      <c r="N292" s="127">
        <v>0</v>
      </c>
      <c r="O292" s="127">
        <v>0</v>
      </c>
      <c r="P292" s="129">
        <v>0</v>
      </c>
      <c r="Q292" s="129">
        <v>0</v>
      </c>
      <c r="R292" s="129">
        <v>0</v>
      </c>
      <c r="S292" s="125">
        <v>24358</v>
      </c>
      <c r="T292" s="125">
        <v>1621</v>
      </c>
      <c r="U292" s="125">
        <v>461</v>
      </c>
      <c r="V292" s="136">
        <v>101</v>
      </c>
      <c r="W292" s="136">
        <v>12557</v>
      </c>
      <c r="X292" s="136">
        <v>274</v>
      </c>
      <c r="Y292" s="137">
        <v>0</v>
      </c>
      <c r="Z292" s="137">
        <v>0</v>
      </c>
      <c r="AA292" s="137">
        <v>8</v>
      </c>
      <c r="AB292" s="141">
        <v>0</v>
      </c>
      <c r="AC292" s="141">
        <v>0</v>
      </c>
      <c r="AD292" s="141">
        <v>13</v>
      </c>
    </row>
    <row r="293" spans="1:30" ht="14.25">
      <c r="A293">
        <v>925</v>
      </c>
      <c r="B293" s="121" t="s">
        <v>418</v>
      </c>
      <c r="C293" s="120">
        <v>3667</v>
      </c>
      <c r="D293" s="120">
        <v>0</v>
      </c>
      <c r="E293" s="120">
        <v>0</v>
      </c>
      <c r="F293" s="120">
        <v>383</v>
      </c>
      <c r="G293" s="123">
        <v>23</v>
      </c>
      <c r="H293" s="123">
        <v>73</v>
      </c>
      <c r="I293" s="123">
        <v>0</v>
      </c>
      <c r="J293" s="125">
        <v>0</v>
      </c>
      <c r="K293" s="125">
        <v>0</v>
      </c>
      <c r="L293" s="125">
        <v>0</v>
      </c>
      <c r="M293" s="127">
        <v>0</v>
      </c>
      <c r="N293" s="127">
        <v>0</v>
      </c>
      <c r="O293" s="127">
        <v>0</v>
      </c>
      <c r="P293" s="129">
        <v>0</v>
      </c>
      <c r="Q293" s="129">
        <v>0</v>
      </c>
      <c r="R293" s="129">
        <v>0</v>
      </c>
      <c r="S293" s="125">
        <v>25833</v>
      </c>
      <c r="T293" s="125">
        <v>704</v>
      </c>
      <c r="U293" s="125">
        <v>383</v>
      </c>
      <c r="V293" s="136">
        <v>108</v>
      </c>
      <c r="W293" s="136">
        <v>14239</v>
      </c>
      <c r="X293" s="136">
        <v>353</v>
      </c>
      <c r="Y293" s="137">
        <v>0</v>
      </c>
      <c r="Z293" s="137">
        <v>0</v>
      </c>
      <c r="AA293" s="137">
        <v>0</v>
      </c>
      <c r="AB293" s="141">
        <v>2</v>
      </c>
      <c r="AC293" s="141">
        <v>3</v>
      </c>
      <c r="AD293" s="141">
        <v>0</v>
      </c>
    </row>
    <row r="294" spans="1:30" ht="14.25">
      <c r="A294">
        <v>927</v>
      </c>
      <c r="B294" s="121" t="s">
        <v>419</v>
      </c>
      <c r="C294" s="120">
        <v>43593</v>
      </c>
      <c r="D294" s="120">
        <v>0</v>
      </c>
      <c r="E294" s="120">
        <v>205</v>
      </c>
      <c r="F294" s="120">
        <v>3048</v>
      </c>
      <c r="G294" s="123">
        <v>59</v>
      </c>
      <c r="H294" s="123">
        <v>1870</v>
      </c>
      <c r="I294" s="123">
        <v>0</v>
      </c>
      <c r="J294" s="125">
        <v>0</v>
      </c>
      <c r="K294" s="125">
        <v>0</v>
      </c>
      <c r="L294" s="125">
        <v>0</v>
      </c>
      <c r="M294" s="127">
        <v>0</v>
      </c>
      <c r="N294" s="127">
        <v>0</v>
      </c>
      <c r="O294" s="127">
        <v>0</v>
      </c>
      <c r="P294" s="129">
        <v>0</v>
      </c>
      <c r="Q294" s="129">
        <v>0</v>
      </c>
      <c r="R294" s="129">
        <v>0</v>
      </c>
      <c r="S294" s="125">
        <v>178135</v>
      </c>
      <c r="T294" s="125">
        <v>9348</v>
      </c>
      <c r="U294" s="125">
        <v>3046</v>
      </c>
      <c r="V294" s="136">
        <v>2340</v>
      </c>
      <c r="W294" s="136">
        <v>84008</v>
      </c>
      <c r="X294" s="136">
        <v>1865</v>
      </c>
      <c r="Y294" s="137">
        <v>0</v>
      </c>
      <c r="Z294" s="137">
        <v>0</v>
      </c>
      <c r="AA294" s="137">
        <v>0</v>
      </c>
      <c r="AB294" s="141">
        <v>6</v>
      </c>
      <c r="AC294" s="141">
        <v>6</v>
      </c>
      <c r="AD294" s="141">
        <v>0</v>
      </c>
    </row>
    <row r="295" spans="1:30" ht="14.25">
      <c r="A295">
        <v>931</v>
      </c>
      <c r="B295" s="121" t="s">
        <v>420</v>
      </c>
      <c r="C295" s="120">
        <v>33784</v>
      </c>
      <c r="D295" s="120">
        <v>0</v>
      </c>
      <c r="E295" s="120">
        <v>0</v>
      </c>
      <c r="F295" s="120">
        <v>0</v>
      </c>
      <c r="G295" s="123">
        <v>21</v>
      </c>
      <c r="H295" s="123">
        <v>24946</v>
      </c>
      <c r="I295" s="123">
        <v>0</v>
      </c>
      <c r="J295" s="125">
        <v>0</v>
      </c>
      <c r="K295" s="125">
        <v>0</v>
      </c>
      <c r="L295" s="125">
        <v>0</v>
      </c>
      <c r="M295" s="127">
        <v>0</v>
      </c>
      <c r="N295" s="127">
        <v>0</v>
      </c>
      <c r="O295" s="127">
        <v>0</v>
      </c>
      <c r="P295" s="129">
        <v>0</v>
      </c>
      <c r="Q295" s="129">
        <v>0</v>
      </c>
      <c r="R295" s="129">
        <v>0</v>
      </c>
      <c r="S295" s="125">
        <v>74303</v>
      </c>
      <c r="T295" s="125">
        <v>2555</v>
      </c>
      <c r="U295" s="125">
        <v>0</v>
      </c>
      <c r="V295" s="136">
        <v>11</v>
      </c>
      <c r="W295" s="136">
        <v>53427</v>
      </c>
      <c r="X295" s="136">
        <v>548</v>
      </c>
      <c r="Y295" s="137">
        <v>0</v>
      </c>
      <c r="Z295" s="137">
        <v>92</v>
      </c>
      <c r="AA295" s="137">
        <v>0</v>
      </c>
      <c r="AB295" s="141">
        <v>0</v>
      </c>
      <c r="AC295" s="141">
        <v>0</v>
      </c>
      <c r="AD295" s="141">
        <v>0</v>
      </c>
    </row>
    <row r="296" spans="1:30" ht="14.25">
      <c r="A296">
        <v>934</v>
      </c>
      <c r="B296" s="121" t="s">
        <v>421</v>
      </c>
      <c r="C296" s="120">
        <v>2376</v>
      </c>
      <c r="D296" s="120">
        <v>0</v>
      </c>
      <c r="E296" s="120">
        <v>0</v>
      </c>
      <c r="F296" s="120">
        <v>0</v>
      </c>
      <c r="G296" s="123">
        <v>0</v>
      </c>
      <c r="H296" s="123">
        <v>0</v>
      </c>
      <c r="I296" s="123">
        <v>0</v>
      </c>
      <c r="J296" s="125">
        <v>0</v>
      </c>
      <c r="K296" s="125">
        <v>0</v>
      </c>
      <c r="L296" s="125">
        <v>0</v>
      </c>
      <c r="M296" s="127">
        <v>0</v>
      </c>
      <c r="N296" s="127">
        <v>0</v>
      </c>
      <c r="O296" s="127">
        <v>0</v>
      </c>
      <c r="P296" s="129">
        <v>0</v>
      </c>
      <c r="Q296" s="129">
        <v>0</v>
      </c>
      <c r="R296" s="129">
        <v>0</v>
      </c>
      <c r="S296" s="125">
        <v>18677</v>
      </c>
      <c r="T296" s="125">
        <v>818</v>
      </c>
      <c r="U296" s="125">
        <v>0</v>
      </c>
      <c r="V296" s="136">
        <v>127</v>
      </c>
      <c r="W296" s="136">
        <v>10999</v>
      </c>
      <c r="X296" s="136">
        <v>263</v>
      </c>
      <c r="Y296" s="137">
        <v>0</v>
      </c>
      <c r="Z296" s="137">
        <v>0</v>
      </c>
      <c r="AA296" s="137">
        <v>0</v>
      </c>
      <c r="AB296" s="141">
        <v>0</v>
      </c>
      <c r="AC296" s="141">
        <v>0</v>
      </c>
      <c r="AD296" s="141">
        <v>0</v>
      </c>
    </row>
    <row r="297" spans="1:30" ht="14.25">
      <c r="A297">
        <v>935</v>
      </c>
      <c r="B297" s="121" t="s">
        <v>422</v>
      </c>
      <c r="C297" s="120">
        <v>10188</v>
      </c>
      <c r="D297" s="120">
        <v>0</v>
      </c>
      <c r="E297" s="120">
        <v>0</v>
      </c>
      <c r="F297" s="120">
        <v>0</v>
      </c>
      <c r="G297" s="123">
        <v>0</v>
      </c>
      <c r="H297" s="123">
        <v>3</v>
      </c>
      <c r="I297" s="123">
        <v>0</v>
      </c>
      <c r="J297" s="125">
        <v>0</v>
      </c>
      <c r="K297" s="125">
        <v>0</v>
      </c>
      <c r="L297" s="125">
        <v>0</v>
      </c>
      <c r="M297" s="127">
        <v>0</v>
      </c>
      <c r="N297" s="127">
        <v>0</v>
      </c>
      <c r="O297" s="127">
        <v>0</v>
      </c>
      <c r="P297" s="129">
        <v>0</v>
      </c>
      <c r="Q297" s="129">
        <v>0</v>
      </c>
      <c r="R297" s="129">
        <v>0</v>
      </c>
      <c r="S297" s="125">
        <v>28583</v>
      </c>
      <c r="T297" s="125">
        <v>1098</v>
      </c>
      <c r="U297" s="125">
        <v>0</v>
      </c>
      <c r="V297" s="136">
        <v>199</v>
      </c>
      <c r="W297" s="136">
        <v>10729</v>
      </c>
      <c r="X297" s="136">
        <v>358</v>
      </c>
      <c r="Y297" s="137">
        <v>0</v>
      </c>
      <c r="Z297" s="137">
        <v>45</v>
      </c>
      <c r="AA297" s="137">
        <v>0</v>
      </c>
      <c r="AB297" s="141">
        <v>0</v>
      </c>
      <c r="AC297" s="141">
        <v>0</v>
      </c>
      <c r="AD297" s="141">
        <v>0</v>
      </c>
    </row>
    <row r="298" spans="1:30" ht="14.25">
      <c r="A298">
        <v>936</v>
      </c>
      <c r="B298" s="121" t="s">
        <v>423</v>
      </c>
      <c r="C298" s="120">
        <v>40747</v>
      </c>
      <c r="D298" s="120">
        <v>86</v>
      </c>
      <c r="E298" s="120">
        <v>0</v>
      </c>
      <c r="F298" s="120">
        <v>1806</v>
      </c>
      <c r="G298" s="123">
        <v>118</v>
      </c>
      <c r="H298" s="123">
        <v>27034</v>
      </c>
      <c r="I298" s="123">
        <v>0</v>
      </c>
      <c r="J298" s="125">
        <v>0</v>
      </c>
      <c r="K298" s="125">
        <v>0</v>
      </c>
      <c r="L298" s="125">
        <v>0</v>
      </c>
      <c r="M298" s="127">
        <v>0</v>
      </c>
      <c r="N298" s="127">
        <v>0</v>
      </c>
      <c r="O298" s="127">
        <v>0</v>
      </c>
      <c r="P298" s="129">
        <v>0</v>
      </c>
      <c r="Q298" s="129">
        <v>8</v>
      </c>
      <c r="R298" s="129">
        <v>0</v>
      </c>
      <c r="S298" s="125">
        <v>79428</v>
      </c>
      <c r="T298" s="125">
        <v>3154</v>
      </c>
      <c r="U298" s="125">
        <v>1806</v>
      </c>
      <c r="V298" s="136">
        <v>75</v>
      </c>
      <c r="W298" s="136">
        <v>50969</v>
      </c>
      <c r="X298" s="136">
        <v>526</v>
      </c>
      <c r="Y298" s="137">
        <v>0</v>
      </c>
      <c r="Z298" s="137">
        <v>38</v>
      </c>
      <c r="AA298" s="137">
        <v>9</v>
      </c>
      <c r="AB298" s="141">
        <v>4</v>
      </c>
      <c r="AC298" s="141">
        <v>1435</v>
      </c>
      <c r="AD298" s="141">
        <v>11</v>
      </c>
    </row>
    <row r="299" spans="1:30" ht="14.25">
      <c r="A299">
        <v>946</v>
      </c>
      <c r="B299" s="121" t="s">
        <v>137</v>
      </c>
      <c r="C299" s="120">
        <v>21371</v>
      </c>
      <c r="D299" s="120">
        <v>0</v>
      </c>
      <c r="E299" s="120">
        <v>0</v>
      </c>
      <c r="F299" s="120">
        <v>0</v>
      </c>
      <c r="G299" s="123">
        <v>4</v>
      </c>
      <c r="H299" s="123">
        <v>11210</v>
      </c>
      <c r="I299" s="123">
        <v>27</v>
      </c>
      <c r="J299" s="125">
        <v>0</v>
      </c>
      <c r="K299" s="125">
        <v>0</v>
      </c>
      <c r="L299" s="125">
        <v>0</v>
      </c>
      <c r="M299" s="127">
        <v>0</v>
      </c>
      <c r="N299" s="127">
        <v>0</v>
      </c>
      <c r="O299" s="127">
        <v>0</v>
      </c>
      <c r="P299" s="129">
        <v>0</v>
      </c>
      <c r="Q299" s="129">
        <v>0</v>
      </c>
      <c r="R299" s="129">
        <v>0</v>
      </c>
      <c r="S299" s="125">
        <v>60610</v>
      </c>
      <c r="T299" s="125">
        <v>1485</v>
      </c>
      <c r="U299" s="125">
        <v>0</v>
      </c>
      <c r="V299" s="136">
        <v>534</v>
      </c>
      <c r="W299" s="136">
        <v>34698</v>
      </c>
      <c r="X299" s="136">
        <v>470</v>
      </c>
      <c r="Y299" s="137">
        <v>0</v>
      </c>
      <c r="Z299" s="137">
        <v>181</v>
      </c>
      <c r="AA299" s="137">
        <v>0</v>
      </c>
      <c r="AB299" s="141">
        <v>0</v>
      </c>
      <c r="AC299" s="141">
        <v>0</v>
      </c>
      <c r="AD299" s="141">
        <v>0</v>
      </c>
    </row>
    <row r="300" spans="1:30" ht="14.25">
      <c r="A300">
        <v>976</v>
      </c>
      <c r="B300" s="121" t="s">
        <v>424</v>
      </c>
      <c r="C300" s="120">
        <v>12981</v>
      </c>
      <c r="D300" s="120">
        <v>0</v>
      </c>
      <c r="E300" s="120">
        <v>0</v>
      </c>
      <c r="F300" s="120">
        <v>0</v>
      </c>
      <c r="G300" s="123">
        <v>2</v>
      </c>
      <c r="H300" s="123">
        <v>2552</v>
      </c>
      <c r="I300" s="123">
        <v>77</v>
      </c>
      <c r="J300" s="125">
        <v>0</v>
      </c>
      <c r="K300" s="125">
        <v>0</v>
      </c>
      <c r="L300" s="125">
        <v>0</v>
      </c>
      <c r="M300" s="127">
        <v>0</v>
      </c>
      <c r="N300" s="127">
        <v>0</v>
      </c>
      <c r="O300" s="127">
        <v>0</v>
      </c>
      <c r="P300" s="129">
        <v>0</v>
      </c>
      <c r="Q300" s="129">
        <v>0</v>
      </c>
      <c r="R300" s="129">
        <v>0</v>
      </c>
      <c r="S300" s="125">
        <v>42837</v>
      </c>
      <c r="T300" s="125">
        <v>1564</v>
      </c>
      <c r="U300" s="125">
        <v>0</v>
      </c>
      <c r="V300" s="136">
        <v>65</v>
      </c>
      <c r="W300" s="136">
        <v>23464</v>
      </c>
      <c r="X300" s="136">
        <v>489</v>
      </c>
      <c r="Y300" s="137">
        <v>0</v>
      </c>
      <c r="Z300" s="137">
        <v>116</v>
      </c>
      <c r="AA300" s="137">
        <v>0</v>
      </c>
      <c r="AB300" s="141">
        <v>0</v>
      </c>
      <c r="AC300" s="141">
        <v>0</v>
      </c>
      <c r="AD300" s="141">
        <v>0</v>
      </c>
    </row>
    <row r="301" spans="1:30" ht="14.25">
      <c r="A301">
        <v>977</v>
      </c>
      <c r="B301" s="121" t="s">
        <v>425</v>
      </c>
      <c r="C301" s="120">
        <v>38804</v>
      </c>
      <c r="D301" s="120">
        <v>0</v>
      </c>
      <c r="E301" s="120">
        <v>0</v>
      </c>
      <c r="F301" s="120">
        <v>0</v>
      </c>
      <c r="G301" s="123">
        <v>20</v>
      </c>
      <c r="H301" s="123">
        <v>20</v>
      </c>
      <c r="I301" s="123">
        <v>22410</v>
      </c>
      <c r="J301" s="125">
        <v>0</v>
      </c>
      <c r="K301" s="125">
        <v>0</v>
      </c>
      <c r="L301" s="125">
        <v>0</v>
      </c>
      <c r="M301" s="127">
        <v>0</v>
      </c>
      <c r="N301" s="127">
        <v>0</v>
      </c>
      <c r="O301" s="127">
        <v>0</v>
      </c>
      <c r="P301" s="129">
        <v>0</v>
      </c>
      <c r="Q301" s="129">
        <v>0</v>
      </c>
      <c r="R301" s="129">
        <v>0</v>
      </c>
      <c r="S301" s="125">
        <v>119952</v>
      </c>
      <c r="T301" s="125">
        <v>4064</v>
      </c>
      <c r="U301" s="125">
        <v>0</v>
      </c>
      <c r="V301" s="136">
        <v>1504</v>
      </c>
      <c r="W301" s="136">
        <v>47851</v>
      </c>
      <c r="X301" s="136">
        <v>23210</v>
      </c>
      <c r="Y301" s="137">
        <v>0</v>
      </c>
      <c r="Z301" s="137">
        <v>0</v>
      </c>
      <c r="AA301" s="137">
        <v>553</v>
      </c>
      <c r="AB301" s="141">
        <v>0</v>
      </c>
      <c r="AC301" s="141">
        <v>0</v>
      </c>
      <c r="AD301" s="141">
        <v>0</v>
      </c>
    </row>
    <row r="302" spans="1:30" ht="14.25">
      <c r="A302">
        <v>980</v>
      </c>
      <c r="B302" s="121" t="s">
        <v>426</v>
      </c>
      <c r="C302" s="120">
        <v>64426</v>
      </c>
      <c r="D302" s="120">
        <v>0</v>
      </c>
      <c r="E302" s="120">
        <v>3497</v>
      </c>
      <c r="F302" s="120">
        <v>3089</v>
      </c>
      <c r="G302" s="123">
        <v>970</v>
      </c>
      <c r="H302" s="123">
        <v>16074</v>
      </c>
      <c r="I302" s="123">
        <v>0</v>
      </c>
      <c r="J302" s="125">
        <v>0</v>
      </c>
      <c r="K302" s="125">
        <v>0</v>
      </c>
      <c r="L302" s="125">
        <v>0</v>
      </c>
      <c r="M302" s="127">
        <v>0</v>
      </c>
      <c r="N302" s="127">
        <v>0</v>
      </c>
      <c r="O302" s="127">
        <v>0</v>
      </c>
      <c r="P302" s="129">
        <v>0</v>
      </c>
      <c r="Q302" s="129">
        <v>0</v>
      </c>
      <c r="R302" s="129">
        <v>0</v>
      </c>
      <c r="S302" s="125">
        <v>214192</v>
      </c>
      <c r="T302" s="125">
        <v>12388</v>
      </c>
      <c r="U302" s="125">
        <v>3077</v>
      </c>
      <c r="V302" s="136">
        <v>3818</v>
      </c>
      <c r="W302" s="136">
        <v>100840</v>
      </c>
      <c r="X302" s="136">
        <v>2199</v>
      </c>
      <c r="Y302" s="137">
        <v>0</v>
      </c>
      <c r="Z302" s="137">
        <v>389</v>
      </c>
      <c r="AA302" s="137">
        <v>0</v>
      </c>
      <c r="AB302" s="141">
        <v>27</v>
      </c>
      <c r="AC302" s="141">
        <v>928</v>
      </c>
      <c r="AD302" s="141">
        <v>0</v>
      </c>
    </row>
    <row r="303" spans="1:30" ht="14.25">
      <c r="A303">
        <v>981</v>
      </c>
      <c r="B303" s="121" t="s">
        <v>427</v>
      </c>
      <c r="C303" s="120">
        <v>7066</v>
      </c>
      <c r="D303" s="120">
        <v>0</v>
      </c>
      <c r="E303" s="120">
        <v>0</v>
      </c>
      <c r="F303" s="120">
        <v>0</v>
      </c>
      <c r="G303" s="123">
        <v>0</v>
      </c>
      <c r="H303" s="123">
        <v>0</v>
      </c>
      <c r="I303" s="123">
        <v>0</v>
      </c>
      <c r="J303" s="125">
        <v>0</v>
      </c>
      <c r="K303" s="125">
        <v>0</v>
      </c>
      <c r="L303" s="125">
        <v>0</v>
      </c>
      <c r="M303" s="127">
        <v>0</v>
      </c>
      <c r="N303" s="127">
        <v>0</v>
      </c>
      <c r="O303" s="127">
        <v>0</v>
      </c>
      <c r="P303" s="129">
        <v>0</v>
      </c>
      <c r="Q303" s="129">
        <v>0</v>
      </c>
      <c r="R303" s="129">
        <v>0</v>
      </c>
      <c r="S303" s="125">
        <v>19114</v>
      </c>
      <c r="T303" s="125">
        <v>633</v>
      </c>
      <c r="U303" s="125">
        <v>0</v>
      </c>
      <c r="V303" s="136">
        <v>2</v>
      </c>
      <c r="W303" s="136">
        <v>7280</v>
      </c>
      <c r="X303" s="136">
        <v>130</v>
      </c>
      <c r="Y303" s="137">
        <v>0</v>
      </c>
      <c r="Z303" s="137">
        <v>0</v>
      </c>
      <c r="AA303" s="137">
        <v>4</v>
      </c>
      <c r="AB303" s="141">
        <v>0</v>
      </c>
      <c r="AC303" s="141">
        <v>0</v>
      </c>
      <c r="AD303" s="141">
        <v>0</v>
      </c>
    </row>
    <row r="304" spans="1:30" ht="14.25">
      <c r="A304">
        <v>989</v>
      </c>
      <c r="B304" s="121" t="s">
        <v>428</v>
      </c>
      <c r="C304" s="120">
        <v>7250</v>
      </c>
      <c r="D304" s="120">
        <v>0</v>
      </c>
      <c r="E304" s="120">
        <v>0</v>
      </c>
      <c r="F304" s="120">
        <v>0</v>
      </c>
      <c r="G304" s="123">
        <v>79</v>
      </c>
      <c r="H304" s="123">
        <v>2893</v>
      </c>
      <c r="I304" s="123">
        <v>0</v>
      </c>
      <c r="J304" s="125">
        <v>0</v>
      </c>
      <c r="K304" s="125">
        <v>0</v>
      </c>
      <c r="L304" s="125">
        <v>0</v>
      </c>
      <c r="M304" s="127">
        <v>0</v>
      </c>
      <c r="N304" s="127">
        <v>0</v>
      </c>
      <c r="O304" s="127">
        <v>0</v>
      </c>
      <c r="P304" s="129">
        <v>0</v>
      </c>
      <c r="Q304" s="129">
        <v>0</v>
      </c>
      <c r="R304" s="129">
        <v>0</v>
      </c>
      <c r="S304" s="125">
        <v>44883</v>
      </c>
      <c r="T304" s="125">
        <v>973</v>
      </c>
      <c r="U304" s="125">
        <v>0</v>
      </c>
      <c r="V304" s="136">
        <v>499</v>
      </c>
      <c r="W304" s="136">
        <v>28162</v>
      </c>
      <c r="X304" s="136">
        <v>524</v>
      </c>
      <c r="Y304" s="137">
        <v>0</v>
      </c>
      <c r="Z304" s="137">
        <v>30</v>
      </c>
      <c r="AA304" s="137">
        <v>0</v>
      </c>
      <c r="AB304" s="141">
        <v>0</v>
      </c>
      <c r="AC304" s="141">
        <v>0</v>
      </c>
      <c r="AD304" s="141">
        <v>0</v>
      </c>
    </row>
    <row r="305" spans="1:30" ht="14.25">
      <c r="A305">
        <v>992</v>
      </c>
      <c r="B305" s="121" t="s">
        <v>429</v>
      </c>
      <c r="C305" s="120">
        <v>25552</v>
      </c>
      <c r="D305" s="120">
        <v>0</v>
      </c>
      <c r="E305" s="120">
        <v>35</v>
      </c>
      <c r="F305" s="120">
        <v>17676</v>
      </c>
      <c r="G305" s="123">
        <v>0</v>
      </c>
      <c r="H305" s="123">
        <v>10609</v>
      </c>
      <c r="I305" s="123">
        <v>0</v>
      </c>
      <c r="J305" s="125">
        <v>0</v>
      </c>
      <c r="K305" s="125">
        <v>0</v>
      </c>
      <c r="L305" s="125">
        <v>0</v>
      </c>
      <c r="M305" s="127">
        <v>0</v>
      </c>
      <c r="N305" s="127">
        <v>0</v>
      </c>
      <c r="O305" s="127">
        <v>0</v>
      </c>
      <c r="P305" s="129">
        <v>0</v>
      </c>
      <c r="Q305" s="129">
        <v>2590</v>
      </c>
      <c r="R305" s="129">
        <v>0</v>
      </c>
      <c r="S305" s="125">
        <v>133291</v>
      </c>
      <c r="T305" s="125">
        <v>6765</v>
      </c>
      <c r="U305" s="125">
        <v>17676</v>
      </c>
      <c r="V305" s="136">
        <v>0</v>
      </c>
      <c r="W305" s="136">
        <v>75154</v>
      </c>
      <c r="X305" s="136">
        <v>2297</v>
      </c>
      <c r="Y305" s="137">
        <v>0</v>
      </c>
      <c r="Z305" s="137">
        <v>182</v>
      </c>
      <c r="AA305" s="137">
        <v>0</v>
      </c>
      <c r="AB305" s="141">
        <v>0</v>
      </c>
      <c r="AC305" s="141">
        <v>7245</v>
      </c>
      <c r="AD305" s="141">
        <v>260</v>
      </c>
    </row>
    <row r="307" spans="2:30" ht="14.25">
      <c r="B307" s="120"/>
      <c r="C307" s="120"/>
      <c r="D307" s="120"/>
      <c r="E307" s="120"/>
      <c r="F307" s="120"/>
      <c r="G307" s="123"/>
      <c r="H307" s="123"/>
      <c r="I307" s="123"/>
      <c r="M307" s="127"/>
      <c r="N307" s="127"/>
      <c r="O307" s="127"/>
      <c r="P307" s="129"/>
      <c r="Q307" s="129"/>
      <c r="R307" s="129"/>
      <c r="V307" s="136"/>
      <c r="W307" s="136"/>
      <c r="X307" s="136"/>
      <c r="Y307" s="137"/>
      <c r="Z307" s="137"/>
      <c r="AA307" s="137"/>
      <c r="AB307" s="141"/>
      <c r="AC307" s="141"/>
      <c r="AD307" s="141"/>
    </row>
    <row r="309" spans="2:30" ht="14.25">
      <c r="B309" s="120" t="s">
        <v>528</v>
      </c>
      <c r="C309" s="120"/>
      <c r="D309" s="120"/>
      <c r="E309" s="120"/>
      <c r="F309" s="120"/>
      <c r="G309" s="123"/>
      <c r="H309" s="123"/>
      <c r="I309" s="123"/>
      <c r="M309" s="127"/>
      <c r="N309" s="127"/>
      <c r="O309" s="127"/>
      <c r="P309" s="129"/>
      <c r="Q309" s="129"/>
      <c r="R309" s="129"/>
      <c r="V309" s="136"/>
      <c r="W309" s="136"/>
      <c r="X309" s="136"/>
      <c r="Y309" s="137"/>
      <c r="Z309" s="137"/>
      <c r="AA309" s="137"/>
      <c r="AB309" s="141"/>
      <c r="AC309" s="141"/>
      <c r="AD309" s="141"/>
    </row>
    <row r="311" spans="2:30" ht="14.25">
      <c r="B311" s="120" t="s">
        <v>529</v>
      </c>
      <c r="C311" s="120"/>
      <c r="D311" s="120"/>
      <c r="E311" s="120"/>
      <c r="F311" s="120"/>
      <c r="G311" s="123"/>
      <c r="H311" s="123"/>
      <c r="I311" s="123"/>
      <c r="M311" s="127"/>
      <c r="N311" s="127"/>
      <c r="O311" s="127"/>
      <c r="P311" s="129"/>
      <c r="Q311" s="129"/>
      <c r="R311" s="129"/>
      <c r="V311" s="136"/>
      <c r="W311" s="136"/>
      <c r="X311" s="136"/>
      <c r="Y311" s="137"/>
      <c r="Z311" s="137"/>
      <c r="AA311" s="137"/>
      <c r="AB311" s="141"/>
      <c r="AC311" s="141"/>
      <c r="AD311" s="141"/>
    </row>
    <row r="313" spans="2:30" ht="14.25">
      <c r="B313" s="120" t="s">
        <v>529</v>
      </c>
      <c r="C313" s="120"/>
      <c r="D313" s="120"/>
      <c r="E313" s="120"/>
      <c r="F313" s="120"/>
      <c r="G313" s="123"/>
      <c r="H313" s="123"/>
      <c r="I313" s="123"/>
      <c r="M313" s="127"/>
      <c r="N313" s="127"/>
      <c r="O313" s="127"/>
      <c r="P313" s="129"/>
      <c r="Q313" s="129"/>
      <c r="R313" s="129"/>
      <c r="V313" s="136"/>
      <c r="W313" s="136"/>
      <c r="X313" s="136"/>
      <c r="Y313" s="137"/>
      <c r="Z313" s="137"/>
      <c r="AA313" s="137"/>
      <c r="AB313" s="141"/>
      <c r="AC313" s="141"/>
      <c r="AD313" s="141"/>
    </row>
    <row r="314" spans="2:30" ht="14.25">
      <c r="B314" s="120" t="s">
        <v>530</v>
      </c>
      <c r="C314" s="120"/>
      <c r="D314" s="120"/>
      <c r="E314" s="120"/>
      <c r="F314" s="120"/>
      <c r="G314" s="123"/>
      <c r="H314" s="123"/>
      <c r="I314" s="123"/>
      <c r="M314" s="127"/>
      <c r="N314" s="127"/>
      <c r="O314" s="127"/>
      <c r="P314" s="129"/>
      <c r="Q314" s="129"/>
      <c r="R314" s="129"/>
      <c r="V314" s="136"/>
      <c r="W314" s="136"/>
      <c r="X314" s="136"/>
      <c r="Y314" s="137"/>
      <c r="Z314" s="137"/>
      <c r="AA314" s="137"/>
      <c r="AB314" s="141"/>
      <c r="AC314" s="141"/>
      <c r="AD314" s="141"/>
    </row>
    <row r="315" spans="2:30" ht="14.25">
      <c r="B315" s="120" t="s">
        <v>531</v>
      </c>
      <c r="C315" s="120"/>
      <c r="D315" s="120"/>
      <c r="E315" s="120"/>
      <c r="F315" s="120"/>
      <c r="G315" s="123"/>
      <c r="H315" s="123"/>
      <c r="I315" s="123"/>
      <c r="M315" s="127"/>
      <c r="N315" s="127"/>
      <c r="O315" s="127"/>
      <c r="P315" s="129"/>
      <c r="Q315" s="129"/>
      <c r="R315" s="129"/>
      <c r="V315" s="136"/>
      <c r="W315" s="136"/>
      <c r="X315" s="136"/>
      <c r="Y315" s="137"/>
      <c r="Z315" s="137"/>
      <c r="AA315" s="137"/>
      <c r="AB315" s="141"/>
      <c r="AC315" s="141"/>
      <c r="AD315" s="141"/>
    </row>
    <row r="317" spans="2:30" ht="14.25">
      <c r="B317" s="120"/>
      <c r="C317" s="120"/>
      <c r="D317" s="120"/>
      <c r="E317" s="120"/>
      <c r="F317" s="120"/>
      <c r="G317" s="123"/>
      <c r="H317" s="123"/>
      <c r="I317" s="123"/>
      <c r="M317" s="127"/>
      <c r="N317" s="127"/>
      <c r="O317" s="127"/>
      <c r="P317" s="129"/>
      <c r="Q317" s="129"/>
      <c r="R317" s="129"/>
      <c r="V317" s="136"/>
      <c r="W317" s="136"/>
      <c r="X317" s="136"/>
      <c r="Y317" s="137"/>
      <c r="Z317" s="137"/>
      <c r="AA317" s="137"/>
      <c r="AB317" s="141"/>
      <c r="AC317" s="141"/>
      <c r="AD317" s="141"/>
    </row>
    <row r="319" spans="2:30" ht="14.25">
      <c r="B319" s="120" t="s">
        <v>532</v>
      </c>
      <c r="C319" s="120"/>
      <c r="D319" s="120"/>
      <c r="E319" s="120"/>
      <c r="F319" s="120"/>
      <c r="G319" s="123"/>
      <c r="H319" s="123"/>
      <c r="I319" s="123"/>
      <c r="M319" s="127"/>
      <c r="N319" s="127"/>
      <c r="O319" s="127"/>
      <c r="P319" s="129"/>
      <c r="Q319" s="129"/>
      <c r="R319" s="129"/>
      <c r="V319" s="136"/>
      <c r="W319" s="136"/>
      <c r="X319" s="136"/>
      <c r="Y319" s="137"/>
      <c r="Z319" s="137"/>
      <c r="AA319" s="137"/>
      <c r="AB319" s="141"/>
      <c r="AC319" s="141"/>
      <c r="AD319" s="141"/>
    </row>
    <row r="328" ht="14.25">
      <c r="B328" s="120" t="s">
        <v>533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Taul1"/>
  <dimension ref="A1:M111"/>
  <sheetViews>
    <sheetView tabSelected="1" zoomScale="115" zoomScaleNormal="115" zoomScalePageLayoutView="0" workbookViewId="0" topLeftCell="A1">
      <selection activeCell="A4" sqref="A4"/>
    </sheetView>
  </sheetViews>
  <sheetFormatPr defaultColWidth="9.140625" defaultRowHeight="12.75"/>
  <cols>
    <col min="1" max="1" width="47.8515625" style="5" customWidth="1"/>
    <col min="2" max="2" width="25.7109375" style="5" customWidth="1"/>
    <col min="3" max="3" width="19.28125" style="5" customWidth="1"/>
    <col min="4" max="4" width="19.7109375" style="5" customWidth="1"/>
    <col min="5" max="8" width="18.28125" style="5" customWidth="1"/>
    <col min="9" max="9" width="2.140625" style="5" customWidth="1"/>
    <col min="10" max="10" width="72.7109375" style="27" customWidth="1"/>
    <col min="11" max="11" width="39.00390625" style="5" customWidth="1"/>
    <col min="12" max="12" width="44.7109375" style="5" customWidth="1"/>
    <col min="13" max="13" width="14.28125" style="5" bestFit="1" customWidth="1"/>
    <col min="14" max="16384" width="9.140625" style="5" customWidth="1"/>
  </cols>
  <sheetData>
    <row r="1" spans="1:11" ht="12.75">
      <c r="A1" s="39"/>
      <c r="B1" s="40"/>
      <c r="C1" s="43"/>
      <c r="D1" s="42"/>
      <c r="E1" s="40"/>
      <c r="F1" s="40"/>
      <c r="G1" s="40"/>
      <c r="H1" s="40"/>
      <c r="I1" s="40"/>
      <c r="J1" s="41"/>
      <c r="K1" s="40"/>
    </row>
    <row r="2" spans="1:11" ht="24">
      <c r="A2" s="244" t="s">
        <v>663</v>
      </c>
      <c r="B2" s="40"/>
      <c r="C2" s="42"/>
      <c r="D2" s="42"/>
      <c r="E2" s="40"/>
      <c r="F2" s="40"/>
      <c r="G2" s="40"/>
      <c r="H2" s="40"/>
      <c r="I2" s="40"/>
      <c r="J2" s="251" t="s">
        <v>673</v>
      </c>
      <c r="K2" s="40"/>
    </row>
    <row r="3" spans="1:11" ht="24" customHeight="1">
      <c r="A3" s="106" t="s">
        <v>576</v>
      </c>
      <c r="C3" s="40"/>
      <c r="D3" s="159"/>
      <c r="E3" s="43"/>
      <c r="F3" s="43"/>
      <c r="G3" s="43"/>
      <c r="H3" s="43"/>
      <c r="I3" s="40"/>
      <c r="J3" s="390"/>
      <c r="K3" s="40"/>
    </row>
    <row r="4" spans="1:10" ht="12.75">
      <c r="A4" s="245" t="s">
        <v>691</v>
      </c>
      <c r="B4" s="246" t="s">
        <v>687</v>
      </c>
      <c r="C4" s="44"/>
      <c r="D4" s="164"/>
      <c r="E4" s="44"/>
      <c r="F4" s="44"/>
      <c r="G4" s="44"/>
      <c r="H4" s="44"/>
      <c r="I4" s="40"/>
      <c r="J4" s="69"/>
    </row>
    <row r="5" spans="1:11" ht="13.5" customHeight="1">
      <c r="A5" s="36" t="s">
        <v>430</v>
      </c>
      <c r="B5" s="247" t="s">
        <v>678</v>
      </c>
      <c r="C5" s="33"/>
      <c r="D5" s="33"/>
      <c r="E5" s="33"/>
      <c r="F5" s="33"/>
      <c r="G5" s="33"/>
      <c r="H5" s="33"/>
      <c r="I5" s="33"/>
      <c r="J5" s="232"/>
      <c r="K5" s="170"/>
    </row>
    <row r="6" spans="1:11" ht="13.5" customHeight="1">
      <c r="A6" s="36"/>
      <c r="B6" s="33"/>
      <c r="C6" s="33"/>
      <c r="D6" s="33"/>
      <c r="E6" s="33"/>
      <c r="F6" s="33"/>
      <c r="G6" s="33"/>
      <c r="H6" s="33"/>
      <c r="I6" s="33"/>
      <c r="J6" s="178"/>
      <c r="K6" s="170"/>
    </row>
    <row r="7" spans="1:11" ht="13.5" customHeight="1">
      <c r="A7" s="175" t="s">
        <v>445</v>
      </c>
      <c r="B7" s="248" t="s">
        <v>449</v>
      </c>
      <c r="C7" s="248"/>
      <c r="D7" s="248" t="s">
        <v>103</v>
      </c>
      <c r="E7" s="248" t="s">
        <v>103</v>
      </c>
      <c r="F7" s="248" t="s">
        <v>103</v>
      </c>
      <c r="G7" s="248" t="s">
        <v>103</v>
      </c>
      <c r="H7" s="248" t="s">
        <v>103</v>
      </c>
      <c r="I7" s="157"/>
      <c r="J7" s="233"/>
      <c r="K7" s="179"/>
    </row>
    <row r="8" spans="1:11" ht="13.5" customHeight="1">
      <c r="A8" s="73" t="s">
        <v>611</v>
      </c>
      <c r="B8" s="248" t="s">
        <v>104</v>
      </c>
      <c r="C8" s="248" t="s">
        <v>431</v>
      </c>
      <c r="D8" s="248" t="s">
        <v>578</v>
      </c>
      <c r="E8" s="248" t="s">
        <v>579</v>
      </c>
      <c r="F8" s="248" t="s">
        <v>660</v>
      </c>
      <c r="G8" s="248" t="s">
        <v>661</v>
      </c>
      <c r="H8" s="248" t="s">
        <v>662</v>
      </c>
      <c r="I8" s="157"/>
      <c r="J8" s="431"/>
      <c r="K8" s="445"/>
    </row>
    <row r="9" spans="1:11" ht="18.75" customHeight="1">
      <c r="A9" s="37" t="s">
        <v>689</v>
      </c>
      <c r="B9" s="249"/>
      <c r="C9" s="249"/>
      <c r="D9" s="249"/>
      <c r="E9" s="37"/>
      <c r="F9" s="250"/>
      <c r="G9" s="250"/>
      <c r="H9" s="250"/>
      <c r="I9" s="33"/>
      <c r="J9" s="431"/>
      <c r="K9" s="445"/>
    </row>
    <row r="10" spans="1:11" ht="15" customHeight="1">
      <c r="A10" s="185">
        <f>VLOOKUP(linkki,väestö2,3,FALSE)</f>
        <v>5503664</v>
      </c>
      <c r="B10" s="145"/>
      <c r="C10" s="46"/>
      <c r="D10" s="33"/>
      <c r="E10" s="33"/>
      <c r="F10" s="33"/>
      <c r="G10" s="33"/>
      <c r="H10" s="33"/>
      <c r="I10" s="33"/>
      <c r="J10" s="431"/>
      <c r="K10" s="445"/>
    </row>
    <row r="11" spans="2:11" ht="12.75">
      <c r="B11" s="56" t="e">
        <f>B12/$B$12</f>
        <v>#DIV/0!</v>
      </c>
      <c r="C11" s="56" t="e">
        <f>C12/$B$12</f>
        <v>#DIV/0!</v>
      </c>
      <c r="D11" s="56" t="e">
        <f>D12/$B$12</f>
        <v>#DIV/0!</v>
      </c>
      <c r="E11" s="56"/>
      <c r="F11" s="56"/>
      <c r="G11" s="56"/>
      <c r="H11" s="56"/>
      <c r="J11" s="70"/>
      <c r="K11" s="170"/>
    </row>
    <row r="12" spans="1:11" s="7" customFormat="1" ht="12.75">
      <c r="A12" s="7" t="s">
        <v>521</v>
      </c>
      <c r="B12" s="55">
        <f>SUM(B13:B18)</f>
        <v>0</v>
      </c>
      <c r="C12" s="55">
        <f>SUM(C13:C18)</f>
        <v>0</v>
      </c>
      <c r="D12" s="55">
        <f>B12-C12</f>
        <v>0</v>
      </c>
      <c r="E12" s="55"/>
      <c r="F12" s="55"/>
      <c r="G12" s="55"/>
      <c r="H12" s="55"/>
      <c r="I12" s="5"/>
      <c r="J12" s="431"/>
      <c r="K12" s="432"/>
    </row>
    <row r="13" spans="1:11" ht="15" customHeight="1">
      <c r="A13" s="31" t="s">
        <v>433</v>
      </c>
      <c r="B13" s="146"/>
      <c r="C13" s="119"/>
      <c r="D13" s="8"/>
      <c r="E13" s="8"/>
      <c r="F13" s="8"/>
      <c r="G13" s="8"/>
      <c r="H13" s="8"/>
      <c r="J13" s="431"/>
      <c r="K13" s="432"/>
    </row>
    <row r="14" spans="1:11" ht="15" customHeight="1">
      <c r="A14" s="31" t="s">
        <v>432</v>
      </c>
      <c r="B14" s="57"/>
      <c r="C14" s="77"/>
      <c r="D14" s="176"/>
      <c r="E14" s="8"/>
      <c r="F14" s="8"/>
      <c r="G14" s="8"/>
      <c r="H14" s="8"/>
      <c r="J14" s="431"/>
      <c r="K14" s="432"/>
    </row>
    <row r="15" spans="1:11" ht="12.75">
      <c r="A15" s="31" t="s">
        <v>434</v>
      </c>
      <c r="B15" s="57"/>
      <c r="C15" s="77"/>
      <c r="D15" s="8"/>
      <c r="E15" s="8"/>
      <c r="F15" s="8"/>
      <c r="G15" s="8"/>
      <c r="H15" s="8"/>
      <c r="J15" s="431"/>
      <c r="K15" s="432"/>
    </row>
    <row r="16" spans="1:11" ht="12.75">
      <c r="A16" s="31" t="s">
        <v>435</v>
      </c>
      <c r="B16" s="57"/>
      <c r="C16" s="77"/>
      <c r="D16" s="169"/>
      <c r="E16" s="8"/>
      <c r="F16" s="8"/>
      <c r="G16" s="8"/>
      <c r="H16" s="8"/>
      <c r="J16" s="431"/>
      <c r="K16" s="432"/>
    </row>
    <row r="17" spans="1:11" ht="15" customHeight="1">
      <c r="A17" s="5" t="s">
        <v>24</v>
      </c>
      <c r="B17" s="57"/>
      <c r="C17" s="75"/>
      <c r="D17" s="8"/>
      <c r="E17" s="8"/>
      <c r="F17" s="8"/>
      <c r="G17" s="8"/>
      <c r="H17" s="8"/>
      <c r="J17" s="230"/>
      <c r="K17" s="173"/>
    </row>
    <row r="18" spans="1:11" ht="15" customHeight="1">
      <c r="A18" s="5" t="s">
        <v>9</v>
      </c>
      <c r="B18" s="58"/>
      <c r="C18" s="74"/>
      <c r="D18" s="8"/>
      <c r="E18" s="8"/>
      <c r="F18" s="8"/>
      <c r="G18" s="8"/>
      <c r="H18" s="8"/>
      <c r="J18" s="173"/>
      <c r="K18" s="173"/>
    </row>
    <row r="19" spans="2:11" ht="16.5" customHeight="1">
      <c r="B19" s="56" t="e">
        <f>B20/$B$20</f>
        <v>#DIV/0!</v>
      </c>
      <c r="C19" s="56" t="e">
        <f>C20/$B$20</f>
        <v>#DIV/0!</v>
      </c>
      <c r="D19" s="56" t="e">
        <f>D20/$B$20</f>
        <v>#DIV/0!</v>
      </c>
      <c r="E19" s="56"/>
      <c r="F19" s="56"/>
      <c r="G19" s="56"/>
      <c r="H19" s="56"/>
      <c r="J19" s="180"/>
      <c r="K19" s="180"/>
    </row>
    <row r="20" spans="1:11" s="7" customFormat="1" ht="15.75" customHeight="1">
      <c r="A20" s="7" t="s">
        <v>522</v>
      </c>
      <c r="B20" s="387">
        <f>B21+B24+B25+B26+B27</f>
        <v>0</v>
      </c>
      <c r="C20" s="387">
        <f>C21+C24+C25+C26+C27</f>
        <v>0</v>
      </c>
      <c r="D20" s="55">
        <f>B20-C20</f>
        <v>0</v>
      </c>
      <c r="E20" s="55"/>
      <c r="F20" s="55"/>
      <c r="G20" s="55"/>
      <c r="H20" s="55"/>
      <c r="I20" s="5"/>
      <c r="J20" s="447"/>
      <c r="K20" s="448"/>
    </row>
    <row r="21" spans="1:11" s="7" customFormat="1" ht="15" customHeight="1">
      <c r="A21" s="31" t="s">
        <v>541</v>
      </c>
      <c r="B21" s="57">
        <f>B22+B23</f>
        <v>0</v>
      </c>
      <c r="C21" s="57">
        <f>C22+C23</f>
        <v>0</v>
      </c>
      <c r="D21" s="45"/>
      <c r="E21" s="45"/>
      <c r="F21" s="45"/>
      <c r="G21" s="45"/>
      <c r="H21" s="45"/>
      <c r="J21" s="446"/>
      <c r="K21" s="432"/>
    </row>
    <row r="22" spans="1:11" ht="15" customHeight="1">
      <c r="A22" s="59" t="s">
        <v>436</v>
      </c>
      <c r="B22" s="57"/>
      <c r="C22" s="119"/>
      <c r="D22" s="45"/>
      <c r="E22" s="45"/>
      <c r="F22" s="45"/>
      <c r="G22" s="45"/>
      <c r="H22" s="45"/>
      <c r="J22" s="431"/>
      <c r="K22" s="432"/>
    </row>
    <row r="23" spans="1:13" ht="15" customHeight="1">
      <c r="A23" s="59" t="s">
        <v>437</v>
      </c>
      <c r="B23" s="57"/>
      <c r="C23" s="75"/>
      <c r="D23" s="45"/>
      <c r="E23" s="296"/>
      <c r="F23" s="45"/>
      <c r="G23" s="45"/>
      <c r="H23" s="45"/>
      <c r="J23" s="431"/>
      <c r="K23" s="432"/>
      <c r="M23" s="68"/>
    </row>
    <row r="24" spans="1:11" ht="12.75">
      <c r="A24" s="31" t="s">
        <v>438</v>
      </c>
      <c r="B24" s="57"/>
      <c r="C24" s="75"/>
      <c r="D24" s="45"/>
      <c r="E24" s="293"/>
      <c r="F24" s="45"/>
      <c r="G24" s="45"/>
      <c r="H24" s="45"/>
      <c r="J24" s="431"/>
      <c r="K24" s="432"/>
    </row>
    <row r="25" spans="1:11" ht="15" customHeight="1">
      <c r="A25" s="31" t="s">
        <v>439</v>
      </c>
      <c r="B25" s="57"/>
      <c r="C25" s="75"/>
      <c r="D25" s="45"/>
      <c r="E25" s="45"/>
      <c r="F25" s="45"/>
      <c r="G25" s="45"/>
      <c r="H25" s="45"/>
      <c r="J25" s="431"/>
      <c r="K25" s="432"/>
    </row>
    <row r="26" spans="1:11" ht="12.75">
      <c r="A26" s="31" t="s">
        <v>440</v>
      </c>
      <c r="B26" s="57"/>
      <c r="C26" s="75"/>
      <c r="D26" s="45"/>
      <c r="E26" s="45"/>
      <c r="F26" s="45"/>
      <c r="G26" s="45"/>
      <c r="H26" s="45"/>
      <c r="J26" s="431"/>
      <c r="K26" s="432"/>
    </row>
    <row r="27" spans="1:11" ht="12.75">
      <c r="A27" s="31" t="s">
        <v>441</v>
      </c>
      <c r="B27" s="57"/>
      <c r="C27" s="76"/>
      <c r="D27" s="45"/>
      <c r="E27" s="45"/>
      <c r="F27" s="45"/>
      <c r="G27" s="45"/>
      <c r="H27" s="45"/>
      <c r="J27" s="431"/>
      <c r="K27" s="432"/>
    </row>
    <row r="28" spans="2:11" ht="15" customHeight="1">
      <c r="B28" s="56">
        <f>B29/$B$29</f>
        <v>1</v>
      </c>
      <c r="C28" s="56">
        <f>C29/$B$29</f>
        <v>0.6296942411729384</v>
      </c>
      <c r="D28" s="56">
        <f>D29/$B$29</f>
        <v>0.37030575882706157</v>
      </c>
      <c r="E28" s="56"/>
      <c r="F28" s="56"/>
      <c r="G28" s="56"/>
      <c r="H28" s="56"/>
      <c r="J28" s="437"/>
      <c r="K28" s="438"/>
    </row>
    <row r="29" spans="1:11" s="7" customFormat="1" ht="15.75" customHeight="1">
      <c r="A29" s="104" t="s">
        <v>0</v>
      </c>
      <c r="B29" s="373">
        <f>IF(B12*B20=0,VLOOKUP(linkki,alue5,17,FALSE)*-0.001+VLOOKUP(linkki,alue5,44,FALSE),B12+B20)-B32-B35</f>
        <v>-32787033.76182001</v>
      </c>
      <c r="C29" s="373">
        <f>IF(C12*C20=0,VLOOKUP(linkki,alue5,38,FALSE)*-0.001+VLOOKUP(linkki,alue5,47,FALSE),(C12+C20))+C30-B32</f>
        <v>-20645806.344960764</v>
      </c>
      <c r="D29" s="373">
        <f>B29-C29</f>
        <v>-12141227.416859247</v>
      </c>
      <c r="E29" s="373">
        <f>IF($A$31="toimintakatteen painelaskelma: ei käytössä",D29,D29*VLOOKUP(linkki,paineprosentit,9,FALSE))</f>
        <v>-12141227.416859247</v>
      </c>
      <c r="F29" s="373">
        <f>IF(A31="toimintakatteen painelaskelma: ei käytössä",E29,E29*VLOOKUP(linkki,paineprosentit,10,FALSE))</f>
        <v>-12141227.416859247</v>
      </c>
      <c r="G29" s="373">
        <f>IF(A31="toimintakatteen painelaskelma: ei käytössä",F29,F29*VLOOKUP(linkki,paineprosentit,11,FALSE))</f>
        <v>-12141227.416859247</v>
      </c>
      <c r="H29" s="373">
        <f>IF(A31="toimintakatteen painelaskelma: ei käytössä",G29,G29*VLOOKUP(linkki,paineprosentit,12,FALSE))</f>
        <v>-12141227.416859247</v>
      </c>
      <c r="I29" s="104"/>
      <c r="J29" s="431"/>
      <c r="K29" s="432"/>
    </row>
    <row r="30" spans="1:11" s="7" customFormat="1" ht="12" customHeight="1">
      <c r="A30" s="295" t="s">
        <v>617</v>
      </c>
      <c r="B30" s="291"/>
      <c r="C30" s="382">
        <f>VLOOKUP(linkki,alue5,13,FALSE)*-0.001</f>
        <v>-69999.99999999999</v>
      </c>
      <c r="D30" s="291"/>
      <c r="E30" s="291"/>
      <c r="F30" s="291"/>
      <c r="G30" s="291"/>
      <c r="H30" s="291"/>
      <c r="I30" s="104"/>
      <c r="J30" s="276"/>
      <c r="K30" s="317"/>
    </row>
    <row r="31" spans="1:11" s="7" customFormat="1" ht="12.75" customHeight="1">
      <c r="A31" s="409" t="s">
        <v>605</v>
      </c>
      <c r="B31" s="167"/>
      <c r="C31" s="228"/>
      <c r="D31" s="167"/>
      <c r="E31" s="242">
        <f>IF($A$31="toimintakatteen painelaskelma: ei käytössä","","+"&amp;ROUND((VLOOKUP(linkki,paineprosentit,9,FALSE)-1)*100,2)&amp;"%")</f>
      </c>
      <c r="F31" s="242">
        <f>IF($A$31="toimintakatteen painelaskelma: ei käytössä","","+"&amp;ROUND((VLOOKUP(linkki,paineprosentit,10,FALSE)-1)*100,2)&amp;"%")</f>
      </c>
      <c r="G31" s="242">
        <f>IF($A$31="toimintakatteen painelaskelma: ei käytössä","","+"&amp;ROUND((VLOOKUP(linkki,paineprosentit,11,FALSE)-1)*100,2)&amp;"%")</f>
      </c>
      <c r="H31" s="242">
        <f>IF($A$31="toimintakatteen painelaskelma: ei käytössä","","+"&amp;ROUND((VLOOKUP(linkki,paineprosentit,12,FALSE)-1)*100,2)&amp;"%")</f>
      </c>
      <c r="I31" s="166"/>
      <c r="J31" s="431"/>
      <c r="K31" s="444"/>
    </row>
    <row r="32" spans="1:11" s="7" customFormat="1" ht="12.75" customHeight="1">
      <c r="A32" s="391" t="s">
        <v>664</v>
      </c>
      <c r="B32" s="424"/>
      <c r="C32" s="392" t="s">
        <v>676</v>
      </c>
      <c r="D32" s="393"/>
      <c r="E32" s="393"/>
      <c r="F32" s="394"/>
      <c r="G32" s="294"/>
      <c r="H32" s="294"/>
      <c r="I32" s="166"/>
      <c r="J32" s="374"/>
      <c r="K32" s="239"/>
    </row>
    <row r="33" spans="1:11" s="7" customFormat="1" ht="12.75" customHeight="1">
      <c r="A33" s="401" t="s">
        <v>665</v>
      </c>
      <c r="B33" s="294"/>
      <c r="C33" s="395" t="s">
        <v>672</v>
      </c>
      <c r="D33" s="396"/>
      <c r="E33" s="396"/>
      <c r="F33" s="397"/>
      <c r="G33" s="294"/>
      <c r="H33" s="294"/>
      <c r="I33" s="166"/>
      <c r="J33" s="374"/>
      <c r="K33" s="374"/>
    </row>
    <row r="34" spans="1:11" s="7" customFormat="1" ht="12.75" customHeight="1">
      <c r="A34" s="167"/>
      <c r="B34" s="294"/>
      <c r="C34" s="398" t="s">
        <v>671</v>
      </c>
      <c r="D34" s="399"/>
      <c r="E34" s="399"/>
      <c r="F34" s="400"/>
      <c r="G34" s="294"/>
      <c r="H34" s="294"/>
      <c r="I34" s="166"/>
      <c r="J34" s="374"/>
      <c r="K34" s="374"/>
    </row>
    <row r="35" spans="1:11" s="7" customFormat="1" ht="12.75" customHeight="1">
      <c r="A35" s="391" t="s">
        <v>674</v>
      </c>
      <c r="B35" s="410"/>
      <c r="C35" s="413" t="s">
        <v>675</v>
      </c>
      <c r="D35" s="411"/>
      <c r="E35" s="411"/>
      <c r="F35" s="412"/>
      <c r="G35" s="294"/>
      <c r="H35" s="294"/>
      <c r="I35" s="166"/>
      <c r="J35" s="403"/>
      <c r="K35" s="403"/>
    </row>
    <row r="36" spans="1:11" s="7" customFormat="1" ht="12.75" customHeight="1">
      <c r="A36" s="391"/>
      <c r="I36" s="166"/>
      <c r="J36" s="414"/>
      <c r="K36" s="414"/>
    </row>
    <row r="37" spans="1:11" s="7" customFormat="1" ht="12.75" customHeight="1">
      <c r="A37" s="401"/>
      <c r="I37" s="166"/>
      <c r="J37" s="403"/>
      <c r="K37" s="403"/>
    </row>
    <row r="38" spans="2:11" s="7" customFormat="1" ht="15.75" customHeight="1">
      <c r="B38" s="423" t="s">
        <v>449</v>
      </c>
      <c r="C38" s="423"/>
      <c r="D38" s="423" t="s">
        <v>103</v>
      </c>
      <c r="E38" s="423" t="s">
        <v>103</v>
      </c>
      <c r="F38" s="423" t="s">
        <v>103</v>
      </c>
      <c r="G38" s="423" t="s">
        <v>103</v>
      </c>
      <c r="H38" s="423" t="s">
        <v>103</v>
      </c>
      <c r="I38" s="104"/>
      <c r="J38" s="252"/>
      <c r="K38" s="253"/>
    </row>
    <row r="39" spans="1:11" s="7" customFormat="1" ht="15.75" customHeight="1">
      <c r="A39" s="165" t="s">
        <v>574</v>
      </c>
      <c r="B39" s="423" t="s">
        <v>104</v>
      </c>
      <c r="C39" s="423" t="s">
        <v>431</v>
      </c>
      <c r="D39" s="423" t="s">
        <v>578</v>
      </c>
      <c r="E39" s="423" t="s">
        <v>579</v>
      </c>
      <c r="F39" s="423" t="s">
        <v>660</v>
      </c>
      <c r="G39" s="423" t="s">
        <v>661</v>
      </c>
      <c r="H39" s="423" t="s">
        <v>662</v>
      </c>
      <c r="I39" s="104"/>
      <c r="J39" s="252"/>
      <c r="K39" s="253"/>
    </row>
    <row r="40" spans="1:11" ht="12.75">
      <c r="A40" s="409" t="s">
        <v>656</v>
      </c>
      <c r="B40" s="56">
        <f>B41/$B$41</f>
        <v>1</v>
      </c>
      <c r="C40" s="56">
        <f>C41/$B$41</f>
        <v>0.5351114538460234</v>
      </c>
      <c r="D40" s="56">
        <f>D41/$B$41</f>
        <v>0.4648885461539766</v>
      </c>
      <c r="E40" s="168"/>
      <c r="F40" s="168"/>
      <c r="G40" s="168"/>
      <c r="H40" s="168"/>
      <c r="J40" s="431"/>
      <c r="K40" s="432"/>
    </row>
    <row r="41" spans="1:11" ht="24.75" customHeight="1">
      <c r="A41" s="7" t="s">
        <v>1</v>
      </c>
      <c r="B41" s="381">
        <f aca="true" t="shared" si="0" ref="B41:H41">SUM(B42:B44)</f>
        <v>25256765.50520458</v>
      </c>
      <c r="C41" s="416">
        <f t="shared" si="0"/>
        <v>13515184.508938117</v>
      </c>
      <c r="D41" s="381">
        <f t="shared" si="0"/>
        <v>11741580.996266464</v>
      </c>
      <c r="E41" s="381">
        <f t="shared" si="0"/>
        <v>11741580.996266464</v>
      </c>
      <c r="F41" s="381">
        <f t="shared" si="0"/>
        <v>11741580.996266464</v>
      </c>
      <c r="G41" s="381">
        <f t="shared" si="0"/>
        <v>11741580.996266464</v>
      </c>
      <c r="H41" s="381">
        <f t="shared" si="0"/>
        <v>11741580.996266464</v>
      </c>
      <c r="J41" s="440"/>
      <c r="K41" s="444"/>
    </row>
    <row r="42" spans="1:11" ht="24" customHeight="1">
      <c r="A42" s="5" t="s">
        <v>443</v>
      </c>
      <c r="B42" s="158">
        <f>IF(A40="Maksuunpannut verot (VM:n siirtolaskelman mukaan)",VLOOKUP(linkki,alue5,18,FALSE)*0.001,VLOOKUP(linkki,vero4,5,FALSE))</f>
        <v>21206183.053433087</v>
      </c>
      <c r="C42" s="417">
        <f>(D42-B42)*-1</f>
        <v>12841006.621969983</v>
      </c>
      <c r="D42" s="158">
        <f>IF($A$40="maksuunpannut verot (VM:n siirtolaskelman mukaan)",VLOOKUP(linkki,alue5,5,FALSE)*0.001,VLOOKUP(linkki,vero4,6,FALSE))</f>
        <v>8365176.431463104</v>
      </c>
      <c r="E42" s="158">
        <f>IF($A$40="maksuunpannut verot (VM:n siirtolaskelman mukaan)",D42,VLOOKUP(linkki,vero4,7,FALSE))</f>
        <v>8365176.431463104</v>
      </c>
      <c r="F42" s="158">
        <f aca="true" t="shared" si="1" ref="F42:H44">E42</f>
        <v>8365176.431463104</v>
      </c>
      <c r="G42" s="158">
        <f t="shared" si="1"/>
        <v>8365176.431463104</v>
      </c>
      <c r="H42" s="158">
        <f t="shared" si="1"/>
        <v>8365176.431463104</v>
      </c>
      <c r="I42" s="160"/>
      <c r="J42" s="440"/>
      <c r="K42" s="441"/>
    </row>
    <row r="43" spans="1:11" ht="12.75">
      <c r="A43" s="5" t="s">
        <v>444</v>
      </c>
      <c r="B43" s="158">
        <f>IF(A40="Maksuunpannut verot (VM:n siirtolaskelman mukaan)",VLOOKUP(linkki,alue5,19,FALSE)*0.001,VLOOKUP(linkki,vero4,10,FALSE))</f>
        <v>2022533.6609043942</v>
      </c>
      <c r="C43" s="417">
        <f>(D43-B43)*-1</f>
        <v>674177.8869681335</v>
      </c>
      <c r="D43" s="158">
        <f>IF($A$40="Maksuunpannut verot (VM:n siirtolaskelman mukaan)",VLOOKUP(linkki,alue5,7,FALSE)*0.001,VLOOKUP(linkki,vero4,11,FALSE))</f>
        <v>1348355.7739362607</v>
      </c>
      <c r="E43" s="158">
        <f>IF($A$40="Maksuunpannut verot (VM:n siirtolaskelman mukaan)",D43,VLOOKUP(linkki,vero4,12,FALSE))</f>
        <v>1348355.7739362607</v>
      </c>
      <c r="F43" s="158">
        <f t="shared" si="1"/>
        <v>1348355.7739362607</v>
      </c>
      <c r="G43" s="158">
        <f t="shared" si="1"/>
        <v>1348355.7739362607</v>
      </c>
      <c r="H43" s="158">
        <f t="shared" si="1"/>
        <v>1348355.7739362607</v>
      </c>
      <c r="J43" s="441"/>
      <c r="K43" s="441"/>
    </row>
    <row r="44" spans="1:11" ht="12.75">
      <c r="A44" s="5" t="s">
        <v>565</v>
      </c>
      <c r="B44" s="158">
        <f>IF(A40="Maksuunpannut verot (VM:n siirtolaskelman mukaan)",VLOOKUP(linkki,alue5,6,FALSE)*0.001,VLOOKUP(linkki,vero4,15,FALSE))</f>
        <v>2028048.7908670995</v>
      </c>
      <c r="C44" s="417"/>
      <c r="D44" s="158">
        <f>IF($A$40="Maksuunpannut verot (VM:n siirtolaskelman mukaan)",VLOOKUP(linkki,alue5,6,FALSE)*0.001,VLOOKUP(linkki,vero4,16,FALSE))</f>
        <v>2028048.7908670995</v>
      </c>
      <c r="E44" s="158">
        <f>IF($A$40="Maksuunpannut verot (VM:n siirtolaskelman mukaan)",D44,VLOOKUP(linkki,vero4,17,FALSE))</f>
        <v>2028048.7908670995</v>
      </c>
      <c r="F44" s="158">
        <f t="shared" si="1"/>
        <v>2028048.7908670995</v>
      </c>
      <c r="G44" s="158">
        <f t="shared" si="1"/>
        <v>2028048.7908670995</v>
      </c>
      <c r="H44" s="158">
        <f t="shared" si="1"/>
        <v>2028048.7908670995</v>
      </c>
      <c r="J44" s="431"/>
      <c r="K44" s="432"/>
    </row>
    <row r="45" spans="2:11" s="32" customFormat="1" ht="15" customHeight="1">
      <c r="B45" s="56"/>
      <c r="C45" s="56"/>
      <c r="D45" s="56"/>
      <c r="E45" s="229"/>
      <c r="J45" s="431"/>
      <c r="K45" s="432"/>
    </row>
    <row r="46" spans="1:11" ht="24" customHeight="1">
      <c r="A46" s="7" t="s">
        <v>2</v>
      </c>
      <c r="B46" s="381">
        <f aca="true" t="shared" si="2" ref="B46:H46">SUM(B47:B51)</f>
        <v>10462300.440720022</v>
      </c>
      <c r="C46" s="416">
        <f t="shared" si="2"/>
        <v>7163232.317028437</v>
      </c>
      <c r="D46" s="381">
        <f>SUM(D47:D51)</f>
        <v>3295271.6944147847</v>
      </c>
      <c r="E46" s="381">
        <f t="shared" si="2"/>
        <v>3295271.69441478</v>
      </c>
      <c r="F46" s="381">
        <f t="shared" si="2"/>
        <v>3295271.69441478</v>
      </c>
      <c r="G46" s="381">
        <f t="shared" si="2"/>
        <v>3295271.69441478</v>
      </c>
      <c r="H46" s="381">
        <f t="shared" si="2"/>
        <v>3295271.69441478</v>
      </c>
      <c r="J46" s="234"/>
      <c r="K46" s="252"/>
    </row>
    <row r="47" spans="1:11" ht="12.75">
      <c r="A47" s="385" t="s">
        <v>658</v>
      </c>
      <c r="B47" s="158">
        <f>VLOOKUP(linkki,alue5,20,FALSE)*0.001</f>
        <v>7921699.138716408</v>
      </c>
      <c r="C47" s="417">
        <f>VLOOKUP(linkki,alue5,37,FALSE)*0.001</f>
        <v>5323632.306528436</v>
      </c>
      <c r="D47" s="158">
        <f>VLOOKUP(linkki,alue5,8,FALSE)*0.001</f>
        <v>2598066.832187967</v>
      </c>
      <c r="E47" s="158">
        <f aca="true" t="shared" si="3" ref="E47:H49">D47</f>
        <v>2598066.832187967</v>
      </c>
      <c r="F47" s="158">
        <f t="shared" si="3"/>
        <v>2598066.832187967</v>
      </c>
      <c r="G47" s="158">
        <f t="shared" si="3"/>
        <v>2598066.832187967</v>
      </c>
      <c r="H47" s="158">
        <f t="shared" si="3"/>
        <v>2598066.832187967</v>
      </c>
      <c r="J47" s="433"/>
      <c r="K47" s="434"/>
    </row>
    <row r="48" spans="1:11" ht="12.75">
      <c r="A48" s="385" t="s">
        <v>659</v>
      </c>
      <c r="B48" s="158">
        <f>VLOOKUP(linkki,alue5,21,FALSE)*0.001</f>
        <v>2600900.015003614</v>
      </c>
      <c r="C48" s="417">
        <f>VLOOKUP(linkki,alue5,50,FALSE)</f>
        <v>1839600.0105000006</v>
      </c>
      <c r="D48" s="158">
        <f>VLOOKUP(linkki,alue5,9,FALSE)*0.001</f>
        <v>761300.0045036135</v>
      </c>
      <c r="E48" s="158">
        <f>D48</f>
        <v>761300.0045036135</v>
      </c>
      <c r="F48" s="158">
        <f>E48</f>
        <v>761300.0045036135</v>
      </c>
      <c r="G48" s="158">
        <f>F48</f>
        <v>761300.0045036135</v>
      </c>
      <c r="H48" s="158">
        <f>G48</f>
        <v>761300.0045036135</v>
      </c>
      <c r="J48" s="375"/>
      <c r="K48" s="376"/>
    </row>
    <row r="49" spans="1:11" ht="12.75">
      <c r="A49" s="383" t="s">
        <v>657</v>
      </c>
      <c r="B49" s="158">
        <f>VLOOKUP(linkki,alue5,11,FALSE)*0.001</f>
        <v>-60298.713</v>
      </c>
      <c r="C49" s="158"/>
      <c r="D49" s="158">
        <f>VLOOKUP(linkki,alue5,11,FALSE)*0.001</f>
        <v>-60298.713</v>
      </c>
      <c r="E49" s="158">
        <f t="shared" si="3"/>
        <v>-60298.713</v>
      </c>
      <c r="F49" s="158">
        <f t="shared" si="3"/>
        <v>-60298.713</v>
      </c>
      <c r="G49" s="158">
        <f t="shared" si="3"/>
        <v>-60298.713</v>
      </c>
      <c r="H49" s="158">
        <f t="shared" si="3"/>
        <v>-60298.713</v>
      </c>
      <c r="J49" s="435"/>
      <c r="K49" s="436"/>
    </row>
    <row r="50" spans="1:11" ht="12.75">
      <c r="A50" s="383" t="s">
        <v>614</v>
      </c>
      <c r="B50" s="181"/>
      <c r="C50" s="158"/>
      <c r="D50" s="158">
        <f>Muutosrajoitin!$I$25</f>
        <v>-3796.429276800318</v>
      </c>
      <c r="E50" s="158">
        <f>Muutosrajoitin!$I$25</f>
        <v>-3796.429276800318</v>
      </c>
      <c r="F50" s="158">
        <f>Muutosrajoitin!$I$25</f>
        <v>-3796.429276800318</v>
      </c>
      <c r="G50" s="158">
        <f>Muutosrajoitin!$I$25</f>
        <v>-3796.429276800318</v>
      </c>
      <c r="H50" s="158">
        <f>Muutosrajoitin!$I$25</f>
        <v>-3796.429276800318</v>
      </c>
      <c r="J50" s="433"/>
      <c r="K50" s="434"/>
    </row>
    <row r="51" spans="1:11" ht="12.75">
      <c r="A51" s="384" t="s">
        <v>615</v>
      </c>
      <c r="B51" s="181"/>
      <c r="C51" s="158"/>
      <c r="D51" s="158">
        <f>'VMn tiedot (12_5_2021)'!BH18*Tuloslaskelma!$A$10*0.001</f>
        <v>4.692706170317252E-09</v>
      </c>
      <c r="E51" s="158">
        <f>'VMn tiedot (12_5_2021)'!BI18*Tuloslaskelma!$A$10*0.001</f>
        <v>0</v>
      </c>
      <c r="F51" s="158">
        <f>'VMn tiedot (12_5_2021)'!BJ18*Tuloslaskelma!$A$10*0.001</f>
        <v>0</v>
      </c>
      <c r="G51" s="158">
        <f>'VMn tiedot (12_5_2021)'!BK18*Tuloslaskelma!$A$10*0.001</f>
        <v>0</v>
      </c>
      <c r="H51" s="158">
        <f>'VMn tiedot (12_5_2021)'!BL18*Tuloslaskelma!$A$10*0.001</f>
        <v>0</v>
      </c>
      <c r="J51" s="439"/>
      <c r="K51" s="439"/>
    </row>
    <row r="52" spans="1:11" ht="18.75" customHeight="1">
      <c r="A52" s="71"/>
      <c r="B52" s="52"/>
      <c r="C52" s="52"/>
      <c r="D52" s="297"/>
      <c r="E52" s="297"/>
      <c r="F52" s="297"/>
      <c r="G52" s="297"/>
      <c r="H52" s="297"/>
      <c r="J52" s="437"/>
      <c r="K52" s="438"/>
    </row>
    <row r="53" spans="1:11" ht="15" customHeight="1">
      <c r="A53" s="7" t="s">
        <v>566</v>
      </c>
      <c r="B53" s="381">
        <f>IF(B54+B55+B56+B57+B58=0,VLOOKUP(linkki,alue5,12,FALSE)*0.001,B54+B55+B56+B57+B58)</f>
        <v>336872.10123000003</v>
      </c>
      <c r="C53" s="418">
        <f>SUM(C54:C58)</f>
        <v>0</v>
      </c>
      <c r="D53" s="381">
        <f>IF(D54+D55+D56+D57+D58=0,VLOOKUP(linkki,alue5,12,FALSE)*0.001,D54+D55+D56+D57+D58)</f>
        <v>336872.10123000003</v>
      </c>
      <c r="E53" s="381">
        <f>IF(E54+E55+E56+E57+E58=0,VLOOKUP(linkki,alue5,12,FALSE)*0.001,E54+E55+E56+E57+E58)</f>
        <v>336872.10123000003</v>
      </c>
      <c r="F53" s="381">
        <f>IF(F54+F55+F56+F57+F58=0,VLOOKUP(linkki,alue5,12,FALSE)*0.001,F54+F55+F56+F57+F58)</f>
        <v>336872.10123000003</v>
      </c>
      <c r="G53" s="381">
        <f>IF(G54+G55+G56+G57+G58=0,VLOOKUP(linkki,alue5,12,FALSE)*0.001,G54+G55+G56+G57+G58)</f>
        <v>336872.10123000003</v>
      </c>
      <c r="H53" s="381">
        <f>IF(H54+H55+H56+H57+H58=0,VLOOKUP(linkki,alue5,12,FALSE)*0.001,H54+H55+H56+H57+H58)</f>
        <v>336872.10123000003</v>
      </c>
      <c r="J53" s="437"/>
      <c r="K53" s="438"/>
    </row>
    <row r="54" spans="1:11" ht="15" customHeight="1">
      <c r="A54" s="163" t="s">
        <v>560</v>
      </c>
      <c r="B54" s="181"/>
      <c r="C54" s="419"/>
      <c r="D54" s="181"/>
      <c r="E54" s="181"/>
      <c r="F54" s="181"/>
      <c r="G54" s="181"/>
      <c r="H54" s="181"/>
      <c r="J54" s="431"/>
      <c r="K54" s="432"/>
    </row>
    <row r="55" spans="1:11" ht="12.75">
      <c r="A55" s="163" t="s">
        <v>559</v>
      </c>
      <c r="B55" s="181"/>
      <c r="C55" s="419"/>
      <c r="D55" s="181"/>
      <c r="E55" s="181"/>
      <c r="F55" s="181"/>
      <c r="G55" s="181"/>
      <c r="H55" s="181"/>
      <c r="J55" s="431"/>
      <c r="K55" s="432"/>
    </row>
    <row r="56" spans="1:11" ht="12.75">
      <c r="A56" s="163" t="s">
        <v>561</v>
      </c>
      <c r="B56" s="181"/>
      <c r="C56" s="419"/>
      <c r="D56" s="181"/>
      <c r="E56" s="181"/>
      <c r="F56" s="181"/>
      <c r="G56" s="181"/>
      <c r="H56" s="181"/>
      <c r="J56" s="437"/>
      <c r="K56" s="438"/>
    </row>
    <row r="57" spans="1:11" ht="15" customHeight="1">
      <c r="A57" s="163" t="s">
        <v>562</v>
      </c>
      <c r="B57" s="181"/>
      <c r="C57" s="419"/>
      <c r="D57" s="181"/>
      <c r="E57" s="181"/>
      <c r="F57" s="181"/>
      <c r="G57" s="181"/>
      <c r="H57" s="181"/>
      <c r="J57" s="437"/>
      <c r="K57" s="438"/>
    </row>
    <row r="58" spans="1:11" ht="15" customHeight="1">
      <c r="A58" s="163" t="s">
        <v>563</v>
      </c>
      <c r="B58" s="181"/>
      <c r="C58" s="420"/>
      <c r="D58" s="181"/>
      <c r="E58" s="181"/>
      <c r="F58" s="181"/>
      <c r="G58" s="181"/>
      <c r="H58" s="181"/>
      <c r="J58" s="437"/>
      <c r="K58" s="438"/>
    </row>
    <row r="59" spans="2:11" ht="12.75">
      <c r="B59" s="53"/>
      <c r="C59" s="8"/>
      <c r="D59" s="8"/>
      <c r="E59" s="8"/>
      <c r="F59" s="8"/>
      <c r="G59" s="8"/>
      <c r="H59" s="8"/>
      <c r="J59" s="431"/>
      <c r="K59" s="432"/>
    </row>
    <row r="60" spans="1:11" s="7" customFormat="1" ht="15" customHeight="1">
      <c r="A60" s="7" t="s">
        <v>3</v>
      </c>
      <c r="B60" s="55">
        <f>B29+B41+B46+B53</f>
        <v>3268904.2853345918</v>
      </c>
      <c r="C60" s="55"/>
      <c r="D60" s="55">
        <f>D29+D41+D46+D53</f>
        <v>3232497.375052002</v>
      </c>
      <c r="E60" s="55">
        <f>E29+E41+E46+E53</f>
        <v>3232497.375051997</v>
      </c>
      <c r="F60" s="55">
        <f>F29+F41+F46+F53</f>
        <v>3232497.375051997</v>
      </c>
      <c r="G60" s="55">
        <f>G29+G41+G46+G53</f>
        <v>3232497.375051997</v>
      </c>
      <c r="H60" s="55">
        <f>H29+H41+H46+H53</f>
        <v>3232497.375051997</v>
      </c>
      <c r="J60" s="432"/>
      <c r="K60" s="432"/>
    </row>
    <row r="61" spans="2:11" ht="27" customHeight="1">
      <c r="B61" s="56">
        <f>B62/$B$62</f>
        <v>1</v>
      </c>
      <c r="C61" s="56">
        <f>C62/$B$62</f>
        <v>0.025585444925132008</v>
      </c>
      <c r="D61" s="56">
        <f>D62/$B$62</f>
        <v>0.974414555074868</v>
      </c>
      <c r="J61" s="432"/>
      <c r="K61" s="432"/>
    </row>
    <row r="62" spans="1:11" ht="12.75">
      <c r="A62" s="5" t="s">
        <v>10</v>
      </c>
      <c r="B62" s="373">
        <f>-VLOOKUP(linkki,alue5,44,FALSE)</f>
        <v>-2305725</v>
      </c>
      <c r="C62" s="387">
        <f>-VLOOKUP(linkki,alue5,47,FALSE)</f>
        <v>-58993</v>
      </c>
      <c r="D62" s="373">
        <f>B62-C62</f>
        <v>-2246732</v>
      </c>
      <c r="E62" s="373">
        <f>D62</f>
        <v>-2246732</v>
      </c>
      <c r="F62" s="373">
        <f>E62</f>
        <v>-2246732</v>
      </c>
      <c r="G62" s="373">
        <f>F62</f>
        <v>-2246732</v>
      </c>
      <c r="H62" s="373">
        <f>G62</f>
        <v>-2246732</v>
      </c>
      <c r="J62" s="431" t="s">
        <v>690</v>
      </c>
      <c r="K62" s="432"/>
    </row>
    <row r="63" spans="1:11" ht="15" customHeight="1">
      <c r="A63" s="5" t="s">
        <v>4</v>
      </c>
      <c r="B63" s="158"/>
      <c r="C63" s="422"/>
      <c r="D63" s="51"/>
      <c r="E63" s="51"/>
      <c r="F63" s="51"/>
      <c r="G63" s="51"/>
      <c r="H63" s="51"/>
      <c r="J63" s="437"/>
      <c r="K63" s="438"/>
    </row>
    <row r="64" spans="1:11" ht="15" customHeight="1">
      <c r="A64" s="5" t="s">
        <v>5</v>
      </c>
      <c r="B64" s="158"/>
      <c r="C64" s="418"/>
      <c r="D64" s="51"/>
      <c r="E64" s="51"/>
      <c r="F64" s="51"/>
      <c r="G64" s="51"/>
      <c r="H64" s="51"/>
      <c r="J64" s="437"/>
      <c r="K64" s="438"/>
    </row>
    <row r="65" spans="2:11" ht="9" customHeight="1">
      <c r="B65" s="57"/>
      <c r="C65" s="8"/>
      <c r="D65" s="58"/>
      <c r="E65" s="3"/>
      <c r="F65" s="3"/>
      <c r="G65" s="3"/>
      <c r="H65" s="3"/>
      <c r="J65" s="437"/>
      <c r="K65" s="438"/>
    </row>
    <row r="66" spans="1:11" s="7" customFormat="1" ht="12.75">
      <c r="A66" s="7" t="s">
        <v>6</v>
      </c>
      <c r="B66" s="55">
        <f>B60+B62+B63+B64</f>
        <v>963179.2853345918</v>
      </c>
      <c r="C66" s="55"/>
      <c r="D66" s="55">
        <f>D60+D62+D63+D64</f>
        <v>985765.3750520018</v>
      </c>
      <c r="E66" s="55">
        <f>E60+E62+E63+E64</f>
        <v>985765.3750519971</v>
      </c>
      <c r="F66" s="55">
        <f>F60+F62+F63+F64</f>
        <v>985765.3750519971</v>
      </c>
      <c r="G66" s="55">
        <f>G60+G62+G63+G64</f>
        <v>985765.3750519971</v>
      </c>
      <c r="H66" s="55">
        <f>H60+H62+H63+H64</f>
        <v>985765.3750519971</v>
      </c>
      <c r="J66" s="438"/>
      <c r="K66" s="438"/>
    </row>
    <row r="67" spans="2:11" ht="12.75">
      <c r="B67" s="415"/>
      <c r="C67" s="386"/>
      <c r="D67" s="58"/>
      <c r="E67" s="58"/>
      <c r="F67" s="58"/>
      <c r="G67" s="58"/>
      <c r="H67" s="58"/>
      <c r="J67" s="438"/>
      <c r="K67" s="438"/>
    </row>
    <row r="68" spans="1:11" ht="12.75">
      <c r="A68" s="5" t="s">
        <v>25</v>
      </c>
      <c r="B68" s="58"/>
      <c r="C68" s="421"/>
      <c r="D68" s="58"/>
      <c r="E68" s="58"/>
      <c r="F68" s="58"/>
      <c r="G68" s="58"/>
      <c r="H68" s="58"/>
      <c r="J68" s="431"/>
      <c r="K68" s="432"/>
    </row>
    <row r="69" spans="1:11" ht="15" customHeight="1">
      <c r="A69" s="5" t="s">
        <v>26</v>
      </c>
      <c r="B69" s="58"/>
      <c r="C69" s="421"/>
      <c r="D69" s="58"/>
      <c r="E69" s="58"/>
      <c r="F69" s="58"/>
      <c r="G69" s="58"/>
      <c r="H69" s="58"/>
      <c r="J69" s="431"/>
      <c r="K69" s="432"/>
    </row>
    <row r="70" spans="1:11" ht="15" customHeight="1">
      <c r="A70" s="5" t="s">
        <v>109</v>
      </c>
      <c r="B70" s="58"/>
      <c r="C70" s="421"/>
      <c r="D70" s="58"/>
      <c r="E70" s="58"/>
      <c r="F70" s="58"/>
      <c r="G70" s="58"/>
      <c r="H70" s="58"/>
      <c r="J70" s="442"/>
      <c r="K70" s="443"/>
    </row>
    <row r="71" spans="2:11" ht="15" customHeight="1">
      <c r="B71" s="57"/>
      <c r="C71" s="386"/>
      <c r="D71" s="58"/>
      <c r="E71" s="58"/>
      <c r="F71" s="58"/>
      <c r="G71" s="58"/>
      <c r="H71" s="58"/>
      <c r="J71" s="443"/>
      <c r="K71" s="443"/>
    </row>
    <row r="72" spans="1:11" s="7" customFormat="1" ht="12.75">
      <c r="A72" s="7" t="s">
        <v>618</v>
      </c>
      <c r="B72" s="55">
        <f>B66+B68+B69+B70</f>
        <v>963179.2853345918</v>
      </c>
      <c r="C72" s="55"/>
      <c r="D72" s="55">
        <f>D66+D68+D69+D70</f>
        <v>985765.3750520018</v>
      </c>
      <c r="E72" s="55">
        <f>E66+E68+E69+E70</f>
        <v>985765.3750519971</v>
      </c>
      <c r="F72" s="55">
        <f>F66+F68+F69+F70</f>
        <v>985765.3750519971</v>
      </c>
      <c r="G72" s="55">
        <f>G66+G68+G69+G70</f>
        <v>985765.3750519971</v>
      </c>
      <c r="H72" s="55">
        <f>H66+H68+H69+H70</f>
        <v>985765.3750519971</v>
      </c>
      <c r="J72" s="443"/>
      <c r="K72" s="443"/>
    </row>
    <row r="73" spans="1:8" ht="12.75">
      <c r="A73" s="427"/>
      <c r="B73" s="428"/>
      <c r="C73" s="428"/>
      <c r="D73" s="428"/>
      <c r="E73" s="428"/>
      <c r="F73" s="428"/>
      <c r="G73" s="428"/>
      <c r="H73" s="428"/>
    </row>
    <row r="74" spans="1:8" ht="12.75">
      <c r="A74" s="388" t="s">
        <v>564</v>
      </c>
      <c r="B74" s="389">
        <f>B72/$A$10*1000</f>
        <v>175.00691999631368</v>
      </c>
      <c r="C74" s="389"/>
      <c r="D74" s="389">
        <f>D72/$A$10*1000</f>
        <v>179.1107478676027</v>
      </c>
      <c r="E74" s="389">
        <f>E72/$A$10*1000</f>
        <v>179.11074786760187</v>
      </c>
      <c r="F74" s="389">
        <f>F72/$A$10*1000</f>
        <v>179.11074786760187</v>
      </c>
      <c r="G74" s="389">
        <f>G72/$A$10*1000</f>
        <v>179.11074786760187</v>
      </c>
      <c r="H74" s="389">
        <f>H72/$A$10*1000</f>
        <v>179.11074786760187</v>
      </c>
    </row>
    <row r="75" ht="12.75">
      <c r="E75" s="6"/>
    </row>
    <row r="76" spans="1:10" ht="12.75">
      <c r="A76" s="425"/>
      <c r="B76" s="426"/>
      <c r="C76" s="426"/>
      <c r="D76" s="426">
        <f>D74-$B$74</f>
        <v>4.103827871289013</v>
      </c>
      <c r="E76" s="426">
        <f>E74-$B$74</f>
        <v>4.103827871288189</v>
      </c>
      <c r="F76" s="426">
        <f>F74-$B$74</f>
        <v>4.103827871288189</v>
      </c>
      <c r="G76" s="426">
        <f>G74-$B$74</f>
        <v>4.103827871288189</v>
      </c>
      <c r="H76" s="426">
        <f>H74-$B$74</f>
        <v>4.103827871288189</v>
      </c>
      <c r="J76" s="174"/>
    </row>
    <row r="77" spans="4:8" ht="12.75">
      <c r="D77" s="6"/>
      <c r="E77" s="6"/>
      <c r="F77" s="6"/>
      <c r="G77" s="6"/>
      <c r="H77" s="6"/>
    </row>
    <row r="78" spans="4:8" ht="12.75">
      <c r="D78" s="402"/>
      <c r="E78" s="402"/>
      <c r="F78" s="402"/>
      <c r="G78" s="402"/>
      <c r="H78" s="402"/>
    </row>
    <row r="79" spans="4:8" ht="12.75">
      <c r="D79" s="231"/>
      <c r="E79" s="231"/>
      <c r="F79" s="231"/>
      <c r="G79" s="231"/>
      <c r="H79" s="231"/>
    </row>
    <row r="80" ht="12.75">
      <c r="D80" s="6"/>
    </row>
    <row r="107" ht="12.75">
      <c r="A107" s="5" t="s">
        <v>605</v>
      </c>
    </row>
    <row r="108" ht="12.75">
      <c r="A108" s="5" t="s">
        <v>605</v>
      </c>
    </row>
    <row r="110" ht="12.75">
      <c r="A110" s="5" t="s">
        <v>656</v>
      </c>
    </row>
    <row r="111" ht="12.75">
      <c r="A111" s="5" t="s">
        <v>656</v>
      </c>
    </row>
  </sheetData>
  <sheetProtection/>
  <mergeCells count="41">
    <mergeCell ref="J8:K10"/>
    <mergeCell ref="J27:K27"/>
    <mergeCell ref="J26:K26"/>
    <mergeCell ref="J15:K15"/>
    <mergeCell ref="J14:K14"/>
    <mergeCell ref="J21:K21"/>
    <mergeCell ref="J12:K12"/>
    <mergeCell ref="J20:K20"/>
    <mergeCell ref="J13:K13"/>
    <mergeCell ref="J22:K22"/>
    <mergeCell ref="J24:K24"/>
    <mergeCell ref="J29:K29"/>
    <mergeCell ref="J41:K41"/>
    <mergeCell ref="J28:K28"/>
    <mergeCell ref="J31:K31"/>
    <mergeCell ref="J25:K25"/>
    <mergeCell ref="J16:K16"/>
    <mergeCell ref="J23:K23"/>
    <mergeCell ref="J42:K43"/>
    <mergeCell ref="J40:K40"/>
    <mergeCell ref="J70:K72"/>
    <mergeCell ref="J65:K67"/>
    <mergeCell ref="J62:K62"/>
    <mergeCell ref="J63:K63"/>
    <mergeCell ref="J64:K64"/>
    <mergeCell ref="J54:K54"/>
    <mergeCell ref="J68:K68"/>
    <mergeCell ref="J69:K69"/>
    <mergeCell ref="J56:K56"/>
    <mergeCell ref="J55:K55"/>
    <mergeCell ref="J57:K57"/>
    <mergeCell ref="J58:K58"/>
    <mergeCell ref="J59:K61"/>
    <mergeCell ref="J44:K44"/>
    <mergeCell ref="J47:K47"/>
    <mergeCell ref="J49:K49"/>
    <mergeCell ref="J53:K53"/>
    <mergeCell ref="J52:K52"/>
    <mergeCell ref="J50:K50"/>
    <mergeCell ref="J51:K51"/>
    <mergeCell ref="J45:K45"/>
  </mergeCells>
  <dataValidations count="6">
    <dataValidation type="list" allowBlank="1" showInputMessage="1" showErrorMessage="1" prompt="Valitse kunta" sqref="A8">
      <formula1>kunnat</formula1>
    </dataValidation>
    <dataValidation type="list" allowBlank="1" showInputMessage="1" showErrorMessage="1" sqref="C5">
      <formula1>Lähtötaso</formula1>
    </dataValidation>
    <dataValidation type="list" showDropDown="1" showInputMessage="1" showErrorMessage="1" sqref="C6">
      <formula1>Lähtötaso</formula1>
    </dataValidation>
    <dataValidation type="list" allowBlank="1" showInputMessage="1" showErrorMessage="1" sqref="A40">
      <formula1>vero2</formula1>
    </dataValidation>
    <dataValidation allowBlank="1" sqref="A5:A6"/>
    <dataValidation type="list" allowBlank="1" showInputMessage="1" showErrorMessage="1" sqref="A31">
      <formula1>painelaskelmat</formula1>
    </dataValidation>
  </dataValidations>
  <printOptions/>
  <pageMargins left="0.2755905511811024" right="0.1968503937007874" top="0.4724409448818898" bottom="0.3937007874015748" header="0.3937007874015748" footer="0.2362204724409449"/>
  <pageSetup horizontalDpi="600" verticalDpi="600" orientation="landscape" paperSize="9" r:id="rId2"/>
  <ignoredErrors>
    <ignoredError sqref="C53" formula="1"/>
  </ignoredErrors>
  <drawing r:id="rId1"/>
</worksheet>
</file>

<file path=xl/worksheets/sheet3.xml><?xml version="1.0" encoding="utf-8"?>
<worksheet xmlns="http://schemas.openxmlformats.org/spreadsheetml/2006/main" xmlns:r="http://schemas.openxmlformats.org/officeDocument/2006/relationships">
  <dimension ref="B1:Q35"/>
  <sheetViews>
    <sheetView zoomScalePageLayoutView="0" workbookViewId="0" topLeftCell="A1">
      <selection activeCell="I26" sqref="I26"/>
    </sheetView>
  </sheetViews>
  <sheetFormatPr defaultColWidth="9.140625" defaultRowHeight="12.75"/>
  <cols>
    <col min="4" max="4" width="18.140625" style="0" customWidth="1"/>
    <col min="5" max="5" width="15.7109375" style="0" customWidth="1"/>
    <col min="9" max="9" width="10.7109375" style="0" customWidth="1"/>
    <col min="16" max="16" width="13.57421875" style="0" customWidth="1"/>
    <col min="17" max="17" width="8.8515625" style="0" customWidth="1"/>
  </cols>
  <sheetData>
    <row r="1" spans="2:6" ht="15">
      <c r="B1" s="311" t="s">
        <v>628</v>
      </c>
      <c r="F1" s="315"/>
    </row>
    <row r="2" ht="12.75">
      <c r="B2" s="2" t="str">
        <f>linkki</f>
        <v>Manner-Suomi</v>
      </c>
    </row>
    <row r="7" spans="2:12" ht="15.75">
      <c r="B7" s="312" t="s">
        <v>632</v>
      </c>
      <c r="E7" s="109"/>
      <c r="L7" s="312" t="s">
        <v>633</v>
      </c>
    </row>
    <row r="9" spans="2:16" ht="12.75">
      <c r="B9" s="3" t="s">
        <v>142</v>
      </c>
      <c r="C9" s="3"/>
      <c r="D9" s="3"/>
      <c r="E9" s="379">
        <f>Tuloslaskelma!C29</f>
        <v>-20645806.344960764</v>
      </c>
      <c r="L9" s="3" t="s">
        <v>484</v>
      </c>
      <c r="M9" s="3"/>
      <c r="N9" s="3"/>
      <c r="O9" s="3"/>
      <c r="P9" s="45">
        <f>VLOOKUP($B$2,alue5,35,FALSE)*0.001</f>
        <v>12841006.62196999</v>
      </c>
    </row>
    <row r="10" spans="2:16" ht="12.75">
      <c r="B10" s="3" t="s">
        <v>635</v>
      </c>
      <c r="C10" s="3"/>
      <c r="D10" s="3"/>
      <c r="E10" s="45">
        <f>Tuloslaskelma!C30</f>
        <v>-69999.99999999999</v>
      </c>
      <c r="L10" s="3" t="s">
        <v>442</v>
      </c>
      <c r="M10" s="3"/>
      <c r="N10" s="3"/>
      <c r="O10" s="3"/>
      <c r="P10" s="45">
        <f>VLOOKUP($B$2,alue5,36,FALSE)*0.001</f>
        <v>674177.8869681305</v>
      </c>
    </row>
    <row r="11" spans="2:16" ht="12.75">
      <c r="B11" s="3" t="s">
        <v>558</v>
      </c>
      <c r="C11" s="3"/>
      <c r="D11" s="3"/>
      <c r="E11" s="379">
        <f>Tuloslaskelma!C62</f>
        <v>-58993</v>
      </c>
      <c r="L11" s="3" t="s">
        <v>624</v>
      </c>
      <c r="M11" s="3"/>
      <c r="N11" s="3"/>
      <c r="O11" s="3"/>
      <c r="P11" s="45">
        <f>VLOOKUP(B2,alue5,48,FALSE)</f>
        <v>5346218.396245852</v>
      </c>
    </row>
    <row r="12" spans="2:16" ht="12.75">
      <c r="B12" s="3"/>
      <c r="C12" s="3"/>
      <c r="D12" s="3"/>
      <c r="E12" s="3"/>
      <c r="L12" s="3" t="s">
        <v>653</v>
      </c>
      <c r="M12" s="3"/>
      <c r="N12" s="3"/>
      <c r="O12" s="3"/>
      <c r="P12" s="45">
        <f>VLOOKUP(B2,alue5,50,FALSE)</f>
        <v>1839600.0105000006</v>
      </c>
    </row>
    <row r="13" spans="2:17" ht="12.75">
      <c r="B13" s="3"/>
      <c r="C13" s="3"/>
      <c r="D13" s="3"/>
      <c r="E13" s="3"/>
      <c r="L13" s="3" t="s">
        <v>631</v>
      </c>
      <c r="M13" s="3"/>
      <c r="N13" s="3"/>
      <c r="O13" s="3"/>
      <c r="P13" s="45">
        <f>VLOOKUP(B2,alue5,49,FALSE)*-1</f>
        <v>-2.141860022675246E-10</v>
      </c>
      <c r="Q13" s="3" t="s">
        <v>682</v>
      </c>
    </row>
    <row r="14" spans="2:16" ht="12.75">
      <c r="B14" s="3"/>
      <c r="C14" s="3"/>
      <c r="D14" s="3"/>
      <c r="E14" s="3"/>
      <c r="L14" s="30"/>
      <c r="M14" s="30"/>
      <c r="N14" s="30"/>
      <c r="O14" s="30"/>
      <c r="P14" s="30"/>
    </row>
    <row r="15" spans="2:16" ht="15.75">
      <c r="B15" s="312" t="s">
        <v>621</v>
      </c>
      <c r="C15" s="312"/>
      <c r="D15" s="312"/>
      <c r="E15" s="380">
        <f>SUM(E9:E14)</f>
        <v>-20774799.344960764</v>
      </c>
      <c r="L15" s="312" t="s">
        <v>622</v>
      </c>
      <c r="M15" s="312"/>
      <c r="N15" s="312"/>
      <c r="O15" s="312"/>
      <c r="P15" s="380">
        <f>SUM(P9:P14)</f>
        <v>20701002.91568397</v>
      </c>
    </row>
    <row r="17" spans="4:5" ht="12.75">
      <c r="D17" s="3"/>
      <c r="E17" s="378"/>
    </row>
    <row r="23" spans="7:15" ht="15">
      <c r="G23" s="312" t="s">
        <v>623</v>
      </c>
      <c r="H23" s="312"/>
      <c r="I23" s="380">
        <f>E15+P15-E10</f>
        <v>-3796.4292767942097</v>
      </c>
      <c r="O23" s="114"/>
    </row>
    <row r="24" spans="7:15" ht="15">
      <c r="G24" s="312"/>
      <c r="H24" s="312"/>
      <c r="I24" s="312"/>
      <c r="O24" s="114"/>
    </row>
    <row r="25" spans="7:15" ht="15">
      <c r="G25" s="312" t="s">
        <v>625</v>
      </c>
      <c r="H25" s="312"/>
      <c r="I25" s="380">
        <f>I23*0.6+(Tuloslaskelma!A10*-0.0002759201344275)</f>
        <v>-3796.429276800318</v>
      </c>
      <c r="O25" s="114"/>
    </row>
    <row r="27" ht="13.5">
      <c r="B27" s="316" t="s">
        <v>634</v>
      </c>
    </row>
    <row r="28" ht="13.5">
      <c r="B28" s="313" t="s">
        <v>679</v>
      </c>
    </row>
    <row r="29" ht="13.5">
      <c r="B29" s="313" t="s">
        <v>685</v>
      </c>
    </row>
    <row r="30" ht="13.5">
      <c r="B30" s="313" t="s">
        <v>636</v>
      </c>
    </row>
    <row r="31" ht="13.5">
      <c r="B31" s="313" t="s">
        <v>637</v>
      </c>
    </row>
    <row r="32" ht="13.5">
      <c r="B32" s="313" t="s">
        <v>639</v>
      </c>
    </row>
    <row r="33" ht="13.5">
      <c r="B33" s="313" t="s">
        <v>640</v>
      </c>
    </row>
    <row r="34" ht="13.5">
      <c r="B34" s="313" t="s">
        <v>641</v>
      </c>
    </row>
    <row r="35" ht="13.5">
      <c r="B35" s="313" t="s">
        <v>638</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ul2"/>
  <dimension ref="A1:F39"/>
  <sheetViews>
    <sheetView zoomScalePageLayoutView="0" workbookViewId="0" topLeftCell="A1">
      <pane xSplit="1" ySplit="7" topLeftCell="B8" activePane="bottomRight" state="frozen"/>
      <selection pane="topLeft" activeCell="C16" sqref="C16"/>
      <selection pane="topRight" activeCell="C16" sqref="C16"/>
      <selection pane="bottomLeft" activeCell="C16" sqref="C16"/>
      <selection pane="bottomRight" activeCell="C16" sqref="C16"/>
    </sheetView>
  </sheetViews>
  <sheetFormatPr defaultColWidth="9.140625" defaultRowHeight="12.75"/>
  <cols>
    <col min="1" max="1" width="47.28125" style="5" customWidth="1"/>
    <col min="2" max="2" width="13.00390625" style="5" customWidth="1"/>
    <col min="3" max="3" width="11.7109375" style="5" customWidth="1"/>
    <col min="4" max="4" width="20.140625" style="5" bestFit="1" customWidth="1"/>
    <col min="5" max="5" width="4.7109375" style="5" customWidth="1"/>
    <col min="6" max="6" width="98.8515625" style="27" customWidth="1"/>
    <col min="7" max="16384" width="9.140625" style="5" customWidth="1"/>
  </cols>
  <sheetData>
    <row r="1" spans="1:2" ht="12.75">
      <c r="A1" s="4"/>
      <c r="B1" s="6"/>
    </row>
    <row r="2" spans="1:6" ht="18">
      <c r="A2" s="254" t="s">
        <v>597</v>
      </c>
      <c r="B2" s="255"/>
      <c r="C2" s="250"/>
      <c r="D2" s="37" t="s">
        <v>599</v>
      </c>
      <c r="E2" s="33"/>
      <c r="F2" s="47"/>
    </row>
    <row r="3" spans="1:6" ht="17.25" customHeight="1">
      <c r="A3" s="247" t="s">
        <v>598</v>
      </c>
      <c r="B3" s="255"/>
      <c r="C3" s="250"/>
      <c r="D3" s="250"/>
      <c r="E3" s="33"/>
      <c r="F3" s="47"/>
    </row>
    <row r="4" spans="1:6" ht="11.25" customHeight="1">
      <c r="A4" s="250" t="s">
        <v>610</v>
      </c>
      <c r="B4" s="255"/>
      <c r="C4" s="250"/>
      <c r="D4" s="250"/>
      <c r="E4" s="33"/>
      <c r="F4" s="47"/>
    </row>
    <row r="5" spans="1:6" ht="14.25" customHeight="1">
      <c r="A5" s="33"/>
      <c r="B5" s="33"/>
      <c r="C5" s="33"/>
      <c r="D5" s="33"/>
      <c r="E5" s="33"/>
      <c r="F5" s="47"/>
    </row>
    <row r="6" spans="1:6" ht="14.25" customHeight="1">
      <c r="A6" s="33" t="str">
        <f>linkki</f>
        <v>Manner-Suomi</v>
      </c>
      <c r="B6" s="35" t="s">
        <v>575</v>
      </c>
      <c r="C6" s="35" t="s">
        <v>446</v>
      </c>
      <c r="D6" s="35" t="s">
        <v>511</v>
      </c>
      <c r="E6" s="33"/>
      <c r="F6" s="47"/>
    </row>
    <row r="7" spans="1:6" ht="14.25" customHeight="1">
      <c r="A7" s="36" t="s">
        <v>467</v>
      </c>
      <c r="B7" s="171"/>
      <c r="C7" s="171"/>
      <c r="D7" s="171"/>
      <c r="E7" s="33"/>
      <c r="F7" s="34" t="s">
        <v>105</v>
      </c>
    </row>
    <row r="8" spans="1:6" ht="15" customHeight="1">
      <c r="A8" s="7" t="s">
        <v>18</v>
      </c>
      <c r="B8" s="6"/>
      <c r="F8" s="47"/>
    </row>
    <row r="9" spans="1:6" ht="15" customHeight="1">
      <c r="A9" s="32" t="s">
        <v>7</v>
      </c>
      <c r="B9" s="318">
        <f>Tuloslaskelma!$B$60</f>
        <v>3268904.2853345918</v>
      </c>
      <c r="C9" s="30"/>
      <c r="D9" s="318">
        <f>Tuloslaskelma!D60</f>
        <v>3232497.375052002</v>
      </c>
      <c r="F9" s="47" t="s">
        <v>604</v>
      </c>
    </row>
    <row r="10" spans="1:6" ht="15" customHeight="1">
      <c r="A10" s="32" t="s">
        <v>8</v>
      </c>
      <c r="B10" s="319">
        <f>Tuloslaskelma!$B$63+Tuloslaskelma!$B$64</f>
        <v>0</v>
      </c>
      <c r="C10" s="30"/>
      <c r="D10" s="319">
        <f>Tuloslaskelma!D63+Tuloslaskelma!D64</f>
        <v>0</v>
      </c>
      <c r="F10" s="47" t="s">
        <v>604</v>
      </c>
    </row>
    <row r="11" spans="1:6" ht="15" customHeight="1">
      <c r="A11" s="5" t="s">
        <v>15</v>
      </c>
      <c r="B11" s="319" t="e">
        <f>VLOOKUP(linkki,TPA17,27,FALSE)</f>
        <v>#REF!</v>
      </c>
      <c r="C11" s="320"/>
      <c r="D11" s="321" t="e">
        <f>B11-C11</f>
        <v>#REF!</v>
      </c>
      <c r="F11" s="47"/>
    </row>
    <row r="12" spans="1:6" ht="15" customHeight="1">
      <c r="A12" s="7" t="s">
        <v>19</v>
      </c>
      <c r="B12" s="54"/>
      <c r="C12" s="322"/>
      <c r="D12" s="323"/>
      <c r="F12" s="47"/>
    </row>
    <row r="13" spans="1:6" ht="15" customHeight="1">
      <c r="A13" s="32" t="s">
        <v>16</v>
      </c>
      <c r="B13" s="318" t="e">
        <f>-VLOOKUP(linkki,TPA17,16,FALSE)</f>
        <v>#REF!</v>
      </c>
      <c r="C13" s="324"/>
      <c r="D13" s="318" t="e">
        <f>B13-C13</f>
        <v>#REF!</v>
      </c>
      <c r="F13" s="47" t="s">
        <v>111</v>
      </c>
    </row>
    <row r="14" spans="1:6" ht="15" customHeight="1">
      <c r="A14" s="32" t="s">
        <v>20</v>
      </c>
      <c r="B14" s="319" t="e">
        <f>VLOOKUP(linkki,TPA17,17,FALSE)</f>
        <v>#REF!</v>
      </c>
      <c r="C14" s="325"/>
      <c r="D14" s="319" t="e">
        <f>B14-C14</f>
        <v>#REF!</v>
      </c>
      <c r="F14" s="47" t="s">
        <v>465</v>
      </c>
    </row>
    <row r="15" spans="1:6" ht="15" customHeight="1">
      <c r="A15" s="32" t="s">
        <v>21</v>
      </c>
      <c r="B15" s="319" t="e">
        <f>VLOOKUP(linkki,TPA17,18,FALSE)</f>
        <v>#REF!</v>
      </c>
      <c r="C15" s="326"/>
      <c r="D15" s="319" t="e">
        <f>B15-C15</f>
        <v>#REF!</v>
      </c>
      <c r="F15" s="47" t="s">
        <v>513</v>
      </c>
    </row>
    <row r="16" spans="1:6" s="7" customFormat="1" ht="15" customHeight="1">
      <c r="A16" s="7" t="s">
        <v>27</v>
      </c>
      <c r="B16" s="327" t="e">
        <f>SUM(B9:B15)</f>
        <v>#REF!</v>
      </c>
      <c r="C16" s="328"/>
      <c r="D16" s="327" t="e">
        <f>SUM(D9:D15)</f>
        <v>#REF!</v>
      </c>
      <c r="F16" s="34"/>
    </row>
    <row r="17" spans="2:6" ht="15" customHeight="1">
      <c r="B17" s="107"/>
      <c r="C17" s="322"/>
      <c r="D17" s="322"/>
      <c r="F17" s="47"/>
    </row>
    <row r="18" spans="1:6" ht="15" customHeight="1">
      <c r="A18" s="7" t="s">
        <v>22</v>
      </c>
      <c r="B18" s="53"/>
      <c r="C18" s="322"/>
      <c r="D18" s="322"/>
      <c r="F18" s="47"/>
    </row>
    <row r="19" spans="1:6" ht="15" customHeight="1">
      <c r="A19" s="32" t="s">
        <v>11</v>
      </c>
      <c r="B19" s="329" t="e">
        <f>B20+B21</f>
        <v>#REF!</v>
      </c>
      <c r="C19" s="322"/>
      <c r="D19" s="329" t="e">
        <f>D20+D21</f>
        <v>#REF!</v>
      </c>
      <c r="F19" s="47"/>
    </row>
    <row r="20" spans="1:6" ht="15" customHeight="1">
      <c r="A20" s="236" t="s">
        <v>457</v>
      </c>
      <c r="B20" s="319" t="e">
        <f>-VLOOKUP(linkki,TPA17,19,FALSE)</f>
        <v>#REF!</v>
      </c>
      <c r="C20" s="324"/>
      <c r="D20" s="319" t="e">
        <f>B20-C20</f>
        <v>#REF!</v>
      </c>
      <c r="F20" s="47"/>
    </row>
    <row r="21" spans="1:6" ht="15" customHeight="1">
      <c r="A21" s="236" t="s">
        <v>458</v>
      </c>
      <c r="B21" s="319" t="e">
        <f>VLOOKUP(linkki,TPA17,20,FALSE)</f>
        <v>#REF!</v>
      </c>
      <c r="C21" s="326"/>
      <c r="D21" s="319" t="e">
        <f>B21-C21</f>
        <v>#REF!</v>
      </c>
      <c r="F21" s="47"/>
    </row>
    <row r="22" spans="1:6" ht="15" customHeight="1">
      <c r="A22" s="32" t="s">
        <v>12</v>
      </c>
      <c r="B22" s="235" t="e">
        <f>B23+B24+B25</f>
        <v>#REF!</v>
      </c>
      <c r="C22" s="322"/>
      <c r="D22" s="235" t="e">
        <f>D23+D24+D25</f>
        <v>#REF!</v>
      </c>
      <c r="F22" s="47"/>
    </row>
    <row r="23" spans="1:6" ht="15" customHeight="1">
      <c r="A23" s="236" t="s">
        <v>454</v>
      </c>
      <c r="B23" s="319" t="e">
        <f>VLOOKUP(linkki,TPA17,21,FALSE)</f>
        <v>#REF!</v>
      </c>
      <c r="C23" s="324"/>
      <c r="D23" s="319" t="e">
        <f>B23-C23</f>
        <v>#REF!</v>
      </c>
      <c r="F23" s="47" t="s">
        <v>112</v>
      </c>
    </row>
    <row r="24" spans="1:6" ht="15" customHeight="1">
      <c r="A24" s="236" t="s">
        <v>455</v>
      </c>
      <c r="B24" s="319" t="e">
        <f>-VLOOKUP(linkki,TPA17,22,FALSE)</f>
        <v>#REF!</v>
      </c>
      <c r="C24" s="325"/>
      <c r="D24" s="319" t="e">
        <f>B24-C24</f>
        <v>#REF!</v>
      </c>
      <c r="F24" s="47"/>
    </row>
    <row r="25" spans="1:6" ht="15" customHeight="1">
      <c r="A25" s="236" t="s">
        <v>456</v>
      </c>
      <c r="B25" s="319" t="e">
        <f>VLOOKUP(linkki,TPA17,23,FALSE)</f>
        <v>#REF!</v>
      </c>
      <c r="C25" s="325"/>
      <c r="D25" s="319" t="e">
        <f>B25-C25</f>
        <v>#REF!</v>
      </c>
      <c r="F25" s="47"/>
    </row>
    <row r="26" spans="1:6" ht="15" customHeight="1">
      <c r="A26" s="5" t="s">
        <v>13</v>
      </c>
      <c r="B26" s="235"/>
      <c r="C26" s="330"/>
      <c r="D26" s="235"/>
      <c r="F26" s="47"/>
    </row>
    <row r="27" spans="1:6" ht="15" customHeight="1">
      <c r="A27" s="5" t="s">
        <v>14</v>
      </c>
      <c r="B27" s="235">
        <f>B28+B29+B30+B31</f>
        <v>0</v>
      </c>
      <c r="C27" s="322"/>
      <c r="D27" s="235">
        <f>D28+D29+D30+D31</f>
        <v>0</v>
      </c>
      <c r="F27" s="47"/>
    </row>
    <row r="28" spans="1:6" ht="15" customHeight="1">
      <c r="A28" s="31" t="s">
        <v>450</v>
      </c>
      <c r="B28" s="319"/>
      <c r="C28" s="324"/>
      <c r="D28" s="319">
        <f>B28-C28</f>
        <v>0</v>
      </c>
      <c r="F28" s="47" t="s">
        <v>459</v>
      </c>
    </row>
    <row r="29" spans="1:6" ht="12.75">
      <c r="A29" s="31" t="s">
        <v>451</v>
      </c>
      <c r="B29" s="319"/>
      <c r="C29" s="325"/>
      <c r="D29" s="319">
        <f>B29-C29</f>
        <v>0</v>
      </c>
      <c r="F29" s="47" t="s">
        <v>113</v>
      </c>
    </row>
    <row r="30" spans="1:6" ht="15" customHeight="1">
      <c r="A30" s="31" t="s">
        <v>452</v>
      </c>
      <c r="B30" s="319"/>
      <c r="C30" s="325"/>
      <c r="D30" s="319">
        <f>B30-C30</f>
        <v>0</v>
      </c>
      <c r="F30" s="47"/>
    </row>
    <row r="31" spans="1:6" ht="15" customHeight="1">
      <c r="A31" s="31" t="s">
        <v>453</v>
      </c>
      <c r="B31" s="319"/>
      <c r="C31" s="326"/>
      <c r="D31" s="319">
        <f>B31-C31</f>
        <v>0</v>
      </c>
      <c r="F31" s="47" t="s">
        <v>460</v>
      </c>
    </row>
    <row r="32" spans="1:6" ht="15" customHeight="1">
      <c r="A32" s="49" t="s">
        <v>22</v>
      </c>
      <c r="B32" s="327" t="e">
        <f>B19+B22+B26+B27</f>
        <v>#REF!</v>
      </c>
      <c r="C32" s="322"/>
      <c r="D32" s="327" t="e">
        <f>D19+D22+C26+D27</f>
        <v>#REF!</v>
      </c>
      <c r="F32" s="50" t="s">
        <v>461</v>
      </c>
    </row>
    <row r="33" spans="2:6" ht="12.75">
      <c r="B33" s="54"/>
      <c r="C33" s="30"/>
      <c r="D33" s="30"/>
      <c r="F33" s="50" t="s">
        <v>462</v>
      </c>
    </row>
    <row r="34" spans="1:6" s="7" customFormat="1" ht="15" customHeight="1">
      <c r="A34" s="7" t="s">
        <v>17</v>
      </c>
      <c r="B34" s="292" t="e">
        <f>B16+B32</f>
        <v>#REF!</v>
      </c>
      <c r="C34" s="331"/>
      <c r="D34" s="292" t="e">
        <f>D32+D16</f>
        <v>#REF!</v>
      </c>
      <c r="F34" s="50" t="s">
        <v>463</v>
      </c>
    </row>
    <row r="35" spans="2:6" s="7" customFormat="1" ht="26.25">
      <c r="B35" s="160"/>
      <c r="C35" s="332"/>
      <c r="D35" s="332"/>
      <c r="F35" s="50" t="s">
        <v>464</v>
      </c>
    </row>
    <row r="36" spans="2:6" ht="15" customHeight="1">
      <c r="B36" s="54"/>
      <c r="C36" s="333"/>
      <c r="D36" s="54"/>
      <c r="F36" s="47"/>
    </row>
    <row r="37" spans="1:6" s="7" customFormat="1" ht="12.75">
      <c r="A37" s="7" t="s">
        <v>102</v>
      </c>
      <c r="B37" s="334" t="e">
        <f>(Tuloslaskelma!B60-Tuloslaskelma!B57)/(-Tuloslaskelma!B57-B24)</f>
        <v>#REF!</v>
      </c>
      <c r="C37" s="333"/>
      <c r="D37" s="334" t="e">
        <f>(Tuloslaskelma!D60-Tuloslaskelma!D57)/(-Tuloslaskelma!D57-D24)</f>
        <v>#REF!</v>
      </c>
      <c r="F37" s="48" t="s">
        <v>121</v>
      </c>
    </row>
    <row r="38" spans="1:6" ht="15" customHeight="1">
      <c r="A38" s="9"/>
      <c r="B38" s="335"/>
      <c r="C38" s="335"/>
      <c r="D38" s="336"/>
      <c r="E38" s="10"/>
      <c r="F38" s="28"/>
    </row>
    <row r="39" spans="1:4" ht="13.5">
      <c r="A39" s="7" t="s">
        <v>477</v>
      </c>
      <c r="B39" s="334" t="e">
        <f>B9/(-B13-B14)*(100)</f>
        <v>#REF!</v>
      </c>
      <c r="C39" s="335"/>
      <c r="D39" s="334" t="e">
        <f>D9/(-D13-D14)*(100)</f>
        <v>#REF!</v>
      </c>
    </row>
  </sheetData>
  <sheetProtection/>
  <printOptions/>
  <pageMargins left="0.7" right="0.7" top="0.75" bottom="0.75" header="0.3" footer="0.3"/>
  <pageSetup horizontalDpi="600" verticalDpi="600" orientation="portrait" paperSize="9" r:id="rId2"/>
  <ignoredErrors>
    <ignoredError sqref="D22" formula="1"/>
  </ignoredErrors>
  <drawing r:id="rId1"/>
</worksheet>
</file>

<file path=xl/worksheets/sheet5.xml><?xml version="1.0" encoding="utf-8"?>
<worksheet xmlns="http://schemas.openxmlformats.org/spreadsheetml/2006/main" xmlns:r="http://schemas.openxmlformats.org/officeDocument/2006/relationships">
  <sheetPr codeName="Taul3"/>
  <dimension ref="A1:E123"/>
  <sheetViews>
    <sheetView zoomScalePageLayoutView="0" workbookViewId="0" topLeftCell="A1">
      <pane xSplit="1" ySplit="5" topLeftCell="B6" activePane="bottomRight" state="frozen"/>
      <selection pane="topLeft" activeCell="C16" sqref="C16"/>
      <selection pane="topRight" activeCell="C16" sqref="C16"/>
      <selection pane="bottomLeft" activeCell="C16" sqref="C16"/>
      <selection pane="bottomRight" activeCell="C16" sqref="C16"/>
    </sheetView>
  </sheetViews>
  <sheetFormatPr defaultColWidth="9.140625" defaultRowHeight="12.75"/>
  <cols>
    <col min="1" max="1" width="43.28125" style="5" customWidth="1"/>
    <col min="2" max="2" width="13.7109375" style="5" customWidth="1"/>
    <col min="3" max="3" width="19.57421875" style="5" customWidth="1"/>
    <col min="4" max="4" width="13.57421875" style="5" customWidth="1"/>
    <col min="5" max="5" width="118.28125" style="27" customWidth="1"/>
    <col min="6" max="16384" width="9.140625" style="5" customWidth="1"/>
  </cols>
  <sheetData>
    <row r="1" spans="1:5" ht="15" customHeight="1">
      <c r="A1" s="9"/>
      <c r="B1" s="10"/>
      <c r="C1" s="10"/>
      <c r="D1" s="10"/>
      <c r="E1" s="28"/>
    </row>
    <row r="2" spans="1:5" ht="15" customHeight="1">
      <c r="A2" s="256" t="s">
        <v>600</v>
      </c>
      <c r="B2" s="257"/>
      <c r="C2" s="10"/>
      <c r="D2" s="10"/>
      <c r="E2" s="28"/>
    </row>
    <row r="3" spans="1:5" ht="15" customHeight="1">
      <c r="A3" s="258" t="s">
        <v>602</v>
      </c>
      <c r="B3" s="259" t="s">
        <v>612</v>
      </c>
      <c r="C3" s="10"/>
      <c r="D3" s="32"/>
      <c r="E3" s="28"/>
    </row>
    <row r="4" spans="1:5" ht="15" customHeight="1">
      <c r="A4" s="66" t="s">
        <v>466</v>
      </c>
      <c r="C4" s="10"/>
      <c r="D4" s="10"/>
      <c r="E4" s="28"/>
    </row>
    <row r="5" spans="1:4" ht="15" customHeight="1">
      <c r="A5" s="11" t="s">
        <v>28</v>
      </c>
      <c r="B5" s="12" t="s">
        <v>577</v>
      </c>
      <c r="C5" s="72" t="s">
        <v>431</v>
      </c>
      <c r="D5" s="67" t="s">
        <v>511</v>
      </c>
    </row>
    <row r="6" spans="1:4" ht="15" customHeight="1">
      <c r="A6" s="22" t="str">
        <f>Tuloslaskelma!A8</f>
        <v>Manner-Suomi</v>
      </c>
      <c r="B6" s="237" t="s">
        <v>603</v>
      </c>
      <c r="C6" s="3"/>
      <c r="D6" s="238"/>
    </row>
    <row r="7" spans="1:5" ht="15" customHeight="1">
      <c r="A7" s="23" t="s">
        <v>30</v>
      </c>
      <c r="B7" s="337" t="e">
        <f>B8+B13+B21</f>
        <v>#REF!</v>
      </c>
      <c r="C7" s="337"/>
      <c r="D7" s="337" t="e">
        <f>D8+D13+D21</f>
        <v>#REF!</v>
      </c>
      <c r="E7" s="79"/>
    </row>
    <row r="8" spans="1:5" ht="15" customHeight="1">
      <c r="A8" s="14" t="s">
        <v>32</v>
      </c>
      <c r="B8" s="338">
        <f>B9+B10+B11</f>
        <v>0</v>
      </c>
      <c r="C8" s="339"/>
      <c r="D8" s="338">
        <f>D9+D10+D11</f>
        <v>0</v>
      </c>
      <c r="E8" s="79"/>
    </row>
    <row r="9" spans="1:5" ht="12" customHeight="1">
      <c r="A9" s="61" t="s">
        <v>34</v>
      </c>
      <c r="B9" s="340"/>
      <c r="C9" s="341"/>
      <c r="D9" s="342">
        <f>B9-C9</f>
        <v>0</v>
      </c>
      <c r="E9" s="78" t="s">
        <v>470</v>
      </c>
    </row>
    <row r="10" spans="1:5" ht="17.25" customHeight="1">
      <c r="A10" s="61" t="s">
        <v>36</v>
      </c>
      <c r="B10" s="340"/>
      <c r="C10" s="343"/>
      <c r="D10" s="342">
        <f>B10-C10</f>
        <v>0</v>
      </c>
      <c r="E10" s="79"/>
    </row>
    <row r="11" spans="1:5" ht="15" customHeight="1">
      <c r="A11" s="61" t="s">
        <v>38</v>
      </c>
      <c r="B11" s="340"/>
      <c r="C11" s="344"/>
      <c r="D11" s="342">
        <f>B11-C11</f>
        <v>0</v>
      </c>
      <c r="E11" s="79"/>
    </row>
    <row r="12" spans="1:5" ht="15" customHeight="1">
      <c r="A12" s="17"/>
      <c r="B12" s="345"/>
      <c r="C12" s="346"/>
      <c r="D12" s="347"/>
      <c r="E12" s="79"/>
    </row>
    <row r="13" spans="1:5" ht="15" customHeight="1">
      <c r="A13" s="14" t="s">
        <v>41</v>
      </c>
      <c r="B13" s="338">
        <f>SUM(B14:B19)</f>
        <v>0</v>
      </c>
      <c r="C13" s="339"/>
      <c r="D13" s="338">
        <f>SUM(D14:D19)</f>
        <v>0</v>
      </c>
      <c r="E13" s="79"/>
    </row>
    <row r="14" spans="1:5" ht="15" customHeight="1">
      <c r="A14" s="61" t="s">
        <v>42</v>
      </c>
      <c r="B14" s="340"/>
      <c r="C14" s="341"/>
      <c r="D14" s="342">
        <f aca="true" t="shared" si="0" ref="D14:D19">B14-C14</f>
        <v>0</v>
      </c>
      <c r="E14" s="80" t="s">
        <v>447</v>
      </c>
    </row>
    <row r="15" spans="1:5" ht="15" customHeight="1">
      <c r="A15" s="61" t="s">
        <v>43</v>
      </c>
      <c r="B15" s="340"/>
      <c r="C15" s="343"/>
      <c r="D15" s="342">
        <f t="shared" si="0"/>
        <v>0</v>
      </c>
      <c r="E15" s="79" t="s">
        <v>471</v>
      </c>
    </row>
    <row r="16" spans="1:5" ht="15" customHeight="1">
      <c r="A16" s="61" t="s">
        <v>45</v>
      </c>
      <c r="B16" s="340"/>
      <c r="C16" s="343"/>
      <c r="D16" s="342">
        <f t="shared" si="0"/>
        <v>0</v>
      </c>
      <c r="E16" s="79"/>
    </row>
    <row r="17" spans="1:5" ht="14.25" customHeight="1">
      <c r="A17" s="61" t="s">
        <v>47</v>
      </c>
      <c r="B17" s="340"/>
      <c r="C17" s="343"/>
      <c r="D17" s="342">
        <f t="shared" si="0"/>
        <v>0</v>
      </c>
      <c r="E17" s="79" t="s">
        <v>448</v>
      </c>
    </row>
    <row r="18" spans="1:5" ht="16.5" customHeight="1">
      <c r="A18" s="61" t="s">
        <v>48</v>
      </c>
      <c r="B18" s="340"/>
      <c r="C18" s="343"/>
      <c r="D18" s="342">
        <f t="shared" si="0"/>
        <v>0</v>
      </c>
      <c r="E18" s="79" t="s">
        <v>472</v>
      </c>
    </row>
    <row r="19" spans="1:5" ht="15" customHeight="1">
      <c r="A19" s="61" t="s">
        <v>50</v>
      </c>
      <c r="B19" s="340"/>
      <c r="C19" s="344"/>
      <c r="D19" s="342">
        <f t="shared" si="0"/>
        <v>0</v>
      </c>
      <c r="E19" s="79"/>
    </row>
    <row r="20" spans="1:5" ht="15" customHeight="1">
      <c r="A20" s="18"/>
      <c r="B20" s="348"/>
      <c r="C20" s="30"/>
      <c r="D20" s="347"/>
      <c r="E20" s="79"/>
    </row>
    <row r="21" spans="1:5" ht="15" customHeight="1">
      <c r="A21" s="14" t="s">
        <v>53</v>
      </c>
      <c r="B21" s="338" t="e">
        <f>SUM(B22,B25:B27)</f>
        <v>#REF!</v>
      </c>
      <c r="C21" s="339"/>
      <c r="D21" s="338" t="e">
        <f>SUM(D22,D25:D27)</f>
        <v>#REF!</v>
      </c>
      <c r="E21" s="79"/>
    </row>
    <row r="22" spans="1:5" ht="12.75">
      <c r="A22" s="61" t="s">
        <v>54</v>
      </c>
      <c r="B22" s="340" t="e">
        <f>SUM(B23:B24)</f>
        <v>#REF!</v>
      </c>
      <c r="C22" s="349"/>
      <c r="D22" s="342" t="e">
        <f aca="true" t="shared" si="1" ref="D22:D27">B22-C22</f>
        <v>#REF!</v>
      </c>
      <c r="E22" s="79"/>
    </row>
    <row r="23" spans="1:5" ht="15" customHeight="1">
      <c r="A23" s="62" t="s">
        <v>98</v>
      </c>
      <c r="B23" s="340" t="e">
        <f>VLOOKUP(linkki,TPA17,28,FALSE)</f>
        <v>#REF!</v>
      </c>
      <c r="C23" s="350"/>
      <c r="D23" s="342" t="e">
        <f t="shared" si="1"/>
        <v>#REF!</v>
      </c>
      <c r="E23" s="79" t="s">
        <v>473</v>
      </c>
    </row>
    <row r="24" spans="1:5" ht="15" customHeight="1">
      <c r="A24" s="62" t="s">
        <v>99</v>
      </c>
      <c r="B24" s="340" t="e">
        <f>VLOOKUP(linkki,TPA17,29,FALSE)</f>
        <v>#REF!</v>
      </c>
      <c r="C24" s="350"/>
      <c r="D24" s="342" t="e">
        <f t="shared" si="1"/>
        <v>#REF!</v>
      </c>
      <c r="E24" s="79" t="s">
        <v>479</v>
      </c>
    </row>
    <row r="25" spans="1:5" ht="15" customHeight="1">
      <c r="A25" s="61" t="s">
        <v>56</v>
      </c>
      <c r="B25" s="340" t="e">
        <f>VLOOKUP(linkki,TPA17,30,FALSE)</f>
        <v>#REF!</v>
      </c>
      <c r="C25" s="350"/>
      <c r="D25" s="342" t="e">
        <f t="shared" si="1"/>
        <v>#REF!</v>
      </c>
      <c r="E25" s="79"/>
    </row>
    <row r="26" spans="1:5" ht="15" customHeight="1">
      <c r="A26" s="61" t="s">
        <v>58</v>
      </c>
      <c r="B26" s="340" t="e">
        <f>VLOOKUP(linkki,TPA17,31,FALSE)</f>
        <v>#REF!</v>
      </c>
      <c r="C26" s="350"/>
      <c r="D26" s="342" t="e">
        <f t="shared" si="1"/>
        <v>#REF!</v>
      </c>
      <c r="E26" s="79"/>
    </row>
    <row r="27" spans="1:5" ht="15" customHeight="1">
      <c r="A27" s="61" t="s">
        <v>60</v>
      </c>
      <c r="B27" s="340" t="e">
        <f>VLOOKUP(linkki,TPA17,32,FALSE)</f>
        <v>#REF!</v>
      </c>
      <c r="C27" s="351"/>
      <c r="D27" s="342" t="e">
        <f t="shared" si="1"/>
        <v>#REF!</v>
      </c>
      <c r="E27" s="79"/>
    </row>
    <row r="28" spans="1:5" ht="15" customHeight="1">
      <c r="A28" s="16"/>
      <c r="B28" s="348"/>
      <c r="C28" s="30"/>
      <c r="D28" s="347"/>
      <c r="E28" s="79"/>
    </row>
    <row r="29" spans="1:5" ht="15" customHeight="1">
      <c r="A29" s="19" t="s">
        <v>63</v>
      </c>
      <c r="B29" s="338" t="e">
        <f>IF(B30+B31+B32=0,VLOOKUP(linkki,TPA17,33,FALSE),B30+B31+B32)</f>
        <v>#REF!</v>
      </c>
      <c r="C29" s="339"/>
      <c r="D29" s="338" t="e">
        <f>IF(D30+D31+D32=0,VLOOKUP(linkki,TPA17,33,FALSE),D30+D31+D32)</f>
        <v>#REF!</v>
      </c>
      <c r="E29" s="79"/>
    </row>
    <row r="30" spans="1:5" ht="15" customHeight="1">
      <c r="A30" s="64" t="s">
        <v>57</v>
      </c>
      <c r="B30" s="340"/>
      <c r="C30" s="349"/>
      <c r="D30" s="342">
        <f>B30-C30</f>
        <v>0</v>
      </c>
      <c r="E30" s="79"/>
    </row>
    <row r="31" spans="1:5" ht="15.75" customHeight="1">
      <c r="A31" s="64" t="s">
        <v>65</v>
      </c>
      <c r="B31" s="340"/>
      <c r="C31" s="352"/>
      <c r="D31" s="342">
        <f>B31-C31</f>
        <v>0</v>
      </c>
      <c r="E31" s="79" t="s">
        <v>480</v>
      </c>
    </row>
    <row r="32" spans="1:5" ht="15" customHeight="1">
      <c r="A32" s="64" t="s">
        <v>67</v>
      </c>
      <c r="B32" s="340"/>
      <c r="C32" s="351"/>
      <c r="D32" s="342">
        <f>B32-C32</f>
        <v>0</v>
      </c>
      <c r="E32" s="79"/>
    </row>
    <row r="33" spans="1:5" ht="15" customHeight="1">
      <c r="A33" s="17"/>
      <c r="B33" s="348"/>
      <c r="C33" s="160"/>
      <c r="D33" s="347"/>
      <c r="E33" s="79"/>
    </row>
    <row r="34" spans="1:5" ht="15" customHeight="1">
      <c r="A34" s="14" t="s">
        <v>70</v>
      </c>
      <c r="B34" s="338">
        <f>B35+B43+B49+B55+B61</f>
        <v>0</v>
      </c>
      <c r="C34" s="339"/>
      <c r="D34" s="338">
        <f>D35+D43+D49+D55+D61</f>
        <v>0</v>
      </c>
      <c r="E34" s="79"/>
    </row>
    <row r="35" spans="1:5" ht="15" customHeight="1">
      <c r="A35" s="15" t="s">
        <v>72</v>
      </c>
      <c r="B35" s="340">
        <f>SUM(B36:B40)</f>
        <v>0</v>
      </c>
      <c r="C35" s="349"/>
      <c r="D35" s="342">
        <f aca="true" t="shared" si="2" ref="D35:D40">B35-C35</f>
        <v>0</v>
      </c>
      <c r="E35" s="79"/>
    </row>
    <row r="36" spans="1:5" ht="12.75">
      <c r="A36" s="61" t="s">
        <v>74</v>
      </c>
      <c r="B36" s="340"/>
      <c r="C36" s="350"/>
      <c r="D36" s="342">
        <f t="shared" si="2"/>
        <v>0</v>
      </c>
      <c r="E36" s="79" t="s">
        <v>114</v>
      </c>
    </row>
    <row r="37" spans="1:5" ht="15" customHeight="1">
      <c r="A37" s="61" t="s">
        <v>76</v>
      </c>
      <c r="B37" s="340"/>
      <c r="C37" s="352"/>
      <c r="D37" s="342">
        <f t="shared" si="2"/>
        <v>0</v>
      </c>
      <c r="E37" s="79"/>
    </row>
    <row r="38" spans="1:5" ht="15" customHeight="1">
      <c r="A38" s="61" t="s">
        <v>78</v>
      </c>
      <c r="B38" s="340"/>
      <c r="C38" s="350"/>
      <c r="D38" s="342">
        <f t="shared" si="2"/>
        <v>0</v>
      </c>
      <c r="E38" s="79"/>
    </row>
    <row r="39" spans="1:5" ht="15" customHeight="1">
      <c r="A39" s="61" t="s">
        <v>79</v>
      </c>
      <c r="B39" s="340"/>
      <c r="C39" s="350"/>
      <c r="D39" s="342">
        <f t="shared" si="2"/>
        <v>0</v>
      </c>
      <c r="E39" s="79"/>
    </row>
    <row r="40" spans="1:5" ht="15" customHeight="1">
      <c r="A40" s="61" t="s">
        <v>38</v>
      </c>
      <c r="B40" s="340"/>
      <c r="C40" s="351"/>
      <c r="D40" s="342">
        <f t="shared" si="2"/>
        <v>0</v>
      </c>
      <c r="E40" s="79"/>
    </row>
    <row r="41" spans="1:5" ht="15" customHeight="1">
      <c r="A41" s="17"/>
      <c r="B41" s="348"/>
      <c r="C41" s="30"/>
      <c r="D41" s="347"/>
      <c r="E41" s="79"/>
    </row>
    <row r="42" spans="1:5" ht="15" customHeight="1">
      <c r="A42" s="15" t="s">
        <v>81</v>
      </c>
      <c r="B42" s="348"/>
      <c r="C42" s="30"/>
      <c r="D42" s="347"/>
      <c r="E42" s="79"/>
    </row>
    <row r="43" spans="1:5" ht="15" customHeight="1">
      <c r="A43" s="60" t="s">
        <v>82</v>
      </c>
      <c r="B43" s="340">
        <f>SUM(B44:B47)</f>
        <v>0</v>
      </c>
      <c r="C43" s="353"/>
      <c r="D43" s="342">
        <f>B43-C43</f>
        <v>0</v>
      </c>
      <c r="E43" s="79" t="s">
        <v>115</v>
      </c>
    </row>
    <row r="44" spans="1:5" ht="15" customHeight="1">
      <c r="A44" s="61" t="s">
        <v>83</v>
      </c>
      <c r="B44" s="340"/>
      <c r="C44" s="350"/>
      <c r="D44" s="342">
        <f>B44-C44</f>
        <v>0</v>
      </c>
      <c r="E44" s="79"/>
    </row>
    <row r="45" spans="1:5" ht="15" customHeight="1">
      <c r="A45" s="61" t="s">
        <v>84</v>
      </c>
      <c r="B45" s="340"/>
      <c r="C45" s="350"/>
      <c r="D45" s="342">
        <f>B45-C45</f>
        <v>0</v>
      </c>
      <c r="E45" s="79"/>
    </row>
    <row r="46" spans="1:5" ht="15" customHeight="1">
      <c r="A46" s="61" t="s">
        <v>85</v>
      </c>
      <c r="B46" s="340"/>
      <c r="C46" s="350"/>
      <c r="D46" s="342">
        <f>B46-C46</f>
        <v>0</v>
      </c>
      <c r="E46" s="79"/>
    </row>
    <row r="47" spans="1:5" ht="15" customHeight="1">
      <c r="A47" s="61" t="s">
        <v>86</v>
      </c>
      <c r="B47" s="340"/>
      <c r="C47" s="351"/>
      <c r="D47" s="342">
        <f>B47-C47</f>
        <v>0</v>
      </c>
      <c r="E47" s="79"/>
    </row>
    <row r="48" spans="1:5" ht="15" customHeight="1">
      <c r="A48" s="17"/>
      <c r="B48" s="348"/>
      <c r="C48" s="354"/>
      <c r="D48" s="347"/>
      <c r="E48" s="79"/>
    </row>
    <row r="49" spans="1:5" ht="15" customHeight="1">
      <c r="A49" s="65" t="s">
        <v>87</v>
      </c>
      <c r="B49" s="355">
        <f>SUM(B50:B53)</f>
        <v>0</v>
      </c>
      <c r="C49" s="353"/>
      <c r="D49" s="342">
        <f>B49-C49</f>
        <v>0</v>
      </c>
      <c r="E49" s="79" t="s">
        <v>115</v>
      </c>
    </row>
    <row r="50" spans="1:5" ht="15" customHeight="1">
      <c r="A50" s="61" t="s">
        <v>83</v>
      </c>
      <c r="B50" s="340"/>
      <c r="C50" s="349"/>
      <c r="D50" s="342">
        <f>B50-C50</f>
        <v>0</v>
      </c>
      <c r="E50" s="79"/>
    </row>
    <row r="51" spans="1:5" ht="15" customHeight="1">
      <c r="A51" s="61" t="s">
        <v>84</v>
      </c>
      <c r="B51" s="340"/>
      <c r="C51" s="350"/>
      <c r="D51" s="342">
        <f>B51-C51</f>
        <v>0</v>
      </c>
      <c r="E51" s="79"/>
    </row>
    <row r="52" spans="1:5" ht="15" customHeight="1">
      <c r="A52" s="61" t="s">
        <v>85</v>
      </c>
      <c r="B52" s="340"/>
      <c r="C52" s="350"/>
      <c r="D52" s="342">
        <f>B52-C52</f>
        <v>0</v>
      </c>
      <c r="E52" s="79"/>
    </row>
    <row r="53" spans="1:5" ht="15" customHeight="1">
      <c r="A53" s="61" t="s">
        <v>86</v>
      </c>
      <c r="B53" s="340"/>
      <c r="C53" s="351"/>
      <c r="D53" s="342">
        <f>B53-C53</f>
        <v>0</v>
      </c>
      <c r="E53" s="79"/>
    </row>
    <row r="54" spans="1:5" ht="15" customHeight="1">
      <c r="A54" s="17"/>
      <c r="B54" s="348"/>
      <c r="C54" s="30"/>
      <c r="D54" s="347"/>
      <c r="E54" s="79"/>
    </row>
    <row r="55" spans="1:5" ht="15" customHeight="1">
      <c r="A55" s="15" t="s">
        <v>89</v>
      </c>
      <c r="B55" s="355">
        <f>SUM(B56:B59)</f>
        <v>0</v>
      </c>
      <c r="C55" s="353"/>
      <c r="D55" s="342">
        <f>B55-C55</f>
        <v>0</v>
      </c>
      <c r="E55" s="79"/>
    </row>
    <row r="56" spans="1:5" ht="15" customHeight="1">
      <c r="A56" s="61" t="s">
        <v>54</v>
      </c>
      <c r="B56" s="340"/>
      <c r="C56" s="356"/>
      <c r="D56" s="342">
        <f>B56-C56</f>
        <v>0</v>
      </c>
      <c r="E56" s="79" t="s">
        <v>116</v>
      </c>
    </row>
    <row r="57" spans="1:5" ht="15" customHeight="1">
      <c r="A57" s="61" t="s">
        <v>90</v>
      </c>
      <c r="B57" s="340"/>
      <c r="C57" s="356"/>
      <c r="D57" s="342">
        <f>B57-C57</f>
        <v>0</v>
      </c>
      <c r="E57" s="79"/>
    </row>
    <row r="58" spans="1:5" ht="15" customHeight="1">
      <c r="A58" s="61" t="s">
        <v>56</v>
      </c>
      <c r="B58" s="340"/>
      <c r="C58" s="356"/>
      <c r="D58" s="342">
        <f>B58-C58</f>
        <v>0</v>
      </c>
      <c r="E58" s="79"/>
    </row>
    <row r="59" spans="1:5" ht="15" customHeight="1">
      <c r="A59" s="61" t="s">
        <v>91</v>
      </c>
      <c r="B59" s="340"/>
      <c r="C59" s="351"/>
      <c r="D59" s="342">
        <f>B59-C59</f>
        <v>0</v>
      </c>
      <c r="E59" s="79"/>
    </row>
    <row r="60" spans="1:5" ht="15" customHeight="1">
      <c r="A60" s="17"/>
      <c r="B60" s="348"/>
      <c r="C60" s="160"/>
      <c r="D60" s="347"/>
      <c r="E60" s="79"/>
    </row>
    <row r="61" spans="1:5" ht="15" customHeight="1">
      <c r="A61" s="65" t="s">
        <v>94</v>
      </c>
      <c r="B61" s="340"/>
      <c r="C61" s="357"/>
      <c r="D61" s="342">
        <f>B61-C61</f>
        <v>0</v>
      </c>
      <c r="E61" s="79"/>
    </row>
    <row r="62" spans="1:5" ht="15" customHeight="1">
      <c r="A62" s="17"/>
      <c r="B62" s="348"/>
      <c r="C62" s="30"/>
      <c r="D62" s="347"/>
      <c r="E62" s="79"/>
    </row>
    <row r="63" spans="1:5" ht="15" customHeight="1">
      <c r="A63" s="21" t="s">
        <v>96</v>
      </c>
      <c r="B63" s="358" t="e">
        <f>B7+B34+B29</f>
        <v>#REF!</v>
      </c>
      <c r="C63" s="358"/>
      <c r="D63" s="358" t="e">
        <f>D7+D34+D29</f>
        <v>#REF!</v>
      </c>
      <c r="E63" s="79"/>
    </row>
    <row r="64" spans="1:5" ht="15" customHeight="1">
      <c r="A64" s="3"/>
      <c r="B64" s="348"/>
      <c r="C64" s="30"/>
      <c r="D64" s="347"/>
      <c r="E64" s="79"/>
    </row>
    <row r="65" spans="1:5" ht="15" customHeight="1">
      <c r="A65" s="13" t="s">
        <v>29</v>
      </c>
      <c r="B65" s="348"/>
      <c r="C65" s="30"/>
      <c r="D65" s="347"/>
      <c r="E65" s="79"/>
    </row>
    <row r="66" spans="1:5" ht="15" customHeight="1">
      <c r="A66" s="24"/>
      <c r="B66" s="348"/>
      <c r="C66" s="30"/>
      <c r="D66" s="347"/>
      <c r="E66" s="79"/>
    </row>
    <row r="67" spans="1:5" ht="15" customHeight="1">
      <c r="A67" s="23" t="s">
        <v>31</v>
      </c>
      <c r="B67" s="358">
        <f>SUM(B68:B72)</f>
        <v>0</v>
      </c>
      <c r="C67" s="358"/>
      <c r="D67" s="358">
        <f>SUM(D68:D72)</f>
        <v>0</v>
      </c>
      <c r="E67" s="79"/>
    </row>
    <row r="68" spans="1:5" ht="14.25" customHeight="1">
      <c r="A68" s="65" t="s">
        <v>33</v>
      </c>
      <c r="B68" s="340"/>
      <c r="C68" s="349"/>
      <c r="D68" s="342">
        <f>B68-C68</f>
        <v>0</v>
      </c>
      <c r="E68" s="79" t="s">
        <v>474</v>
      </c>
    </row>
    <row r="69" spans="1:5" ht="15.75" customHeight="1">
      <c r="A69" s="63" t="s">
        <v>35</v>
      </c>
      <c r="B69" s="340"/>
      <c r="C69" s="350"/>
      <c r="D69" s="342">
        <f>B69-C69</f>
        <v>0</v>
      </c>
      <c r="E69" s="79" t="s">
        <v>475</v>
      </c>
    </row>
    <row r="70" spans="1:5" ht="15" customHeight="1">
      <c r="A70" s="63" t="s">
        <v>37</v>
      </c>
      <c r="B70" s="340"/>
      <c r="C70" s="350"/>
      <c r="D70" s="342">
        <f>B70-C70</f>
        <v>0</v>
      </c>
      <c r="E70" s="79"/>
    </row>
    <row r="71" spans="1:5" ht="15" customHeight="1">
      <c r="A71" s="65" t="s">
        <v>39</v>
      </c>
      <c r="B71" s="340"/>
      <c r="C71" s="350"/>
      <c r="D71" s="342">
        <f>B71-C71</f>
        <v>0</v>
      </c>
      <c r="E71" s="79"/>
    </row>
    <row r="72" spans="1:5" ht="15" customHeight="1">
      <c r="A72" s="65" t="s">
        <v>40</v>
      </c>
      <c r="B72" s="340"/>
      <c r="C72" s="351"/>
      <c r="D72" s="342">
        <f>B72-C72</f>
        <v>0</v>
      </c>
      <c r="E72" s="79" t="s">
        <v>543</v>
      </c>
    </row>
    <row r="73" spans="1:5" ht="15" customHeight="1">
      <c r="A73" s="17"/>
      <c r="B73" s="348"/>
      <c r="C73" s="30"/>
      <c r="D73" s="347"/>
      <c r="E73" s="79"/>
    </row>
    <row r="74" spans="1:5" ht="15" customHeight="1">
      <c r="A74" s="14" t="s">
        <v>100</v>
      </c>
      <c r="B74" s="358">
        <f>SUM(B75:B76)</f>
        <v>0</v>
      </c>
      <c r="C74" s="358"/>
      <c r="D74" s="358">
        <f>SUM(D75:D76)</f>
        <v>0</v>
      </c>
      <c r="E74" s="79"/>
    </row>
    <row r="75" spans="1:5" ht="15.75" customHeight="1">
      <c r="A75" s="63" t="s">
        <v>44</v>
      </c>
      <c r="B75" s="340"/>
      <c r="C75" s="349"/>
      <c r="D75" s="342">
        <f>B75-C75</f>
        <v>0</v>
      </c>
      <c r="E75" s="79" t="s">
        <v>110</v>
      </c>
    </row>
    <row r="76" spans="1:5" ht="16.5" customHeight="1">
      <c r="A76" s="63" t="s">
        <v>46</v>
      </c>
      <c r="B76" s="340"/>
      <c r="C76" s="351"/>
      <c r="D76" s="342">
        <f>B76-C76</f>
        <v>0</v>
      </c>
      <c r="E76" s="79" t="s">
        <v>117</v>
      </c>
    </row>
    <row r="77" spans="1:5" ht="15" customHeight="1">
      <c r="A77" s="17"/>
      <c r="B77" s="348"/>
      <c r="C77" s="30"/>
      <c r="D77" s="347"/>
      <c r="E77" s="79"/>
    </row>
    <row r="78" spans="1:5" ht="15" customHeight="1">
      <c r="A78" s="14" t="s">
        <v>49</v>
      </c>
      <c r="B78" s="358">
        <f>SUM(B79:B80)</f>
        <v>0</v>
      </c>
      <c r="C78" s="358"/>
      <c r="D78" s="358">
        <f>SUM(D79:D80)</f>
        <v>0</v>
      </c>
      <c r="E78" s="79"/>
    </row>
    <row r="79" spans="1:5" ht="15" customHeight="1">
      <c r="A79" s="15" t="s">
        <v>51</v>
      </c>
      <c r="B79" s="340"/>
      <c r="C79" s="349"/>
      <c r="D79" s="342">
        <f>B79-C79</f>
        <v>0</v>
      </c>
      <c r="E79" s="79"/>
    </row>
    <row r="80" spans="1:5" ht="12.75">
      <c r="A80" s="17" t="s">
        <v>52</v>
      </c>
      <c r="B80" s="340"/>
      <c r="C80" s="351"/>
      <c r="D80" s="342">
        <f>B80-C80</f>
        <v>0</v>
      </c>
      <c r="E80" s="79" t="s">
        <v>118</v>
      </c>
    </row>
    <row r="81" spans="1:5" ht="15" customHeight="1">
      <c r="A81" s="17"/>
      <c r="B81" s="348"/>
      <c r="C81" s="30"/>
      <c r="D81" s="347"/>
      <c r="E81" s="79"/>
    </row>
    <row r="82" spans="1:5" ht="15" customHeight="1">
      <c r="A82" s="19" t="s">
        <v>55</v>
      </c>
      <c r="B82" s="358">
        <f>B83+B84+B85</f>
        <v>0</v>
      </c>
      <c r="C82" s="358"/>
      <c r="D82" s="358">
        <f>D83+D84+D85</f>
        <v>0</v>
      </c>
      <c r="E82" s="79"/>
    </row>
    <row r="83" spans="1:5" ht="15" customHeight="1">
      <c r="A83" s="17" t="s">
        <v>57</v>
      </c>
      <c r="B83" s="340"/>
      <c r="C83" s="349"/>
      <c r="D83" s="342">
        <f>B83-C83</f>
        <v>0</v>
      </c>
      <c r="E83" s="79"/>
    </row>
    <row r="84" spans="1:5" ht="12.75">
      <c r="A84" s="17" t="s">
        <v>59</v>
      </c>
      <c r="B84" s="340"/>
      <c r="C84" s="350"/>
      <c r="D84" s="342">
        <f>B84-C84</f>
        <v>0</v>
      </c>
      <c r="E84" s="79" t="s">
        <v>108</v>
      </c>
    </row>
    <row r="85" spans="1:5" ht="15" customHeight="1">
      <c r="A85" s="17" t="s">
        <v>61</v>
      </c>
      <c r="B85" s="340"/>
      <c r="C85" s="351"/>
      <c r="D85" s="342">
        <f>B85-C85</f>
        <v>0</v>
      </c>
      <c r="E85" s="79"/>
    </row>
    <row r="86" spans="1:5" ht="15" customHeight="1">
      <c r="A86" s="17"/>
      <c r="B86" s="348"/>
      <c r="C86" s="30"/>
      <c r="D86" s="347"/>
      <c r="E86" s="79"/>
    </row>
    <row r="87" spans="1:5" ht="15" customHeight="1">
      <c r="A87" s="14" t="s">
        <v>62</v>
      </c>
      <c r="B87" s="358">
        <f>B88+B98</f>
        <v>0</v>
      </c>
      <c r="C87" s="358"/>
      <c r="D87" s="358">
        <f>D88+D98</f>
        <v>0</v>
      </c>
      <c r="E87" s="79"/>
    </row>
    <row r="88" spans="1:5" ht="15" customHeight="1">
      <c r="A88" s="14" t="s">
        <v>101</v>
      </c>
      <c r="B88" s="358">
        <f>SUM(B89:B96)</f>
        <v>0</v>
      </c>
      <c r="C88" s="358"/>
      <c r="D88" s="358">
        <f>SUM(D89:D96)</f>
        <v>0</v>
      </c>
      <c r="E88" s="79" t="s">
        <v>476</v>
      </c>
    </row>
    <row r="89" spans="1:5" ht="15" customHeight="1">
      <c r="A89" s="61" t="s">
        <v>64</v>
      </c>
      <c r="B89" s="340"/>
      <c r="C89" s="349"/>
      <c r="D89" s="342">
        <f>B89-C89</f>
        <v>0</v>
      </c>
      <c r="E89" s="79"/>
    </row>
    <row r="90" spans="1:5" ht="15" customHeight="1">
      <c r="A90" s="61" t="s">
        <v>66</v>
      </c>
      <c r="B90" s="340"/>
      <c r="C90" s="350"/>
      <c r="D90" s="342">
        <f aca="true" t="shared" si="3" ref="D90:D96">B90-C90</f>
        <v>0</v>
      </c>
      <c r="E90" s="79"/>
    </row>
    <row r="91" spans="1:5" ht="15" customHeight="1">
      <c r="A91" s="61" t="s">
        <v>68</v>
      </c>
      <c r="B91" s="340"/>
      <c r="C91" s="350"/>
      <c r="D91" s="342">
        <f t="shared" si="3"/>
        <v>0</v>
      </c>
      <c r="E91" s="79"/>
    </row>
    <row r="92" spans="1:5" ht="15" customHeight="1">
      <c r="A92" s="61" t="s">
        <v>69</v>
      </c>
      <c r="B92" s="340"/>
      <c r="C92" s="350"/>
      <c r="D92" s="342">
        <f t="shared" si="3"/>
        <v>0</v>
      </c>
      <c r="E92" s="79"/>
    </row>
    <row r="93" spans="1:5" ht="15" customHeight="1">
      <c r="A93" s="61" t="s">
        <v>71</v>
      </c>
      <c r="B93" s="340"/>
      <c r="C93" s="350"/>
      <c r="D93" s="342">
        <f t="shared" si="3"/>
        <v>0</v>
      </c>
      <c r="E93" s="79"/>
    </row>
    <row r="94" spans="1:5" ht="15" customHeight="1">
      <c r="A94" s="61" t="s">
        <v>73</v>
      </c>
      <c r="B94" s="340"/>
      <c r="C94" s="350"/>
      <c r="D94" s="342">
        <f t="shared" si="3"/>
        <v>0</v>
      </c>
      <c r="E94" s="79"/>
    </row>
    <row r="95" spans="1:5" ht="15" customHeight="1">
      <c r="A95" s="61" t="s">
        <v>75</v>
      </c>
      <c r="B95" s="340"/>
      <c r="C95" s="350"/>
      <c r="D95" s="342">
        <f t="shared" si="3"/>
        <v>0</v>
      </c>
      <c r="E95" s="79"/>
    </row>
    <row r="96" spans="1:5" ht="15" customHeight="1">
      <c r="A96" s="61" t="s">
        <v>77</v>
      </c>
      <c r="B96" s="340"/>
      <c r="C96" s="351"/>
      <c r="D96" s="342">
        <f t="shared" si="3"/>
        <v>0</v>
      </c>
      <c r="E96" s="79"/>
    </row>
    <row r="97" spans="1:5" ht="15" customHeight="1">
      <c r="A97" s="17"/>
      <c r="B97" s="348"/>
      <c r="C97" s="30"/>
      <c r="D97" s="347"/>
      <c r="E97" s="79"/>
    </row>
    <row r="98" spans="1:5" ht="15" customHeight="1">
      <c r="A98" s="14" t="s">
        <v>80</v>
      </c>
      <c r="B98" s="358">
        <f>SUM(B99:B106)</f>
        <v>0</v>
      </c>
      <c r="C98" s="358"/>
      <c r="D98" s="358">
        <f>SUM(D99:D106)</f>
        <v>0</v>
      </c>
      <c r="E98" s="79"/>
    </row>
    <row r="99" spans="1:5" ht="15" customHeight="1">
      <c r="A99" s="61" t="s">
        <v>64</v>
      </c>
      <c r="B99" s="340"/>
      <c r="C99" s="349"/>
      <c r="D99" s="342">
        <f>B99-C99</f>
        <v>0</v>
      </c>
      <c r="E99" s="79"/>
    </row>
    <row r="100" spans="1:5" ht="15" customHeight="1">
      <c r="A100" s="61" t="s">
        <v>66</v>
      </c>
      <c r="B100" s="340"/>
      <c r="C100" s="350"/>
      <c r="D100" s="342">
        <f aca="true" t="shared" si="4" ref="D100:D106">B100-C100</f>
        <v>0</v>
      </c>
      <c r="E100" s="79"/>
    </row>
    <row r="101" spans="1:5" ht="15" customHeight="1">
      <c r="A101" s="61" t="s">
        <v>68</v>
      </c>
      <c r="B101" s="340"/>
      <c r="C101" s="350"/>
      <c r="D101" s="342">
        <f t="shared" si="4"/>
        <v>0</v>
      </c>
      <c r="E101" s="79"/>
    </row>
    <row r="102" spans="1:5" ht="15" customHeight="1">
      <c r="A102" s="61" t="s">
        <v>69</v>
      </c>
      <c r="B102" s="340"/>
      <c r="C102" s="350"/>
      <c r="D102" s="342">
        <f t="shared" si="4"/>
        <v>0</v>
      </c>
      <c r="E102" s="79"/>
    </row>
    <row r="103" spans="1:5" ht="15" customHeight="1">
      <c r="A103" s="61" t="s">
        <v>71</v>
      </c>
      <c r="B103" s="340"/>
      <c r="C103" s="350"/>
      <c r="D103" s="342">
        <f t="shared" si="4"/>
        <v>0</v>
      </c>
      <c r="E103" s="79"/>
    </row>
    <row r="104" spans="1:5" ht="15" customHeight="1">
      <c r="A104" s="61" t="s">
        <v>73</v>
      </c>
      <c r="B104" s="340"/>
      <c r="C104" s="350"/>
      <c r="D104" s="342">
        <f t="shared" si="4"/>
        <v>0</v>
      </c>
      <c r="E104" s="79" t="s">
        <v>119</v>
      </c>
    </row>
    <row r="105" spans="1:5" ht="15" customHeight="1">
      <c r="A105" s="61" t="s">
        <v>75</v>
      </c>
      <c r="B105" s="340"/>
      <c r="C105" s="350"/>
      <c r="D105" s="342">
        <f t="shared" si="4"/>
        <v>0</v>
      </c>
      <c r="E105" s="79"/>
    </row>
    <row r="106" spans="1:5" ht="15" customHeight="1">
      <c r="A106" s="61" t="s">
        <v>77</v>
      </c>
      <c r="B106" s="340"/>
      <c r="C106" s="351"/>
      <c r="D106" s="342">
        <f t="shared" si="4"/>
        <v>0</v>
      </c>
      <c r="E106" s="79" t="s">
        <v>120</v>
      </c>
    </row>
    <row r="107" spans="1:4" ht="15" customHeight="1">
      <c r="A107" s="17"/>
      <c r="B107" s="348"/>
      <c r="C107" s="30"/>
      <c r="D107" s="347"/>
    </row>
    <row r="108" spans="1:5" ht="15" customHeight="1">
      <c r="A108" s="14" t="s">
        <v>88</v>
      </c>
      <c r="B108" s="358">
        <f>B98+B88+B82+B78+B74+B67</f>
        <v>0</v>
      </c>
      <c r="C108" s="358"/>
      <c r="D108" s="358">
        <f>D98+D88+D82+D78+D74+D67</f>
        <v>0</v>
      </c>
      <c r="E108" s="172"/>
    </row>
    <row r="109" spans="1:4" ht="15" customHeight="1">
      <c r="A109" s="17"/>
      <c r="B109" s="358"/>
      <c r="C109" s="293"/>
      <c r="D109" s="347"/>
    </row>
    <row r="110" spans="1:5" ht="12.75">
      <c r="A110" s="14" t="s">
        <v>92</v>
      </c>
      <c r="B110" s="359" t="e">
        <f>100*(B67+B74)/(B108-B103-B93)</f>
        <v>#DIV/0!</v>
      </c>
      <c r="C110" s="347"/>
      <c r="D110" s="359">
        <f>IF((D108+D103+D93)=0,0,100*(D67+D74)/(D108-D103-D93))</f>
        <v>0</v>
      </c>
      <c r="E110" s="29" t="s">
        <v>106</v>
      </c>
    </row>
    <row r="111" spans="1:4" ht="15" customHeight="1">
      <c r="A111" s="20" t="s">
        <v>93</v>
      </c>
      <c r="B111" s="348"/>
      <c r="C111" s="30"/>
      <c r="D111" s="347"/>
    </row>
    <row r="112" spans="1:4" ht="15" customHeight="1">
      <c r="A112" s="17" t="s">
        <v>469</v>
      </c>
      <c r="B112" s="358">
        <f>B61</f>
        <v>0</v>
      </c>
      <c r="C112" s="347"/>
      <c r="D112" s="358">
        <f>D61</f>
        <v>0</v>
      </c>
    </row>
    <row r="113" spans="1:4" ht="15" customHeight="1">
      <c r="A113" s="17" t="s">
        <v>95</v>
      </c>
      <c r="B113" s="360">
        <f>B112/Tuloslaskelma!A10*1000</f>
        <v>0</v>
      </c>
      <c r="C113" s="347"/>
      <c r="D113" s="360">
        <f>D112/Tuloslaskelma!A10*1000</f>
        <v>0</v>
      </c>
    </row>
    <row r="114" spans="1:4" ht="15" customHeight="1">
      <c r="A114" s="20" t="s">
        <v>97</v>
      </c>
      <c r="B114" s="348"/>
      <c r="C114" s="30"/>
      <c r="D114" s="347"/>
    </row>
    <row r="115" spans="1:5" ht="15" customHeight="1">
      <c r="A115" s="17" t="s">
        <v>469</v>
      </c>
      <c r="B115" s="358">
        <f>B87-(B93+B103+B94+B104+B96+B106+B95+B105)</f>
        <v>0</v>
      </c>
      <c r="C115" s="347"/>
      <c r="D115" s="358">
        <f>D87-(D93+D103+D94+D104+D96+D106+D95+D105)</f>
        <v>0</v>
      </c>
      <c r="E115" s="29" t="s">
        <v>468</v>
      </c>
    </row>
    <row r="116" spans="1:4" ht="15" customHeight="1">
      <c r="A116" s="17" t="s">
        <v>95</v>
      </c>
      <c r="B116" s="360">
        <f>B115/Tuloslaskelma!$A$10*1000</f>
        <v>0</v>
      </c>
      <c r="C116" s="347"/>
      <c r="D116" s="360">
        <f>D115/Tuloslaskelma!$A$10*1000</f>
        <v>0</v>
      </c>
    </row>
    <row r="117" spans="1:4" ht="15" customHeight="1">
      <c r="A117" s="17"/>
      <c r="B117" s="361"/>
      <c r="C117" s="30"/>
      <c r="D117" s="347"/>
    </row>
    <row r="118" spans="1:4" ht="12.75">
      <c r="A118" s="25"/>
      <c r="B118" s="361"/>
      <c r="C118" s="362"/>
      <c r="D118" s="361"/>
    </row>
    <row r="119" spans="1:5" s="7" customFormat="1" ht="18.75" customHeight="1">
      <c r="A119" s="26" t="s">
        <v>601</v>
      </c>
      <c r="B119" s="363">
        <f>100*(B87-B93-B103)/(Tuloslaskelma!B12+Tuloslaskelma!B41+Tuloslaskelma!B46)</f>
        <v>0</v>
      </c>
      <c r="C119" s="347"/>
      <c r="D119" s="364">
        <f>100*(D87-D93-D103)/(Tuloslaskelma!D12+Tuloslaskelma!D41+Tuloslaskelma!D46)</f>
        <v>0</v>
      </c>
      <c r="E119" s="29" t="s">
        <v>107</v>
      </c>
    </row>
    <row r="121" ht="12.75">
      <c r="B121" s="38"/>
    </row>
    <row r="123" ht="12.75">
      <c r="B123" s="30"/>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G328"/>
  <sheetViews>
    <sheetView zoomScale="115" zoomScaleNormal="115" zoomScalePageLayoutView="0" workbookViewId="0" topLeftCell="R3">
      <pane ySplit="14" topLeftCell="A249" activePane="bottomLeft" state="frozen"/>
      <selection pane="topLeft" activeCell="A3" sqref="A3"/>
      <selection pane="bottomLeft" activeCell="A255" sqref="A255:IV255"/>
    </sheetView>
  </sheetViews>
  <sheetFormatPr defaultColWidth="9.140625" defaultRowHeight="12.75"/>
  <cols>
    <col min="1" max="1" width="4.57421875" style="81" customWidth="1"/>
    <col min="2" max="2" width="11.8515625" style="81" customWidth="1"/>
    <col min="3" max="3" width="3.8515625" style="81" customWidth="1"/>
    <col min="4" max="4" width="8.57421875" style="85" customWidth="1"/>
    <col min="5" max="5" width="14.00390625" style="85" customWidth="1"/>
    <col min="6" max="6" width="11.57421875" style="85" customWidth="1"/>
    <col min="7" max="7" width="11.140625" style="85" customWidth="1"/>
    <col min="8" max="8" width="12.8515625" style="85" customWidth="1"/>
    <col min="9" max="10" width="11.28125" style="105" customWidth="1"/>
    <col min="11" max="11" width="9.8515625" style="85" customWidth="1"/>
    <col min="12" max="12" width="10.28125" style="85" customWidth="1"/>
    <col min="13" max="13" width="10.140625" style="118" customWidth="1"/>
    <col min="14" max="14" width="10.00390625" style="118" customWidth="1"/>
    <col min="15" max="15" width="12.57421875" style="86" customWidth="1"/>
    <col min="16" max="16" width="9.7109375" style="86" customWidth="1"/>
    <col min="17" max="17" width="3.00390625" style="85" customWidth="1"/>
    <col min="18" max="18" width="14.421875" style="85" customWidth="1"/>
    <col min="19" max="19" width="12.28125" style="85" customWidth="1"/>
    <col min="20" max="21" width="11.28125" style="85" customWidth="1"/>
    <col min="22" max="22" width="12.28125" style="85" customWidth="1"/>
    <col min="23" max="23" width="10.8515625" style="85" customWidth="1"/>
    <col min="24" max="24" width="12.140625" style="85" customWidth="1"/>
    <col min="25" max="25" width="11.140625" style="85" customWidth="1"/>
    <col min="26" max="26" width="2.28125" style="85" customWidth="1"/>
    <col min="27" max="27" width="12.140625" style="105" customWidth="1"/>
    <col min="28" max="28" width="10.28125" style="105" customWidth="1"/>
    <col min="29" max="29" width="8.57421875" style="0" customWidth="1"/>
    <col min="30" max="30" width="12.00390625" style="0" bestFit="1" customWidth="1"/>
    <col min="35" max="35" width="3.421875" style="287" customWidth="1"/>
    <col min="36" max="36" width="12.7109375" style="0" customWidth="1"/>
    <col min="37" max="37" width="9.8515625" style="0" customWidth="1"/>
    <col min="38" max="38" width="10.7109375" style="0" bestFit="1" customWidth="1"/>
    <col min="39" max="39" width="12.28125" style="0" customWidth="1"/>
    <col min="40" max="44" width="15.7109375" style="0" customWidth="1"/>
    <col min="49" max="49" width="10.7109375" style="0" customWidth="1"/>
    <col min="50" max="50" width="14.140625" style="0" customWidth="1"/>
    <col min="51" max="51" width="15.7109375" style="0" customWidth="1"/>
    <col min="52" max="52" width="4.28125" style="108" customWidth="1"/>
    <col min="53" max="53" width="14.28125" style="0" bestFit="1" customWidth="1"/>
    <col min="54" max="59" width="8.7109375" style="0" customWidth="1"/>
  </cols>
  <sheetData>
    <row r="1" spans="2:111" ht="12.75">
      <c r="B1" s="103">
        <v>1</v>
      </c>
      <c r="C1" s="103">
        <v>2</v>
      </c>
      <c r="D1" s="103">
        <v>3</v>
      </c>
      <c r="E1" s="103">
        <v>4</v>
      </c>
      <c r="F1" s="103">
        <v>5</v>
      </c>
      <c r="G1" s="103">
        <v>6</v>
      </c>
      <c r="H1" s="103">
        <v>7</v>
      </c>
      <c r="I1" s="103">
        <v>8</v>
      </c>
      <c r="J1" s="103">
        <v>9</v>
      </c>
      <c r="K1" s="103">
        <v>10</v>
      </c>
      <c r="L1" s="103">
        <v>11</v>
      </c>
      <c r="M1" s="103">
        <v>12</v>
      </c>
      <c r="N1" s="103">
        <v>13</v>
      </c>
      <c r="O1" s="103">
        <v>14</v>
      </c>
      <c r="P1" s="103">
        <v>15</v>
      </c>
      <c r="Q1" s="103">
        <v>16</v>
      </c>
      <c r="R1" s="103">
        <v>17</v>
      </c>
      <c r="S1" s="103">
        <v>18</v>
      </c>
      <c r="T1" s="103">
        <v>19</v>
      </c>
      <c r="U1" s="103">
        <v>20</v>
      </c>
      <c r="V1" s="103">
        <v>21</v>
      </c>
      <c r="W1" s="103">
        <v>22</v>
      </c>
      <c r="X1" s="103">
        <v>23</v>
      </c>
      <c r="Y1" s="103">
        <v>24</v>
      </c>
      <c r="Z1" s="103">
        <v>25</v>
      </c>
      <c r="AA1" s="103">
        <v>26</v>
      </c>
      <c r="AB1" s="103">
        <v>27</v>
      </c>
      <c r="AC1" s="103">
        <v>28</v>
      </c>
      <c r="AD1" s="103">
        <v>29</v>
      </c>
      <c r="AE1" s="103">
        <v>30</v>
      </c>
      <c r="AF1" s="103">
        <v>31</v>
      </c>
      <c r="AG1" s="103">
        <v>32</v>
      </c>
      <c r="AH1" s="103">
        <v>33</v>
      </c>
      <c r="AI1" s="103">
        <v>34</v>
      </c>
      <c r="AJ1" s="103">
        <v>35</v>
      </c>
      <c r="AK1" s="103">
        <v>36</v>
      </c>
      <c r="AL1" s="103">
        <v>37</v>
      </c>
      <c r="AM1" s="103">
        <v>38</v>
      </c>
      <c r="AN1" s="103">
        <v>39</v>
      </c>
      <c r="AO1" s="103">
        <v>40</v>
      </c>
      <c r="AP1" s="103">
        <v>41</v>
      </c>
      <c r="AQ1" s="103">
        <v>42</v>
      </c>
      <c r="AR1" s="103">
        <v>43</v>
      </c>
      <c r="AS1" s="103">
        <v>44</v>
      </c>
      <c r="AT1" s="103">
        <v>45</v>
      </c>
      <c r="AU1" s="103">
        <v>46</v>
      </c>
      <c r="AV1" s="103">
        <v>47</v>
      </c>
      <c r="AW1" s="103">
        <v>48</v>
      </c>
      <c r="AX1" s="103">
        <v>49</v>
      </c>
      <c r="AY1" s="103">
        <v>50</v>
      </c>
      <c r="AZ1" s="404"/>
      <c r="BA1" s="103">
        <v>51</v>
      </c>
      <c r="BB1" s="103">
        <v>52</v>
      </c>
      <c r="BC1" s="103"/>
      <c r="BD1" s="103">
        <v>53</v>
      </c>
      <c r="BE1" s="103">
        <v>54</v>
      </c>
      <c r="BF1" s="103">
        <v>55</v>
      </c>
      <c r="BG1" s="103">
        <v>56</v>
      </c>
      <c r="BH1" s="103">
        <v>57</v>
      </c>
      <c r="BI1" s="103">
        <v>58</v>
      </c>
      <c r="BJ1" s="103">
        <v>59</v>
      </c>
      <c r="BK1" s="103">
        <v>60</v>
      </c>
      <c r="BL1" s="103">
        <v>61</v>
      </c>
      <c r="BM1" s="103">
        <v>62</v>
      </c>
      <c r="BN1" s="103">
        <v>63</v>
      </c>
      <c r="BO1" s="103">
        <v>64</v>
      </c>
      <c r="BP1" s="103">
        <v>65</v>
      </c>
      <c r="BQ1" s="103">
        <v>66</v>
      </c>
      <c r="BR1" s="103">
        <v>67</v>
      </c>
      <c r="BS1" s="103">
        <v>68</v>
      </c>
      <c r="BT1" s="103">
        <v>69</v>
      </c>
      <c r="BU1" s="103">
        <v>70</v>
      </c>
      <c r="BV1" s="103">
        <v>71</v>
      </c>
      <c r="BW1" s="103">
        <v>72</v>
      </c>
      <c r="BX1" s="103">
        <v>73</v>
      </c>
      <c r="BY1" s="103">
        <v>74</v>
      </c>
      <c r="BZ1" s="103">
        <v>75</v>
      </c>
      <c r="CA1" s="103">
        <v>76</v>
      </c>
      <c r="CB1" s="103">
        <v>77</v>
      </c>
      <c r="CC1" s="103">
        <v>78</v>
      </c>
      <c r="CD1" s="103">
        <v>79</v>
      </c>
      <c r="CE1" s="103">
        <v>80</v>
      </c>
      <c r="CF1" s="103">
        <v>81</v>
      </c>
      <c r="CG1" s="103">
        <v>82</v>
      </c>
      <c r="CH1" s="103">
        <v>83</v>
      </c>
      <c r="CI1" s="103">
        <v>84</v>
      </c>
      <c r="CJ1" s="103">
        <v>85</v>
      </c>
      <c r="CK1" s="103">
        <v>86</v>
      </c>
      <c r="CL1" s="103">
        <v>87</v>
      </c>
      <c r="CM1" s="103">
        <v>88</v>
      </c>
      <c r="CN1" s="103">
        <v>89</v>
      </c>
      <c r="CO1" s="103">
        <v>90</v>
      </c>
      <c r="CP1" s="103">
        <v>91</v>
      </c>
      <c r="CQ1" s="103">
        <v>92</v>
      </c>
      <c r="CR1" s="103">
        <v>93</v>
      </c>
      <c r="CS1" s="103">
        <v>94</v>
      </c>
      <c r="CT1" s="103">
        <v>95</v>
      </c>
      <c r="CU1" s="103">
        <v>96</v>
      </c>
      <c r="CV1" s="103">
        <v>97</v>
      </c>
      <c r="CW1" s="103">
        <v>98</v>
      </c>
      <c r="CX1" s="103">
        <v>99</v>
      </c>
      <c r="CY1" s="103">
        <v>100</v>
      </c>
      <c r="CZ1" s="103">
        <v>101</v>
      </c>
      <c r="DA1" s="103">
        <v>102</v>
      </c>
      <c r="DB1" s="103">
        <v>103</v>
      </c>
      <c r="DC1" s="103">
        <v>104</v>
      </c>
      <c r="DD1" s="103">
        <v>105</v>
      </c>
      <c r="DE1" s="103">
        <v>106</v>
      </c>
      <c r="DF1" s="103">
        <v>107</v>
      </c>
      <c r="DG1" s="103">
        <v>108</v>
      </c>
    </row>
    <row r="2" spans="1:2" ht="17.25">
      <c r="A2" s="186" t="s">
        <v>580</v>
      </c>
      <c r="B2" s="187"/>
    </row>
    <row r="3" spans="1:2" ht="13.5">
      <c r="A3" s="188" t="s">
        <v>581</v>
      </c>
      <c r="B3" s="187"/>
    </row>
    <row r="4" spans="1:2" ht="12.75">
      <c r="A4" s="189"/>
      <c r="B4" s="190"/>
    </row>
    <row r="5" spans="1:64" ht="12.75">
      <c r="A5" s="191"/>
      <c r="B5" s="187">
        <v>1</v>
      </c>
      <c r="C5" s="81">
        <v>2</v>
      </c>
      <c r="D5" s="85">
        <v>3</v>
      </c>
      <c r="E5" s="187">
        <v>4</v>
      </c>
      <c r="F5" s="81">
        <v>5</v>
      </c>
      <c r="G5" s="85">
        <v>6</v>
      </c>
      <c r="H5" s="187">
        <v>7</v>
      </c>
      <c r="I5" s="81">
        <v>8</v>
      </c>
      <c r="J5" s="85">
        <v>9</v>
      </c>
      <c r="K5" s="187">
        <v>10</v>
      </c>
      <c r="L5" s="81">
        <v>11</v>
      </c>
      <c r="M5" s="85">
        <v>12</v>
      </c>
      <c r="N5" s="187">
        <v>13</v>
      </c>
      <c r="O5" s="81">
        <v>14</v>
      </c>
      <c r="P5" s="85">
        <v>15</v>
      </c>
      <c r="Q5" s="187">
        <v>16</v>
      </c>
      <c r="R5" s="81">
        <v>17</v>
      </c>
      <c r="S5" s="85">
        <v>18</v>
      </c>
      <c r="T5" s="187">
        <v>19</v>
      </c>
      <c r="U5" s="81">
        <v>20</v>
      </c>
      <c r="V5" s="85">
        <v>21</v>
      </c>
      <c r="W5" s="187">
        <v>22</v>
      </c>
      <c r="X5" s="81">
        <v>23</v>
      </c>
      <c r="Y5" s="85">
        <v>24</v>
      </c>
      <c r="Z5" s="187">
        <v>25</v>
      </c>
      <c r="AA5" s="81">
        <v>26</v>
      </c>
      <c r="AB5" s="85">
        <v>27</v>
      </c>
      <c r="AC5" s="187">
        <v>28</v>
      </c>
      <c r="AD5" s="81">
        <v>29</v>
      </c>
      <c r="AE5" s="85">
        <v>30</v>
      </c>
      <c r="AF5" s="187">
        <v>31</v>
      </c>
      <c r="AG5" s="81">
        <v>32</v>
      </c>
      <c r="AH5" s="85">
        <v>33</v>
      </c>
      <c r="AI5" s="187">
        <v>34</v>
      </c>
      <c r="AJ5" s="81">
        <v>35</v>
      </c>
      <c r="AK5" s="85">
        <v>36</v>
      </c>
      <c r="AL5" s="187">
        <v>37</v>
      </c>
      <c r="AM5" s="81">
        <v>38</v>
      </c>
      <c r="AN5" s="85">
        <v>39</v>
      </c>
      <c r="AO5" s="187">
        <v>40</v>
      </c>
      <c r="AP5" s="81">
        <v>41</v>
      </c>
      <c r="AQ5" s="85">
        <v>42</v>
      </c>
      <c r="AR5" s="187">
        <v>43</v>
      </c>
      <c r="AS5" s="81">
        <v>44</v>
      </c>
      <c r="AT5" s="85">
        <v>45</v>
      </c>
      <c r="AU5" s="187">
        <v>46</v>
      </c>
      <c r="AV5" s="81">
        <v>47</v>
      </c>
      <c r="AW5" s="85">
        <v>48</v>
      </c>
      <c r="AX5" s="187">
        <v>49</v>
      </c>
      <c r="AY5" s="81">
        <v>50</v>
      </c>
      <c r="AZ5" s="429">
        <v>51</v>
      </c>
      <c r="BA5" s="187">
        <v>52</v>
      </c>
      <c r="BB5" s="81">
        <v>53</v>
      </c>
      <c r="BC5" s="85">
        <v>54</v>
      </c>
      <c r="BD5" s="187">
        <v>55</v>
      </c>
      <c r="BE5" s="81">
        <v>56</v>
      </c>
      <c r="BF5" s="85">
        <v>57</v>
      </c>
      <c r="BG5" s="187">
        <v>58</v>
      </c>
      <c r="BH5" s="81">
        <v>59</v>
      </c>
      <c r="BI5" s="85">
        <v>60</v>
      </c>
      <c r="BJ5" s="187">
        <v>61</v>
      </c>
      <c r="BK5" s="81">
        <v>62</v>
      </c>
      <c r="BL5" s="85">
        <v>63</v>
      </c>
    </row>
    <row r="6" spans="1:34" ht="12.75">
      <c r="A6" s="86"/>
      <c r="B6" s="190"/>
      <c r="AD6" s="144"/>
      <c r="AE6" s="144"/>
      <c r="AF6" s="144"/>
      <c r="AG6" s="144"/>
      <c r="AH6" s="144"/>
    </row>
    <row r="7" spans="1:2" ht="12.75">
      <c r="A7" s="86"/>
      <c r="B7" s="190"/>
    </row>
    <row r="8" spans="1:50" ht="12.75">
      <c r="A8" s="191"/>
      <c r="B8" s="190"/>
      <c r="R8" s="87" t="s">
        <v>582</v>
      </c>
      <c r="S8" s="277"/>
      <c r="T8" s="277"/>
      <c r="U8" s="277"/>
      <c r="V8" s="277"/>
      <c r="W8" s="278"/>
      <c r="X8" s="277"/>
      <c r="Y8" s="277"/>
      <c r="Z8" s="279"/>
      <c r="AD8" s="144"/>
      <c r="AE8" s="144"/>
      <c r="AF8" s="144"/>
      <c r="AG8" s="144"/>
      <c r="AH8" s="144"/>
      <c r="AX8" s="82">
        <v>1000</v>
      </c>
    </row>
    <row r="9" spans="1:50" ht="12.75">
      <c r="A9" s="86"/>
      <c r="B9" s="190"/>
      <c r="R9" s="88" t="s">
        <v>686</v>
      </c>
      <c r="S9" s="89"/>
      <c r="T9" s="89"/>
      <c r="U9" s="89"/>
      <c r="V9" s="89"/>
      <c r="W9" s="90"/>
      <c r="X9" s="89"/>
      <c r="Y9" s="89"/>
      <c r="Z9" s="91"/>
      <c r="AD9" s="144"/>
      <c r="AE9" s="144"/>
      <c r="AF9" s="144"/>
      <c r="AG9" s="144"/>
      <c r="AH9" s="144"/>
      <c r="AX9" s="430"/>
    </row>
    <row r="10" spans="1:28" ht="12.75">
      <c r="A10" s="191"/>
      <c r="B10" s="190"/>
      <c r="I10" s="192"/>
      <c r="J10" s="192"/>
      <c r="AA10" s="147"/>
      <c r="AB10" s="83"/>
    </row>
    <row r="11" spans="1:53" ht="12.75">
      <c r="A11" s="193"/>
      <c r="B11" s="190"/>
      <c r="F11" s="194"/>
      <c r="H11" s="81"/>
      <c r="I11" s="156"/>
      <c r="J11" s="156"/>
      <c r="S11" s="194"/>
      <c r="U11" s="81"/>
      <c r="V11" s="81"/>
      <c r="AA11" s="147"/>
      <c r="AB11" s="83"/>
      <c r="AD11" s="280" t="s">
        <v>481</v>
      </c>
      <c r="AE11" s="281"/>
      <c r="AF11" s="281"/>
      <c r="AG11" s="281"/>
      <c r="AH11" s="282"/>
      <c r="BA11" s="289" t="s">
        <v>681</v>
      </c>
    </row>
    <row r="12" spans="1:65" ht="12.75">
      <c r="A12" s="193"/>
      <c r="B12" s="190"/>
      <c r="F12" s="194"/>
      <c r="H12" s="81"/>
      <c r="I12" s="156"/>
      <c r="J12" s="156"/>
      <c r="S12" s="194"/>
      <c r="U12" s="81"/>
      <c r="V12" s="81"/>
      <c r="AA12" s="147"/>
      <c r="AB12" s="83"/>
      <c r="AD12" s="283" t="s">
        <v>684</v>
      </c>
      <c r="AE12" s="284"/>
      <c r="AF12" s="284"/>
      <c r="AG12" s="284"/>
      <c r="AH12" s="285"/>
      <c r="AJ12" s="288"/>
      <c r="AK12" s="288"/>
      <c r="AL12" s="288"/>
      <c r="AM12" s="288"/>
      <c r="AN12" s="288"/>
      <c r="AO12" s="288"/>
      <c r="AP12" s="288"/>
      <c r="AQ12" s="288"/>
      <c r="AR12" s="289" t="s">
        <v>482</v>
      </c>
      <c r="AS12" s="289" t="s">
        <v>593</v>
      </c>
      <c r="AT12" s="289" t="s">
        <v>594</v>
      </c>
      <c r="AU12" s="289" t="s">
        <v>595</v>
      </c>
      <c r="AV12" s="289" t="s">
        <v>431</v>
      </c>
      <c r="AW12" s="289" t="s">
        <v>626</v>
      </c>
      <c r="AX12" s="289" t="s">
        <v>629</v>
      </c>
      <c r="AY12" s="289" t="s">
        <v>542</v>
      </c>
      <c r="AZ12" s="405"/>
      <c r="BA12" s="289" t="s">
        <v>586</v>
      </c>
      <c r="BB12" s="289" t="s">
        <v>586</v>
      </c>
      <c r="BC12" s="289" t="s">
        <v>670</v>
      </c>
      <c r="BD12" s="289" t="s">
        <v>586</v>
      </c>
      <c r="BE12" s="289" t="s">
        <v>586</v>
      </c>
      <c r="BF12" s="289" t="s">
        <v>586</v>
      </c>
      <c r="BG12" s="289" t="s">
        <v>586</v>
      </c>
      <c r="BH12" s="289" t="s">
        <v>567</v>
      </c>
      <c r="BI12" s="289" t="s">
        <v>567</v>
      </c>
      <c r="BJ12" s="289" t="s">
        <v>567</v>
      </c>
      <c r="BK12" s="289" t="s">
        <v>567</v>
      </c>
      <c r="BL12" s="289" t="s">
        <v>567</v>
      </c>
      <c r="BM12" s="289"/>
    </row>
    <row r="13" spans="5:65" ht="13.5">
      <c r="E13" s="148" t="s">
        <v>583</v>
      </c>
      <c r="G13" s="195"/>
      <c r="H13" s="195"/>
      <c r="I13" s="196"/>
      <c r="J13" s="196"/>
      <c r="K13" s="195"/>
      <c r="R13" s="148" t="s">
        <v>584</v>
      </c>
      <c r="T13" s="195"/>
      <c r="U13" s="195"/>
      <c r="W13" s="195"/>
      <c r="AA13" s="371" t="s">
        <v>647</v>
      </c>
      <c r="AB13" s="83"/>
      <c r="AD13" s="197" t="s">
        <v>652</v>
      </c>
      <c r="AE13" s="198"/>
      <c r="AF13" s="198"/>
      <c r="AG13" s="199"/>
      <c r="AH13" s="372" t="s">
        <v>482</v>
      </c>
      <c r="AJ13" s="289" t="s">
        <v>542</v>
      </c>
      <c r="AK13" s="289" t="s">
        <v>542</v>
      </c>
      <c r="AL13" s="289" t="s">
        <v>542</v>
      </c>
      <c r="AM13" s="289" t="s">
        <v>542</v>
      </c>
      <c r="AN13" s="289" t="s">
        <v>567</v>
      </c>
      <c r="AO13" s="289" t="s">
        <v>567</v>
      </c>
      <c r="AP13" s="289" t="s">
        <v>567</v>
      </c>
      <c r="AQ13" s="289" t="s">
        <v>567</v>
      </c>
      <c r="AR13" s="289" t="s">
        <v>567</v>
      </c>
      <c r="AS13" s="289" t="s">
        <v>558</v>
      </c>
      <c r="AT13" s="289" t="s">
        <v>558</v>
      </c>
      <c r="AU13" s="289" t="s">
        <v>558</v>
      </c>
      <c r="AV13" s="289" t="s">
        <v>558</v>
      </c>
      <c r="AW13" s="289" t="s">
        <v>594</v>
      </c>
      <c r="AX13" s="289" t="s">
        <v>630</v>
      </c>
      <c r="AY13" s="289" t="s">
        <v>644</v>
      </c>
      <c r="AZ13" s="405"/>
      <c r="BA13" s="289" t="s">
        <v>666</v>
      </c>
      <c r="BB13" s="289">
        <v>2023</v>
      </c>
      <c r="BC13" s="289"/>
      <c r="BD13" s="289">
        <v>2024</v>
      </c>
      <c r="BE13" s="289">
        <v>2025</v>
      </c>
      <c r="BF13" s="289">
        <v>2026</v>
      </c>
      <c r="BG13" s="289">
        <v>2027</v>
      </c>
      <c r="BH13" s="289">
        <v>2023</v>
      </c>
      <c r="BI13" s="289">
        <v>2024</v>
      </c>
      <c r="BJ13" s="289">
        <v>2025</v>
      </c>
      <c r="BK13" s="289">
        <v>2026</v>
      </c>
      <c r="BL13" s="289">
        <v>2027</v>
      </c>
      <c r="BM13" s="289"/>
    </row>
    <row r="14" spans="4:59" ht="12.75">
      <c r="D14" s="81"/>
      <c r="E14" s="96" t="s">
        <v>544</v>
      </c>
      <c r="F14" s="97" t="s">
        <v>124</v>
      </c>
      <c r="G14" s="98" t="s">
        <v>485</v>
      </c>
      <c r="H14" s="98" t="s">
        <v>442</v>
      </c>
      <c r="I14" s="97" t="s">
        <v>486</v>
      </c>
      <c r="J14" s="366" t="s">
        <v>644</v>
      </c>
      <c r="K14" s="98" t="s">
        <v>545</v>
      </c>
      <c r="L14" s="98" t="s">
        <v>486</v>
      </c>
      <c r="M14" s="98" t="s">
        <v>487</v>
      </c>
      <c r="N14" s="98" t="s">
        <v>488</v>
      </c>
      <c r="O14" s="200" t="s">
        <v>103</v>
      </c>
      <c r="P14" s="201" t="s">
        <v>103</v>
      </c>
      <c r="Q14" s="149"/>
      <c r="R14" s="96" t="s">
        <v>483</v>
      </c>
      <c r="S14" s="98" t="s">
        <v>484</v>
      </c>
      <c r="T14" s="98" t="s">
        <v>442</v>
      </c>
      <c r="U14" s="98" t="s">
        <v>486</v>
      </c>
      <c r="V14" s="366" t="s">
        <v>644</v>
      </c>
      <c r="W14" s="150" t="s">
        <v>546</v>
      </c>
      <c r="X14" s="202" t="s">
        <v>547</v>
      </c>
      <c r="Y14" s="203" t="s">
        <v>547</v>
      </c>
      <c r="Z14" s="149"/>
      <c r="AA14" s="151" t="s">
        <v>585</v>
      </c>
      <c r="AB14" s="152" t="s">
        <v>585</v>
      </c>
      <c r="AD14" s="204" t="s">
        <v>489</v>
      </c>
      <c r="AE14" s="205" t="s">
        <v>490</v>
      </c>
      <c r="AF14" s="205" t="s">
        <v>491</v>
      </c>
      <c r="AG14" s="205" t="s">
        <v>492</v>
      </c>
      <c r="AH14" s="206" t="s">
        <v>493</v>
      </c>
      <c r="AJ14" s="289" t="s">
        <v>573</v>
      </c>
      <c r="AK14" s="289" t="s">
        <v>143</v>
      </c>
      <c r="AL14" s="289" t="s">
        <v>613</v>
      </c>
      <c r="AM14" s="289" t="s">
        <v>142</v>
      </c>
      <c r="AN14" s="289" t="s">
        <v>568</v>
      </c>
      <c r="AO14" s="289" t="s">
        <v>592</v>
      </c>
      <c r="AP14" s="289" t="s">
        <v>648</v>
      </c>
      <c r="AQ14" s="289" t="s">
        <v>649</v>
      </c>
      <c r="AR14" s="289" t="s">
        <v>650</v>
      </c>
      <c r="AS14" s="289" t="s">
        <v>680</v>
      </c>
      <c r="AT14" s="289" t="s">
        <v>680</v>
      </c>
      <c r="AU14" s="289" t="s">
        <v>680</v>
      </c>
      <c r="AV14" s="289" t="s">
        <v>680</v>
      </c>
      <c r="AW14" s="289" t="s">
        <v>486</v>
      </c>
      <c r="AX14" s="289" t="s">
        <v>587</v>
      </c>
      <c r="AY14" s="289" t="s">
        <v>651</v>
      </c>
      <c r="AZ14" s="405"/>
      <c r="BA14" s="289" t="s">
        <v>667</v>
      </c>
      <c r="BB14" s="289"/>
      <c r="BC14" s="289"/>
      <c r="BD14" s="289"/>
      <c r="BE14" s="289"/>
      <c r="BF14" s="289"/>
      <c r="BG14" s="289"/>
    </row>
    <row r="15" spans="3:59" ht="12.75">
      <c r="C15" s="81" t="s">
        <v>138</v>
      </c>
      <c r="D15" s="81" t="s">
        <v>494</v>
      </c>
      <c r="E15" s="96" t="s">
        <v>548</v>
      </c>
      <c r="F15" s="97" t="s">
        <v>496</v>
      </c>
      <c r="G15" s="98" t="s">
        <v>496</v>
      </c>
      <c r="H15" s="98"/>
      <c r="I15" s="97" t="s">
        <v>497</v>
      </c>
      <c r="J15" s="366" t="s">
        <v>645</v>
      </c>
      <c r="K15" s="98" t="s">
        <v>498</v>
      </c>
      <c r="L15" s="98" t="s">
        <v>646</v>
      </c>
      <c r="M15" s="98" t="s">
        <v>683</v>
      </c>
      <c r="N15" s="98" t="s">
        <v>499</v>
      </c>
      <c r="O15" s="200" t="s">
        <v>586</v>
      </c>
      <c r="P15" s="201" t="s">
        <v>586</v>
      </c>
      <c r="Q15" s="149"/>
      <c r="R15" s="96" t="s">
        <v>549</v>
      </c>
      <c r="S15" s="98" t="s">
        <v>495</v>
      </c>
      <c r="T15" s="98"/>
      <c r="U15" s="98" t="s">
        <v>497</v>
      </c>
      <c r="V15" s="366" t="s">
        <v>645</v>
      </c>
      <c r="W15" s="150" t="s">
        <v>550</v>
      </c>
      <c r="X15" s="200" t="s">
        <v>586</v>
      </c>
      <c r="Y15" s="201" t="s">
        <v>586</v>
      </c>
      <c r="Z15" s="149"/>
      <c r="AA15" s="151" t="s">
        <v>587</v>
      </c>
      <c r="AB15" s="152" t="s">
        <v>587</v>
      </c>
      <c r="AD15" s="207" t="s">
        <v>500</v>
      </c>
      <c r="AE15" s="208" t="s">
        <v>500</v>
      </c>
      <c r="AF15" s="208" t="s">
        <v>500</v>
      </c>
      <c r="AG15" s="208" t="s">
        <v>500</v>
      </c>
      <c r="AH15" s="209" t="s">
        <v>500</v>
      </c>
      <c r="AJ15" s="290" t="s">
        <v>591</v>
      </c>
      <c r="AK15" s="290" t="s">
        <v>591</v>
      </c>
      <c r="AL15" s="290" t="s">
        <v>591</v>
      </c>
      <c r="AM15" s="290" t="s">
        <v>591</v>
      </c>
      <c r="AN15" s="290" t="s">
        <v>591</v>
      </c>
      <c r="AO15" s="290" t="s">
        <v>591</v>
      </c>
      <c r="AP15" s="290" t="s">
        <v>591</v>
      </c>
      <c r="AQ15" s="290" t="s">
        <v>591</v>
      </c>
      <c r="AR15" s="290" t="s">
        <v>591</v>
      </c>
      <c r="AS15" s="290">
        <v>1000</v>
      </c>
      <c r="AT15" s="290">
        <v>1000</v>
      </c>
      <c r="AU15" s="290">
        <v>1000</v>
      </c>
      <c r="AV15" s="290">
        <v>1000</v>
      </c>
      <c r="AW15" s="290" t="s">
        <v>627</v>
      </c>
      <c r="AX15" s="290" t="s">
        <v>654</v>
      </c>
      <c r="AY15" s="290" t="s">
        <v>591</v>
      </c>
      <c r="AZ15" s="406"/>
      <c r="BA15" s="290" t="s">
        <v>668</v>
      </c>
      <c r="BB15" s="290"/>
      <c r="BC15" s="290"/>
      <c r="BD15" s="290"/>
      <c r="BE15" s="290"/>
      <c r="BF15" s="290"/>
      <c r="BG15" s="290"/>
    </row>
    <row r="16" spans="3:65" ht="12.75">
      <c r="C16" s="81" t="s">
        <v>104</v>
      </c>
      <c r="D16" s="81" t="s">
        <v>688</v>
      </c>
      <c r="E16" s="96" t="s">
        <v>551</v>
      </c>
      <c r="F16" s="92" t="s">
        <v>552</v>
      </c>
      <c r="G16" s="82"/>
      <c r="H16" s="82"/>
      <c r="I16" s="84"/>
      <c r="J16" s="366" t="s">
        <v>497</v>
      </c>
      <c r="K16" s="95" t="s">
        <v>553</v>
      </c>
      <c r="L16" s="95" t="s">
        <v>501</v>
      </c>
      <c r="M16" s="95"/>
      <c r="N16" s="98" t="s">
        <v>502</v>
      </c>
      <c r="O16" s="200"/>
      <c r="P16" s="201"/>
      <c r="Q16" s="149"/>
      <c r="R16" s="99"/>
      <c r="S16" s="82" t="s">
        <v>554</v>
      </c>
      <c r="T16" s="82"/>
      <c r="U16" s="82"/>
      <c r="V16" s="366" t="s">
        <v>497</v>
      </c>
      <c r="W16" s="98" t="s">
        <v>555</v>
      </c>
      <c r="X16" s="200"/>
      <c r="Y16" s="201"/>
      <c r="Z16" s="149"/>
      <c r="AA16" s="210" t="s">
        <v>588</v>
      </c>
      <c r="AB16" s="152"/>
      <c r="AD16" s="207" t="s">
        <v>126</v>
      </c>
      <c r="AE16" s="208" t="s">
        <v>126</v>
      </c>
      <c r="AF16" s="208" t="s">
        <v>126</v>
      </c>
      <c r="AG16" s="208" t="s">
        <v>126</v>
      </c>
      <c r="AH16" s="209" t="s">
        <v>126</v>
      </c>
      <c r="AM16" s="81" t="s">
        <v>616</v>
      </c>
      <c r="AS16" s="30"/>
      <c r="AT16" s="30"/>
      <c r="AU16" s="30"/>
      <c r="AV16" s="3"/>
      <c r="AW16" s="377" t="s">
        <v>655</v>
      </c>
      <c r="AX16" s="377" t="s">
        <v>655</v>
      </c>
      <c r="BA16" s="289" t="s">
        <v>505</v>
      </c>
      <c r="BB16" s="289" t="s">
        <v>505</v>
      </c>
      <c r="BC16" s="289" t="s">
        <v>505</v>
      </c>
      <c r="BD16" s="289" t="s">
        <v>505</v>
      </c>
      <c r="BE16" s="289" t="s">
        <v>505</v>
      </c>
      <c r="BF16" s="289" t="s">
        <v>505</v>
      </c>
      <c r="BG16" s="289" t="s">
        <v>505</v>
      </c>
      <c r="BH16" s="289" t="s">
        <v>505</v>
      </c>
      <c r="BI16" s="289" t="s">
        <v>505</v>
      </c>
      <c r="BJ16" s="289" t="s">
        <v>505</v>
      </c>
      <c r="BK16" s="289" t="s">
        <v>505</v>
      </c>
      <c r="BL16" s="289" t="s">
        <v>505</v>
      </c>
      <c r="BM16" s="289"/>
    </row>
    <row r="17" spans="1:50" ht="12.75">
      <c r="A17" s="81" t="s">
        <v>503</v>
      </c>
      <c r="B17" s="81" t="s">
        <v>504</v>
      </c>
      <c r="D17" s="81"/>
      <c r="E17" s="365" t="s">
        <v>643</v>
      </c>
      <c r="F17" s="84"/>
      <c r="G17" s="82"/>
      <c r="H17" s="82"/>
      <c r="I17" s="84"/>
      <c r="J17" s="367"/>
      <c r="K17" s="95" t="s">
        <v>556</v>
      </c>
      <c r="L17" s="82"/>
      <c r="M17" s="95"/>
      <c r="N17" s="95" t="s">
        <v>557</v>
      </c>
      <c r="O17" s="200" t="s">
        <v>478</v>
      </c>
      <c r="P17" s="201" t="s">
        <v>125</v>
      </c>
      <c r="Q17" s="149"/>
      <c r="R17" s="99"/>
      <c r="S17" s="82"/>
      <c r="T17" s="82"/>
      <c r="U17" s="82"/>
      <c r="V17" s="82"/>
      <c r="W17" s="98"/>
      <c r="X17" s="200" t="s">
        <v>478</v>
      </c>
      <c r="Y17" s="201" t="s">
        <v>125</v>
      </c>
      <c r="Z17" s="149"/>
      <c r="AA17" s="151" t="s">
        <v>478</v>
      </c>
      <c r="AB17" s="152" t="s">
        <v>505</v>
      </c>
      <c r="AD17" s="211"/>
      <c r="AE17" s="212" t="s">
        <v>506</v>
      </c>
      <c r="AF17" s="212" t="s">
        <v>507</v>
      </c>
      <c r="AG17" s="212" t="s">
        <v>508</v>
      </c>
      <c r="AH17" s="213" t="s">
        <v>509</v>
      </c>
      <c r="AS17" s="30"/>
      <c r="AT17" s="30"/>
      <c r="AU17" s="30"/>
      <c r="AV17" s="3"/>
      <c r="AW17" s="30"/>
      <c r="AX17" s="30"/>
    </row>
    <row r="18" spans="1:64" ht="12.75">
      <c r="A18" s="93"/>
      <c r="B18" s="93" t="s">
        <v>611</v>
      </c>
      <c r="C18" s="93"/>
      <c r="D18" s="93">
        <f aca="true" t="shared" si="0" ref="D18:O18">SUM(D20:D313)</f>
        <v>5503664</v>
      </c>
      <c r="E18" s="101">
        <f t="shared" si="0"/>
        <v>14457959416.859232</v>
      </c>
      <c r="F18" s="93">
        <f t="shared" si="0"/>
        <v>8365176431.463103</v>
      </c>
      <c r="G18" s="93">
        <f t="shared" si="0"/>
        <v>2028048790.8670995</v>
      </c>
      <c r="H18" s="93">
        <f t="shared" si="0"/>
        <v>1348355773.9362607</v>
      </c>
      <c r="I18" s="93">
        <f t="shared" si="0"/>
        <v>2598066832.187967</v>
      </c>
      <c r="J18" s="93">
        <f t="shared" si="0"/>
        <v>761300004.5036135</v>
      </c>
      <c r="K18" s="93">
        <f t="shared" si="0"/>
        <v>-3796429.2768091466</v>
      </c>
      <c r="L18" s="93">
        <f t="shared" si="0"/>
        <v>-60298713</v>
      </c>
      <c r="M18" s="93">
        <f t="shared" si="0"/>
        <v>336872101.23</v>
      </c>
      <c r="N18" s="93">
        <f t="shared" si="0"/>
        <v>69999999.99999999</v>
      </c>
      <c r="O18" s="214">
        <f t="shared" si="0"/>
        <v>985765375.0520097</v>
      </c>
      <c r="P18" s="215">
        <f>O18/D18</f>
        <v>179.11074786760415</v>
      </c>
      <c r="Q18" s="93"/>
      <c r="R18" s="101">
        <f aca="true" t="shared" si="1" ref="R18:X18">SUM(R20:R313)</f>
        <v>35092758761.82001</v>
      </c>
      <c r="S18" s="286">
        <f t="shared" si="1"/>
        <v>21206183053.433086</v>
      </c>
      <c r="T18" s="286">
        <f t="shared" si="1"/>
        <v>2022533660.9043941</v>
      </c>
      <c r="U18" s="286">
        <f t="shared" si="1"/>
        <v>7921699138.716408</v>
      </c>
      <c r="V18" s="286">
        <f t="shared" si="1"/>
        <v>2600900015.003614</v>
      </c>
      <c r="W18" s="286">
        <f t="shared" si="1"/>
        <v>2304622179.0970993</v>
      </c>
      <c r="X18" s="214">
        <f t="shared" si="1"/>
        <v>963179285.3346</v>
      </c>
      <c r="Y18" s="215">
        <f>X18/D18</f>
        <v>175.0069199963152</v>
      </c>
      <c r="Z18" s="93"/>
      <c r="AA18" s="94">
        <f>SUM(AA20:AA313)</f>
        <v>22586089.717410073</v>
      </c>
      <c r="AB18" s="153">
        <f>AA18/D18</f>
        <v>4.103827871289031</v>
      </c>
      <c r="AD18" s="216"/>
      <c r="AE18" s="217"/>
      <c r="AF18" s="217"/>
      <c r="AG18" s="217"/>
      <c r="AH18" s="218"/>
      <c r="AJ18" s="81">
        <f aca="true" t="shared" si="2" ref="AJ18:AY18">SUM(AJ20:AJ313)</f>
        <v>12841006621.96999</v>
      </c>
      <c r="AK18" s="81">
        <f t="shared" si="2"/>
        <v>674177886.9681305</v>
      </c>
      <c r="AL18" s="81">
        <f t="shared" si="2"/>
        <v>5323632306.528436</v>
      </c>
      <c r="AM18" s="81">
        <f t="shared" si="2"/>
        <v>20634799344.960762</v>
      </c>
      <c r="AN18" s="81">
        <f t="shared" si="2"/>
        <v>0</v>
      </c>
      <c r="AO18" s="81">
        <f t="shared" si="2"/>
        <v>0</v>
      </c>
      <c r="AP18" s="81">
        <f t="shared" si="2"/>
        <v>0</v>
      </c>
      <c r="AQ18" s="81">
        <f t="shared" si="2"/>
        <v>0</v>
      </c>
      <c r="AR18" s="81">
        <f t="shared" si="2"/>
        <v>0</v>
      </c>
      <c r="AS18" s="82">
        <f t="shared" si="2"/>
        <v>2305725</v>
      </c>
      <c r="AT18" s="82">
        <f t="shared" si="2"/>
        <v>39450</v>
      </c>
      <c r="AU18" s="82">
        <f t="shared" si="2"/>
        <v>19543</v>
      </c>
      <c r="AV18" s="82">
        <f t="shared" si="2"/>
        <v>58993</v>
      </c>
      <c r="AW18" s="82">
        <f t="shared" si="2"/>
        <v>5346218.396245852</v>
      </c>
      <c r="AX18" s="149">
        <f t="shared" si="2"/>
        <v>2.141860022675246E-10</v>
      </c>
      <c r="AY18" s="82">
        <f t="shared" si="2"/>
        <v>1839600.0105000006</v>
      </c>
      <c r="AZ18" s="407"/>
      <c r="BA18" s="81">
        <f>(Tuloslaskelma!D29+Tuloslaskelma!D41+Tuloslaskelma!D47+Tuloslaskelma!D48+Tuloslaskelma!D49+Tuloslaskelma!D50+Tuloslaskelma!D53+Tuloslaskelma!D62)/Tuloslaskelma!A10*1000</f>
        <v>179.11074786760187</v>
      </c>
      <c r="BB18" s="81">
        <f>(Tuloslaskelma!B29+Tuloslaskelma!B41+Tuloslaskelma!B46+Tuloslaskelma!B53+Tuloslaskelma!B62)/Tuloslaskelma!A10*1000+AB18</f>
        <v>179.11074786760273</v>
      </c>
      <c r="BC18" s="81">
        <f>BA18-BB18+AB18</f>
        <v>4.103827871288178</v>
      </c>
      <c r="BD18" s="81"/>
      <c r="BE18" s="81"/>
      <c r="BF18" s="81"/>
      <c r="BG18" s="81"/>
      <c r="BH18" s="81">
        <f>BB18-BA18</f>
        <v>8.526512829121202E-13</v>
      </c>
      <c r="BI18" s="81">
        <f>IF($BC$18&lt;-15,-$BC$18-15,IF($BC$18&gt;15,15-$BC$18,0))</f>
        <v>0</v>
      </c>
      <c r="BJ18" s="81">
        <f>IF($BC$18&lt;-30,-$BC$18-30,IF($BC$18&gt;30,30-$BC$18,0))</f>
        <v>0</v>
      </c>
      <c r="BK18" s="81">
        <f>IF($BC$18&lt;-45,-$BC$18-45,IF($BC$18&gt;45,45-$BC$18,0))</f>
        <v>0</v>
      </c>
      <c r="BL18" s="81">
        <f>IF($BC$18&lt;-60,-$BC$18-60,IF($BC$18&gt;60,60-$BC$18,0))</f>
        <v>0</v>
      </c>
    </row>
    <row r="19" spans="4:50" ht="12.75">
      <c r="D19" s="81"/>
      <c r="E19" s="100"/>
      <c r="F19" s="81"/>
      <c r="G19" s="81"/>
      <c r="H19" s="81"/>
      <c r="I19" s="156"/>
      <c r="J19" s="156"/>
      <c r="K19" s="81"/>
      <c r="L19" s="81"/>
      <c r="M19" s="82"/>
      <c r="N19" s="82"/>
      <c r="O19" s="214"/>
      <c r="P19" s="215"/>
      <c r="Q19" s="81"/>
      <c r="R19" s="100"/>
      <c r="S19" s="81"/>
      <c r="T19" s="81"/>
      <c r="U19" s="81"/>
      <c r="V19" s="81"/>
      <c r="W19" s="81"/>
      <c r="X19" s="219"/>
      <c r="Y19" s="215"/>
      <c r="Z19" s="81"/>
      <c r="AA19" s="102"/>
      <c r="AB19" s="153"/>
      <c r="AD19" s="216"/>
      <c r="AE19" s="220"/>
      <c r="AF19" s="221"/>
      <c r="AG19" s="199"/>
      <c r="AH19" s="222"/>
      <c r="AS19" s="30"/>
      <c r="AT19" s="30"/>
      <c r="AU19" s="30"/>
      <c r="AV19" s="30"/>
      <c r="AW19" s="30"/>
      <c r="AX19" s="30"/>
    </row>
    <row r="20" spans="1:67" ht="12.75">
      <c r="A20" s="81">
        <v>5</v>
      </c>
      <c r="B20" s="81" t="s">
        <v>144</v>
      </c>
      <c r="C20" s="81">
        <v>14</v>
      </c>
      <c r="D20" s="81">
        <v>9419</v>
      </c>
      <c r="E20" s="100">
        <v>28344169.599730924</v>
      </c>
      <c r="F20" s="81">
        <v>12239371.900741808</v>
      </c>
      <c r="G20" s="81">
        <v>2213740.9531171815</v>
      </c>
      <c r="H20" s="81">
        <v>1453451.6118732179</v>
      </c>
      <c r="I20" s="156">
        <v>9685290.700935569</v>
      </c>
      <c r="J20" s="156">
        <v>1850064.1363155749</v>
      </c>
      <c r="K20" s="81">
        <v>1668549.9566287217</v>
      </c>
      <c r="L20" s="81">
        <v>1480089</v>
      </c>
      <c r="M20" s="82">
        <v>-122000</v>
      </c>
      <c r="N20" s="82">
        <v>78034.47915013717</v>
      </c>
      <c r="O20" s="214">
        <f aca="true" t="shared" si="3" ref="O20:O83">N20+M20+L20+K20+J20+I20+H20+G20+F20-E20</f>
        <v>2202423.1390312836</v>
      </c>
      <c r="P20" s="215">
        <f aca="true" t="shared" si="4" ref="P20:P83">O20/D20</f>
        <v>233.82770347502745</v>
      </c>
      <c r="Q20" s="81"/>
      <c r="R20" s="223">
        <v>67183688</v>
      </c>
      <c r="S20" s="156">
        <v>26579080.148705035</v>
      </c>
      <c r="T20" s="156">
        <v>2180177.417809827</v>
      </c>
      <c r="U20" s="156">
        <v>31162195.46113355</v>
      </c>
      <c r="V20" s="156">
        <v>6245448.773228697</v>
      </c>
      <c r="W20" s="156">
        <v>3571829.9531171815</v>
      </c>
      <c r="X20" s="214">
        <f aca="true" t="shared" si="5" ref="X20:X83">W20+V20+U20+T20+S20-R20</f>
        <v>2555043.753994286</v>
      </c>
      <c r="Y20" s="215">
        <f aca="true" t="shared" si="6" ref="Y20:Y83">X20/D20</f>
        <v>271.26486399769465</v>
      </c>
      <c r="Z20" s="81"/>
      <c r="AA20" s="94">
        <f aca="true" t="shared" si="7" ref="AA20:AA83">O20-X20</f>
        <v>-352620.6149630025</v>
      </c>
      <c r="AB20" s="153">
        <f aca="true" t="shared" si="8" ref="AB20:AB83">AA20/D20</f>
        <v>-37.43716052266721</v>
      </c>
      <c r="AD20" s="216"/>
      <c r="AE20" s="224"/>
      <c r="AF20" s="224"/>
      <c r="AG20" s="224"/>
      <c r="AH20" s="225"/>
      <c r="AJ20" s="81">
        <f aca="true" t="shared" si="9" ref="AJ20:AJ83">S20-F20</f>
        <v>14339708.247963227</v>
      </c>
      <c r="AK20" s="81">
        <f aca="true" t="shared" si="10" ref="AK20:AK83">T20-H20</f>
        <v>726725.8059366089</v>
      </c>
      <c r="AL20" s="81">
        <f aca="true" t="shared" si="11" ref="AL20:AL83">U20-I20</f>
        <v>21476904.760197982</v>
      </c>
      <c r="AM20" s="81">
        <f>R20-E20</f>
        <v>38839518.400269076</v>
      </c>
      <c r="AN20" s="81">
        <f aca="true" t="shared" si="12" ref="AN20:AN83">AD20</f>
        <v>0</v>
      </c>
      <c r="AO20" s="81">
        <f aca="true" t="shared" si="13" ref="AO20:AO83">AE20</f>
        <v>0</v>
      </c>
      <c r="AP20" s="81">
        <f aca="true" t="shared" si="14" ref="AP20:AP83">AF20</f>
        <v>0</v>
      </c>
      <c r="AQ20" s="81">
        <f aca="true" t="shared" si="15" ref="AQ20:AQ83">AG20</f>
        <v>0</v>
      </c>
      <c r="AR20" s="81">
        <f aca="true" t="shared" si="16" ref="AR20:AR83">AH20</f>
        <v>0</v>
      </c>
      <c r="AS20" s="82">
        <v>3246</v>
      </c>
      <c r="AT20" s="82">
        <v>26</v>
      </c>
      <c r="AU20" s="82"/>
      <c r="AV20" s="82">
        <v>26</v>
      </c>
      <c r="AW20" s="82">
        <f>16992139.8521181*(0.001)</f>
        <v>16992.139852118074</v>
      </c>
      <c r="AX20" s="82">
        <v>-5248.842417113002</v>
      </c>
      <c r="AY20" s="82">
        <v>4395.3846369131215</v>
      </c>
      <c r="AZ20" s="408"/>
      <c r="BA20" s="81"/>
      <c r="BB20" s="81"/>
      <c r="BC20" s="81"/>
      <c r="BD20" s="81"/>
      <c r="BE20" s="81"/>
      <c r="BF20" s="81"/>
      <c r="BG20" s="81"/>
      <c r="BH20" s="81"/>
      <c r="BI20" s="81"/>
      <c r="BJ20" s="81"/>
      <c r="BK20" s="81"/>
      <c r="BL20" s="81"/>
      <c r="BM20" s="81"/>
      <c r="BN20" s="81"/>
      <c r="BO20" s="114"/>
    </row>
    <row r="21" spans="1:67" ht="12.75">
      <c r="A21" s="81">
        <v>9</v>
      </c>
      <c r="B21" s="81" t="s">
        <v>145</v>
      </c>
      <c r="C21" s="81">
        <v>17</v>
      </c>
      <c r="D21" s="81">
        <v>2517</v>
      </c>
      <c r="E21" s="100">
        <v>6609061.905076807</v>
      </c>
      <c r="F21" s="81">
        <v>3317830.4649837045</v>
      </c>
      <c r="G21" s="81">
        <v>726921.3364173016</v>
      </c>
      <c r="H21" s="81">
        <v>224884.43907134028</v>
      </c>
      <c r="I21" s="156">
        <v>3083296.569585026</v>
      </c>
      <c r="J21" s="156">
        <v>484786.11680417135</v>
      </c>
      <c r="K21" s="81">
        <v>178404.367249024</v>
      </c>
      <c r="L21" s="81">
        <v>-652765</v>
      </c>
      <c r="M21" s="82">
        <v>39000</v>
      </c>
      <c r="N21" s="82">
        <v>19785.73818246442</v>
      </c>
      <c r="O21" s="214">
        <f t="shared" si="3"/>
        <v>813082.1272162246</v>
      </c>
      <c r="P21" s="215">
        <f t="shared" si="4"/>
        <v>323.0362046945668</v>
      </c>
      <c r="Q21" s="81"/>
      <c r="R21" s="223">
        <v>17845110</v>
      </c>
      <c r="S21" s="156">
        <v>7025501.133755872</v>
      </c>
      <c r="T21" s="156">
        <v>337326.65860701044</v>
      </c>
      <c r="U21" s="156">
        <v>9422332.327153333</v>
      </c>
      <c r="V21" s="156">
        <v>1637308.8756849964</v>
      </c>
      <c r="W21" s="156">
        <v>113156.33641730156</v>
      </c>
      <c r="X21" s="214">
        <f t="shared" si="5"/>
        <v>690515.3316185102</v>
      </c>
      <c r="Y21" s="215">
        <f t="shared" si="6"/>
        <v>274.3406164555066</v>
      </c>
      <c r="Z21" s="81"/>
      <c r="AA21" s="94">
        <f t="shared" si="7"/>
        <v>122566.79559771437</v>
      </c>
      <c r="AB21" s="153">
        <f t="shared" si="8"/>
        <v>48.69558823906014</v>
      </c>
      <c r="AD21" s="216"/>
      <c r="AE21" s="224"/>
      <c r="AF21" s="224"/>
      <c r="AG21" s="224"/>
      <c r="AH21" s="225"/>
      <c r="AJ21" s="81">
        <f t="shared" si="9"/>
        <v>3707670.6687721675</v>
      </c>
      <c r="AK21" s="81">
        <f t="shared" si="10"/>
        <v>112442.21953567016</v>
      </c>
      <c r="AL21" s="81">
        <f t="shared" si="11"/>
        <v>6339035.757568307</v>
      </c>
      <c r="AM21" s="81">
        <f aca="true" t="shared" si="17" ref="AM21:AM83">R21-E21</f>
        <v>11236048.094923193</v>
      </c>
      <c r="AN21" s="81">
        <f t="shared" si="12"/>
        <v>0</v>
      </c>
      <c r="AO21" s="81">
        <f t="shared" si="13"/>
        <v>0</v>
      </c>
      <c r="AP21" s="81">
        <f t="shared" si="14"/>
        <v>0</v>
      </c>
      <c r="AQ21" s="81">
        <f t="shared" si="15"/>
        <v>0</v>
      </c>
      <c r="AR21" s="81">
        <f t="shared" si="16"/>
        <v>0</v>
      </c>
      <c r="AS21" s="82">
        <v>745</v>
      </c>
      <c r="AT21" s="82"/>
      <c r="AU21" s="82">
        <v>4</v>
      </c>
      <c r="AV21" s="82">
        <v>4</v>
      </c>
      <c r="AW21" s="82">
        <f>5144649.49912587*(0.001)</f>
        <v>5144.649499125875</v>
      </c>
      <c r="AX21" s="82">
        <v>-1437.0467838367508</v>
      </c>
      <c r="AY21" s="82">
        <v>1152.522758880825</v>
      </c>
      <c r="AZ21" s="408"/>
      <c r="BA21" t="s">
        <v>669</v>
      </c>
      <c r="BH21" s="144"/>
      <c r="BI21" s="144"/>
      <c r="BJ21" s="144"/>
      <c r="BK21" s="144"/>
      <c r="BL21" s="144"/>
      <c r="BO21" s="114"/>
    </row>
    <row r="22" spans="1:67" ht="12.75">
      <c r="A22" s="81">
        <v>10</v>
      </c>
      <c r="B22" s="81" t="s">
        <v>146</v>
      </c>
      <c r="C22" s="81">
        <v>14</v>
      </c>
      <c r="D22" s="81">
        <v>11332</v>
      </c>
      <c r="E22" s="100">
        <v>30355512.962645203</v>
      </c>
      <c r="F22" s="81">
        <v>13840069.926914096</v>
      </c>
      <c r="G22" s="81">
        <v>2702729.3271926367</v>
      </c>
      <c r="H22" s="81">
        <v>1800802.3518104025</v>
      </c>
      <c r="I22" s="156">
        <v>10616480.363456028</v>
      </c>
      <c r="J22" s="156">
        <v>2250854.3189685354</v>
      </c>
      <c r="K22" s="81">
        <v>714088.2948557058</v>
      </c>
      <c r="L22" s="81">
        <v>-750885</v>
      </c>
      <c r="M22" s="82">
        <v>423900</v>
      </c>
      <c r="N22" s="82">
        <v>91548.89390057846</v>
      </c>
      <c r="O22" s="214">
        <f t="shared" si="3"/>
        <v>1334075.5144527815</v>
      </c>
      <c r="P22" s="215">
        <f t="shared" si="4"/>
        <v>117.72639555707568</v>
      </c>
      <c r="Q22" s="81"/>
      <c r="R22" s="223">
        <v>80064542</v>
      </c>
      <c r="S22" s="156">
        <v>30615385.78894486</v>
      </c>
      <c r="T22" s="156">
        <v>2701203.527715604</v>
      </c>
      <c r="U22" s="156">
        <v>37698940.66753349</v>
      </c>
      <c r="V22" s="156">
        <v>7596756.020113625</v>
      </c>
      <c r="W22" s="156">
        <v>2375744.3271926367</v>
      </c>
      <c r="X22" s="214">
        <f t="shared" si="5"/>
        <v>923488.3315002024</v>
      </c>
      <c r="Y22" s="215">
        <f t="shared" si="6"/>
        <v>81.49385205614212</v>
      </c>
      <c r="Z22" s="81"/>
      <c r="AA22" s="94">
        <f t="shared" si="7"/>
        <v>410587.1829525791</v>
      </c>
      <c r="AB22" s="153">
        <f t="shared" si="8"/>
        <v>36.23254350093356</v>
      </c>
      <c r="AD22" s="216"/>
      <c r="AE22" s="224"/>
      <c r="AF22" s="224"/>
      <c r="AG22" s="224"/>
      <c r="AH22" s="225"/>
      <c r="AJ22" s="81">
        <f t="shared" si="9"/>
        <v>16775315.862030763</v>
      </c>
      <c r="AK22" s="81">
        <f t="shared" si="10"/>
        <v>900401.1759052014</v>
      </c>
      <c r="AL22" s="81">
        <f t="shared" si="11"/>
        <v>27082460.30407746</v>
      </c>
      <c r="AM22" s="81">
        <f t="shared" si="17"/>
        <v>49709029.0373548</v>
      </c>
      <c r="AN22" s="81">
        <f t="shared" si="12"/>
        <v>0</v>
      </c>
      <c r="AO22" s="81">
        <f t="shared" si="13"/>
        <v>0</v>
      </c>
      <c r="AP22" s="81">
        <f t="shared" si="14"/>
        <v>0</v>
      </c>
      <c r="AQ22" s="81">
        <f t="shared" si="15"/>
        <v>0</v>
      </c>
      <c r="AR22" s="81">
        <f t="shared" si="16"/>
        <v>0</v>
      </c>
      <c r="AS22" s="82">
        <v>3653</v>
      </c>
      <c r="AT22" s="82">
        <v>105</v>
      </c>
      <c r="AU22" s="82"/>
      <c r="AV22" s="82">
        <v>105</v>
      </c>
      <c r="AW22" s="82">
        <f>21569709.7550132*(0.001)</f>
        <v>21569.70975501317</v>
      </c>
      <c r="AX22" s="82">
        <v>-6404.607806859553</v>
      </c>
      <c r="AY22" s="82">
        <v>5345.90170114509</v>
      </c>
      <c r="AZ22" s="408"/>
      <c r="BA22" s="81"/>
      <c r="BB22" s="81"/>
      <c r="BC22" s="81"/>
      <c r="BD22" s="81"/>
      <c r="BE22" s="81"/>
      <c r="BF22" s="81"/>
      <c r="BG22" s="81"/>
      <c r="BO22" s="114"/>
    </row>
    <row r="23" spans="1:67" ht="12.75">
      <c r="A23" s="81">
        <v>16</v>
      </c>
      <c r="B23" s="81" t="s">
        <v>147</v>
      </c>
      <c r="C23" s="81">
        <v>7</v>
      </c>
      <c r="D23" s="81">
        <v>8059</v>
      </c>
      <c r="E23" s="100">
        <v>18698766.747575536</v>
      </c>
      <c r="F23" s="81">
        <v>11803709.936689222</v>
      </c>
      <c r="G23" s="81">
        <v>2967329.900565055</v>
      </c>
      <c r="H23" s="81">
        <v>1166675.0809022326</v>
      </c>
      <c r="I23" s="156">
        <v>2702692.6054138797</v>
      </c>
      <c r="J23" s="156">
        <v>1292532.064752114</v>
      </c>
      <c r="K23" s="81">
        <v>1600879.562374838</v>
      </c>
      <c r="L23" s="81">
        <v>-1183103</v>
      </c>
      <c r="M23" s="82">
        <v>-120000</v>
      </c>
      <c r="N23" s="82">
        <v>87904.72286309394</v>
      </c>
      <c r="O23" s="214">
        <f t="shared" si="3"/>
        <v>1619854.1259848997</v>
      </c>
      <c r="P23" s="215">
        <f t="shared" si="4"/>
        <v>200.99939520845015</v>
      </c>
      <c r="Q23" s="81"/>
      <c r="R23" s="223">
        <v>51290017</v>
      </c>
      <c r="S23" s="156">
        <v>28192494.52054933</v>
      </c>
      <c r="T23" s="156">
        <v>1750012.621353349</v>
      </c>
      <c r="U23" s="156">
        <v>18669572.283862494</v>
      </c>
      <c r="V23" s="156">
        <v>4391138.584449709</v>
      </c>
      <c r="W23" s="156">
        <v>1664226.9005650552</v>
      </c>
      <c r="X23" s="214">
        <f t="shared" si="5"/>
        <v>3377427.910779938</v>
      </c>
      <c r="Y23" s="215">
        <f t="shared" si="6"/>
        <v>419.08771693509595</v>
      </c>
      <c r="Z23" s="81"/>
      <c r="AA23" s="94">
        <f t="shared" si="7"/>
        <v>-1757573.7847950384</v>
      </c>
      <c r="AB23" s="153">
        <f t="shared" si="8"/>
        <v>-218.08832172664577</v>
      </c>
      <c r="AD23" s="216"/>
      <c r="AE23" s="224"/>
      <c r="AF23" s="224"/>
      <c r="AG23" s="224"/>
      <c r="AH23" s="225"/>
      <c r="AJ23" s="81">
        <f t="shared" si="9"/>
        <v>16388784.583860109</v>
      </c>
      <c r="AK23" s="81">
        <f t="shared" si="10"/>
        <v>583337.5404511164</v>
      </c>
      <c r="AL23" s="81">
        <f t="shared" si="11"/>
        <v>15966879.678448614</v>
      </c>
      <c r="AM23" s="81">
        <f t="shared" si="17"/>
        <v>32591250.252424464</v>
      </c>
      <c r="AN23" s="81">
        <f t="shared" si="12"/>
        <v>0</v>
      </c>
      <c r="AO23" s="81">
        <f t="shared" si="13"/>
        <v>0</v>
      </c>
      <c r="AP23" s="81">
        <f t="shared" si="14"/>
        <v>0</v>
      </c>
      <c r="AQ23" s="81">
        <f t="shared" si="15"/>
        <v>0</v>
      </c>
      <c r="AR23" s="81">
        <f t="shared" si="16"/>
        <v>0</v>
      </c>
      <c r="AS23" s="82">
        <v>2215</v>
      </c>
      <c r="AT23" s="82"/>
      <c r="AU23" s="82"/>
      <c r="AV23" s="82">
        <v>0</v>
      </c>
      <c r="AW23" s="82">
        <f>13777957.4953095*(0.001)</f>
        <v>13777.957495309502</v>
      </c>
      <c r="AX23" s="82">
        <v>-1502.3075071995495</v>
      </c>
      <c r="AY23" s="82">
        <v>3098.6065196975956</v>
      </c>
      <c r="AZ23" s="408"/>
      <c r="BA23" s="81"/>
      <c r="BB23" s="81"/>
      <c r="BC23" s="81"/>
      <c r="BD23" s="81"/>
      <c r="BE23" s="81"/>
      <c r="BF23" s="81"/>
      <c r="BG23" s="81"/>
      <c r="BO23" s="114"/>
    </row>
    <row r="24" spans="1:67" ht="12.75">
      <c r="A24" s="81">
        <v>18</v>
      </c>
      <c r="B24" s="81" t="s">
        <v>148</v>
      </c>
      <c r="C24" s="81">
        <v>1</v>
      </c>
      <c r="D24" s="81">
        <v>4878</v>
      </c>
      <c r="E24" s="100">
        <v>12473641.619454134</v>
      </c>
      <c r="F24" s="81">
        <v>8705061.19041977</v>
      </c>
      <c r="G24" s="81">
        <v>1173352.4801171916</v>
      </c>
      <c r="H24" s="81">
        <v>682358.2266130248</v>
      </c>
      <c r="I24" s="156">
        <v>3532311.5143249026</v>
      </c>
      <c r="J24" s="156">
        <v>710791.7304093866</v>
      </c>
      <c r="K24" s="81">
        <v>-807159.5020604179</v>
      </c>
      <c r="L24" s="81">
        <v>-287017</v>
      </c>
      <c r="M24" s="82">
        <v>110000</v>
      </c>
      <c r="N24" s="82">
        <v>59585.171735808435</v>
      </c>
      <c r="O24" s="214">
        <f t="shared" si="3"/>
        <v>1405642.1921055317</v>
      </c>
      <c r="P24" s="215">
        <f t="shared" si="4"/>
        <v>288.15953097694376</v>
      </c>
      <c r="Q24" s="81"/>
      <c r="R24" s="223">
        <v>29299000</v>
      </c>
      <c r="S24" s="156">
        <v>19868233.36291634</v>
      </c>
      <c r="T24" s="156">
        <v>1023537.3399195373</v>
      </c>
      <c r="U24" s="156">
        <v>5825510.322133026</v>
      </c>
      <c r="V24" s="156">
        <v>2424429.865503429</v>
      </c>
      <c r="W24" s="156">
        <v>996335.4801171916</v>
      </c>
      <c r="X24" s="214">
        <f t="shared" si="5"/>
        <v>839046.3705895245</v>
      </c>
      <c r="Y24" s="215">
        <f t="shared" si="6"/>
        <v>172.00622603311285</v>
      </c>
      <c r="Z24" s="81"/>
      <c r="AA24" s="94">
        <f t="shared" si="7"/>
        <v>566595.8215160072</v>
      </c>
      <c r="AB24" s="153">
        <f t="shared" si="8"/>
        <v>116.15330494383092</v>
      </c>
      <c r="AD24" s="216"/>
      <c r="AE24" s="224"/>
      <c r="AF24" s="224"/>
      <c r="AG24" s="224"/>
      <c r="AH24" s="225"/>
      <c r="AJ24" s="81">
        <f t="shared" si="9"/>
        <v>11163172.172496568</v>
      </c>
      <c r="AK24" s="81">
        <f t="shared" si="10"/>
        <v>341179.1133065125</v>
      </c>
      <c r="AL24" s="81">
        <f t="shared" si="11"/>
        <v>2293198.8078081235</v>
      </c>
      <c r="AM24" s="81">
        <f t="shared" si="17"/>
        <v>16825358.380545866</v>
      </c>
      <c r="AN24" s="81">
        <f t="shared" si="12"/>
        <v>0</v>
      </c>
      <c r="AO24" s="81">
        <f t="shared" si="13"/>
        <v>0</v>
      </c>
      <c r="AP24" s="81">
        <f t="shared" si="14"/>
        <v>0</v>
      </c>
      <c r="AQ24" s="81">
        <f t="shared" si="15"/>
        <v>0</v>
      </c>
      <c r="AR24" s="81">
        <f t="shared" si="16"/>
        <v>0</v>
      </c>
      <c r="AS24" s="82">
        <v>1274</v>
      </c>
      <c r="AT24" s="82">
        <v>74</v>
      </c>
      <c r="AU24" s="82">
        <v>36</v>
      </c>
      <c r="AV24" s="82">
        <v>110</v>
      </c>
      <c r="AW24" s="82">
        <f>2169132.498689*(0.001)</f>
        <v>2169.1324986889967</v>
      </c>
      <c r="AX24" s="82">
        <v>-154.79902662108455</v>
      </c>
      <c r="AY24" s="82">
        <v>1713.6381350940424</v>
      </c>
      <c r="AZ24" s="408"/>
      <c r="BA24" s="81"/>
      <c r="BB24" s="81"/>
      <c r="BC24" s="81"/>
      <c r="BD24" s="81"/>
      <c r="BE24" s="81"/>
      <c r="BF24" s="81"/>
      <c r="BG24" s="81"/>
      <c r="BO24" s="114"/>
    </row>
    <row r="25" spans="1:67" ht="12.75">
      <c r="A25" s="81">
        <v>19</v>
      </c>
      <c r="B25" s="81" t="s">
        <v>149</v>
      </c>
      <c r="C25" s="81">
        <v>2</v>
      </c>
      <c r="D25" s="81">
        <v>3959</v>
      </c>
      <c r="E25" s="100">
        <v>8490961.350510186</v>
      </c>
      <c r="F25" s="81">
        <v>6823104.935566178</v>
      </c>
      <c r="G25" s="81">
        <v>857048.3057239294</v>
      </c>
      <c r="H25" s="81">
        <v>346990.8637811212</v>
      </c>
      <c r="I25" s="156">
        <v>3310135.7685372117</v>
      </c>
      <c r="J25" s="156">
        <v>593208.3948043277</v>
      </c>
      <c r="K25" s="81">
        <v>135748.8603309793</v>
      </c>
      <c r="L25" s="81">
        <v>-18544</v>
      </c>
      <c r="M25" s="82">
        <v>-2730</v>
      </c>
      <c r="N25" s="82">
        <v>45333.23575296044</v>
      </c>
      <c r="O25" s="214">
        <f t="shared" si="3"/>
        <v>3599335.0139865223</v>
      </c>
      <c r="P25" s="215">
        <f t="shared" si="4"/>
        <v>909.1525673115742</v>
      </c>
      <c r="Q25" s="81"/>
      <c r="R25" s="223">
        <v>21124422</v>
      </c>
      <c r="S25" s="156">
        <v>15402281.583510628</v>
      </c>
      <c r="T25" s="156">
        <v>520486.2956716819</v>
      </c>
      <c r="U25" s="156">
        <v>5752094.040548536</v>
      </c>
      <c r="V25" s="156">
        <v>2018018.4772926108</v>
      </c>
      <c r="W25" s="156">
        <v>835774.3057239294</v>
      </c>
      <c r="X25" s="214">
        <f t="shared" si="5"/>
        <v>3404232.7027473897</v>
      </c>
      <c r="Y25" s="215">
        <f t="shared" si="6"/>
        <v>859.8718622751679</v>
      </c>
      <c r="Z25" s="81"/>
      <c r="AA25" s="94">
        <f t="shared" si="7"/>
        <v>195102.31123913266</v>
      </c>
      <c r="AB25" s="153">
        <f t="shared" si="8"/>
        <v>49.28070503640633</v>
      </c>
      <c r="AD25" s="216"/>
      <c r="AE25" s="224"/>
      <c r="AF25" s="224"/>
      <c r="AG25" s="224"/>
      <c r="AH25" s="225"/>
      <c r="AJ25" s="81">
        <f t="shared" si="9"/>
        <v>8579176.64794445</v>
      </c>
      <c r="AK25" s="81">
        <f t="shared" si="10"/>
        <v>173495.43189056066</v>
      </c>
      <c r="AL25" s="81">
        <f t="shared" si="11"/>
        <v>2441958.2720113243</v>
      </c>
      <c r="AM25" s="81">
        <f t="shared" si="17"/>
        <v>12633460.649489814</v>
      </c>
      <c r="AN25" s="81">
        <f t="shared" si="12"/>
        <v>0</v>
      </c>
      <c r="AO25" s="81">
        <f t="shared" si="13"/>
        <v>0</v>
      </c>
      <c r="AP25" s="81">
        <f t="shared" si="14"/>
        <v>0</v>
      </c>
      <c r="AQ25" s="81">
        <f t="shared" si="15"/>
        <v>0</v>
      </c>
      <c r="AR25" s="81">
        <f t="shared" si="16"/>
        <v>0</v>
      </c>
      <c r="AS25" s="82">
        <v>847</v>
      </c>
      <c r="AT25" s="82"/>
      <c r="AU25" s="82"/>
      <c r="AV25" s="82">
        <v>0</v>
      </c>
      <c r="AW25" s="82">
        <f>2239625.26728691*(0.001)</f>
        <v>2239.625267286911</v>
      </c>
      <c r="AX25" s="82">
        <v>-489.7551692045319</v>
      </c>
      <c r="AY25" s="82">
        <v>1424.8100824882831</v>
      </c>
      <c r="AZ25" s="408"/>
      <c r="BA25" s="81"/>
      <c r="BB25" s="81"/>
      <c r="BC25" s="81"/>
      <c r="BD25" s="81"/>
      <c r="BE25" s="81"/>
      <c r="BF25" s="81"/>
      <c r="BG25" s="81"/>
      <c r="BO25" s="114"/>
    </row>
    <row r="26" spans="1:67" ht="12.75">
      <c r="A26" s="81">
        <v>20</v>
      </c>
      <c r="B26" s="81" t="s">
        <v>127</v>
      </c>
      <c r="C26" s="81">
        <v>6</v>
      </c>
      <c r="D26" s="81">
        <v>16391</v>
      </c>
      <c r="E26" s="100">
        <v>38307067.70909832</v>
      </c>
      <c r="F26" s="81">
        <v>28884958.082449533</v>
      </c>
      <c r="G26" s="81">
        <v>3663859.747594012</v>
      </c>
      <c r="H26" s="81">
        <v>1139968.6025946091</v>
      </c>
      <c r="I26" s="156">
        <v>11285854.234008627</v>
      </c>
      <c r="J26" s="156">
        <v>2446995.984607865</v>
      </c>
      <c r="K26" s="81">
        <v>-2001300.8305636428</v>
      </c>
      <c r="L26" s="81">
        <v>-2647536</v>
      </c>
      <c r="M26" s="82">
        <v>-467000</v>
      </c>
      <c r="N26" s="82">
        <v>176994.85159757716</v>
      </c>
      <c r="O26" s="214">
        <f t="shared" si="3"/>
        <v>4175726.963190265</v>
      </c>
      <c r="P26" s="215">
        <f t="shared" si="4"/>
        <v>254.7573035928415</v>
      </c>
      <c r="Q26" s="81"/>
      <c r="R26" s="223">
        <v>100087600</v>
      </c>
      <c r="S26" s="156">
        <v>62488089.15934332</v>
      </c>
      <c r="T26" s="156">
        <v>1709952.9038919138</v>
      </c>
      <c r="U26" s="156">
        <v>29131826.480290733</v>
      </c>
      <c r="V26" s="156">
        <v>8331805.979423411</v>
      </c>
      <c r="W26" s="156">
        <v>549323.747594012</v>
      </c>
      <c r="X26" s="214">
        <f t="shared" si="5"/>
        <v>2123398.2705433965</v>
      </c>
      <c r="Y26" s="215">
        <f t="shared" si="6"/>
        <v>129.54659694609217</v>
      </c>
      <c r="Z26" s="81"/>
      <c r="AA26" s="94">
        <f t="shared" si="7"/>
        <v>2052328.6926468685</v>
      </c>
      <c r="AB26" s="153">
        <f t="shared" si="8"/>
        <v>125.21070664674934</v>
      </c>
      <c r="AD26" s="216"/>
      <c r="AE26" s="224"/>
      <c r="AF26" s="224"/>
      <c r="AG26" s="224"/>
      <c r="AH26" s="225"/>
      <c r="AJ26" s="81">
        <f t="shared" si="9"/>
        <v>33603131.076893784</v>
      </c>
      <c r="AK26" s="81">
        <f t="shared" si="10"/>
        <v>569984.3012973047</v>
      </c>
      <c r="AL26" s="81">
        <f t="shared" si="11"/>
        <v>17845972.246282108</v>
      </c>
      <c r="AM26" s="81">
        <f t="shared" si="17"/>
        <v>61780532.29090168</v>
      </c>
      <c r="AN26" s="81">
        <f t="shared" si="12"/>
        <v>0</v>
      </c>
      <c r="AO26" s="81">
        <f t="shared" si="13"/>
        <v>0</v>
      </c>
      <c r="AP26" s="81">
        <f t="shared" si="14"/>
        <v>0</v>
      </c>
      <c r="AQ26" s="81">
        <f t="shared" si="15"/>
        <v>0</v>
      </c>
      <c r="AR26" s="81">
        <f t="shared" si="16"/>
        <v>0</v>
      </c>
      <c r="AS26" s="82">
        <v>6043</v>
      </c>
      <c r="AT26" s="82">
        <v>45</v>
      </c>
      <c r="AU26" s="82"/>
      <c r="AV26" s="82">
        <v>45</v>
      </c>
      <c r="AW26" s="82">
        <f>15302758.3070123*(0.001)</f>
        <v>15302.758307012313</v>
      </c>
      <c r="AX26" s="82">
        <v>-3268.879756413244</v>
      </c>
      <c r="AY26" s="82">
        <v>5884.809994815546</v>
      </c>
      <c r="AZ26" s="408"/>
      <c r="BA26" s="81"/>
      <c r="BB26" s="81"/>
      <c r="BC26" s="81"/>
      <c r="BD26" s="81"/>
      <c r="BE26" s="81"/>
      <c r="BF26" s="81"/>
      <c r="BG26" s="81"/>
      <c r="BO26" s="114"/>
    </row>
    <row r="27" spans="1:67" ht="12.75">
      <c r="A27" s="81">
        <v>46</v>
      </c>
      <c r="B27" s="81" t="s">
        <v>150</v>
      </c>
      <c r="C27" s="81">
        <v>10</v>
      </c>
      <c r="D27" s="81">
        <v>1369</v>
      </c>
      <c r="E27" s="100">
        <v>3042123.5531959236</v>
      </c>
      <c r="F27" s="81">
        <v>1609338.4949512077</v>
      </c>
      <c r="G27" s="81">
        <v>535423.6623716964</v>
      </c>
      <c r="H27" s="81">
        <v>458877.02139562</v>
      </c>
      <c r="I27" s="156">
        <v>1050156.0219043563</v>
      </c>
      <c r="J27" s="156">
        <v>279635.1095509251</v>
      </c>
      <c r="K27" s="81">
        <v>218929.16878673705</v>
      </c>
      <c r="L27" s="81">
        <v>-344100</v>
      </c>
      <c r="M27" s="82">
        <v>0</v>
      </c>
      <c r="N27" s="82">
        <v>11879.37295377873</v>
      </c>
      <c r="O27" s="214">
        <f t="shared" si="3"/>
        <v>778015.298718398</v>
      </c>
      <c r="P27" s="215">
        <f t="shared" si="4"/>
        <v>568.3092028622337</v>
      </c>
      <c r="Q27" s="81"/>
      <c r="R27" s="223">
        <v>9768653</v>
      </c>
      <c r="S27" s="156">
        <v>3673498.8031220944</v>
      </c>
      <c r="T27" s="156">
        <v>688315.53209343</v>
      </c>
      <c r="U27" s="156">
        <v>5259888.799602226</v>
      </c>
      <c r="V27" s="156">
        <v>944693.1578352151</v>
      </c>
      <c r="W27" s="156">
        <v>191323.66237169644</v>
      </c>
      <c r="X27" s="214">
        <f t="shared" si="5"/>
        <v>989066.9550246615</v>
      </c>
      <c r="Y27" s="215">
        <f t="shared" si="6"/>
        <v>722.4740358105636</v>
      </c>
      <c r="Z27" s="81"/>
      <c r="AA27" s="94">
        <f t="shared" si="7"/>
        <v>-211051.65630626353</v>
      </c>
      <c r="AB27" s="153">
        <f t="shared" si="8"/>
        <v>-154.16483294832983</v>
      </c>
      <c r="AD27" s="216"/>
      <c r="AE27" s="224"/>
      <c r="AF27" s="224"/>
      <c r="AG27" s="224"/>
      <c r="AH27" s="225"/>
      <c r="AJ27" s="81">
        <f t="shared" si="9"/>
        <v>2064160.3081708867</v>
      </c>
      <c r="AK27" s="81">
        <f t="shared" si="10"/>
        <v>229438.51069781004</v>
      </c>
      <c r="AL27" s="81">
        <f t="shared" si="11"/>
        <v>4209732.7776978705</v>
      </c>
      <c r="AM27" s="81">
        <f t="shared" si="17"/>
        <v>6726529.446804076</v>
      </c>
      <c r="AN27" s="81">
        <f t="shared" si="12"/>
        <v>0</v>
      </c>
      <c r="AO27" s="81">
        <f t="shared" si="13"/>
        <v>0</v>
      </c>
      <c r="AP27" s="81">
        <f t="shared" si="14"/>
        <v>0</v>
      </c>
      <c r="AQ27" s="81">
        <f t="shared" si="15"/>
        <v>0</v>
      </c>
      <c r="AR27" s="81">
        <f t="shared" si="16"/>
        <v>0</v>
      </c>
      <c r="AS27" s="82">
        <v>655</v>
      </c>
      <c r="AT27" s="82"/>
      <c r="AU27" s="82"/>
      <c r="AV27" s="82">
        <v>0</v>
      </c>
      <c r="AW27" s="82">
        <f>3560614.24579058*(0.001)</f>
        <v>3560.614245790577</v>
      </c>
      <c r="AX27" s="82">
        <v>-584.649212565572</v>
      </c>
      <c r="AY27" s="82">
        <v>665.05804828429</v>
      </c>
      <c r="AZ27" s="408"/>
      <c r="BA27" s="81"/>
      <c r="BB27" s="81"/>
      <c r="BC27" s="81"/>
      <c r="BD27" s="81"/>
      <c r="BE27" s="81"/>
      <c r="BF27" s="81"/>
      <c r="BG27" s="81"/>
      <c r="BO27" s="114"/>
    </row>
    <row r="28" spans="1:67" ht="12.75">
      <c r="A28" s="81">
        <v>47</v>
      </c>
      <c r="B28" s="81" t="s">
        <v>151</v>
      </c>
      <c r="C28" s="81">
        <v>19</v>
      </c>
      <c r="D28" s="81">
        <v>1808</v>
      </c>
      <c r="E28" s="100">
        <v>6816088.33128849</v>
      </c>
      <c r="F28" s="81">
        <v>2557401.355147332</v>
      </c>
      <c r="G28" s="81">
        <v>843064.580963644</v>
      </c>
      <c r="H28" s="81">
        <v>355807.3576801582</v>
      </c>
      <c r="I28" s="156">
        <v>2713706.116029009</v>
      </c>
      <c r="J28" s="156">
        <v>361067.4282762343</v>
      </c>
      <c r="K28" s="81">
        <v>8292.809094360093</v>
      </c>
      <c r="L28" s="81">
        <v>20030</v>
      </c>
      <c r="M28" s="82">
        <v>143800</v>
      </c>
      <c r="N28" s="82">
        <v>17698.954701716353</v>
      </c>
      <c r="O28" s="214">
        <f t="shared" si="3"/>
        <v>204780.27060396317</v>
      </c>
      <c r="P28" s="215">
        <f t="shared" si="4"/>
        <v>113.2634240066168</v>
      </c>
      <c r="Q28" s="81"/>
      <c r="R28" s="223">
        <v>16162826</v>
      </c>
      <c r="S28" s="156">
        <v>5796706.796436315</v>
      </c>
      <c r="T28" s="156">
        <v>533711.0365202373</v>
      </c>
      <c r="U28" s="156">
        <v>8518082.49696164</v>
      </c>
      <c r="V28" s="156">
        <v>1221012.608139145</v>
      </c>
      <c r="W28" s="156">
        <v>1006894.580963644</v>
      </c>
      <c r="X28" s="214">
        <f t="shared" si="5"/>
        <v>913581.5190209821</v>
      </c>
      <c r="Y28" s="215">
        <f t="shared" si="6"/>
        <v>505.29951273284405</v>
      </c>
      <c r="Z28" s="81"/>
      <c r="AA28" s="94">
        <f t="shared" si="7"/>
        <v>-708801.2484170189</v>
      </c>
      <c r="AB28" s="153">
        <f t="shared" si="8"/>
        <v>-392.03608872622726</v>
      </c>
      <c r="AD28" s="216"/>
      <c r="AE28" s="224"/>
      <c r="AF28" s="224"/>
      <c r="AG28" s="224"/>
      <c r="AH28" s="225"/>
      <c r="AJ28" s="81">
        <f t="shared" si="9"/>
        <v>3239305.4412889834</v>
      </c>
      <c r="AK28" s="81">
        <f t="shared" si="10"/>
        <v>177903.6788400791</v>
      </c>
      <c r="AL28" s="81">
        <f t="shared" si="11"/>
        <v>5804376.380932631</v>
      </c>
      <c r="AM28" s="81">
        <f t="shared" si="17"/>
        <v>9346737.66871151</v>
      </c>
      <c r="AN28" s="81">
        <f t="shared" si="12"/>
        <v>0</v>
      </c>
      <c r="AO28" s="81">
        <f t="shared" si="13"/>
        <v>0</v>
      </c>
      <c r="AP28" s="81">
        <f t="shared" si="14"/>
        <v>0</v>
      </c>
      <c r="AQ28" s="81">
        <f t="shared" si="15"/>
        <v>0</v>
      </c>
      <c r="AR28" s="81">
        <f t="shared" si="16"/>
        <v>0</v>
      </c>
      <c r="AS28" s="82">
        <v>366</v>
      </c>
      <c r="AT28" s="82">
        <v>38</v>
      </c>
      <c r="AU28" s="82"/>
      <c r="AV28" s="82">
        <v>38</v>
      </c>
      <c r="AW28" s="82">
        <f>4364318.0018836*(0.001)</f>
        <v>4364.318001883602</v>
      </c>
      <c r="AX28" s="82">
        <v>-737.6171093666596</v>
      </c>
      <c r="AY28" s="82">
        <v>859.9451798629107</v>
      </c>
      <c r="AZ28" s="408"/>
      <c r="BA28" s="81"/>
      <c r="BB28" s="81"/>
      <c r="BC28" s="81"/>
      <c r="BD28" s="81"/>
      <c r="BE28" s="81"/>
      <c r="BF28" s="81"/>
      <c r="BG28" s="81"/>
      <c r="BO28" s="114"/>
    </row>
    <row r="29" spans="1:67" ht="12.75">
      <c r="A29" s="81">
        <v>49</v>
      </c>
      <c r="B29" s="81" t="s">
        <v>152</v>
      </c>
      <c r="C29" s="81">
        <v>1</v>
      </c>
      <c r="D29" s="81">
        <v>292796</v>
      </c>
      <c r="E29" s="100">
        <v>888410938.4889202</v>
      </c>
      <c r="F29" s="81">
        <v>471069303.8264532</v>
      </c>
      <c r="G29" s="81">
        <v>138697743.19822413</v>
      </c>
      <c r="H29" s="81">
        <v>96725807.01737492</v>
      </c>
      <c r="I29" s="156">
        <v>195704666.73650244</v>
      </c>
      <c r="J29" s="156">
        <v>26271771.577920333</v>
      </c>
      <c r="K29" s="81">
        <v>65436034.08115931</v>
      </c>
      <c r="L29" s="81">
        <v>-7141998</v>
      </c>
      <c r="M29" s="82">
        <v>15805658</v>
      </c>
      <c r="N29" s="82">
        <v>5576903.070637203</v>
      </c>
      <c r="O29" s="214">
        <f t="shared" si="3"/>
        <v>119734951.01935136</v>
      </c>
      <c r="P29" s="215">
        <f t="shared" si="4"/>
        <v>408.9364302085799</v>
      </c>
      <c r="Q29" s="81"/>
      <c r="R29" s="223">
        <v>1803522109.02</v>
      </c>
      <c r="S29" s="156">
        <v>1499461743.0052707</v>
      </c>
      <c r="T29" s="156">
        <v>145088710.5260624</v>
      </c>
      <c r="U29" s="156">
        <v>51276983.72415915</v>
      </c>
      <c r="V29" s="156">
        <v>91840920.65699425</v>
      </c>
      <c r="W29" s="156">
        <v>147361403.19822413</v>
      </c>
      <c r="X29" s="214">
        <f t="shared" si="5"/>
        <v>131507652.09071064</v>
      </c>
      <c r="Y29" s="215">
        <f t="shared" si="6"/>
        <v>449.14429189849125</v>
      </c>
      <c r="Z29" s="81"/>
      <c r="AA29" s="94">
        <f t="shared" si="7"/>
        <v>-11772701.071359277</v>
      </c>
      <c r="AB29" s="153">
        <f t="shared" si="8"/>
        <v>-40.207861689911326</v>
      </c>
      <c r="AD29" s="216"/>
      <c r="AE29" s="224"/>
      <c r="AF29" s="224"/>
      <c r="AG29" s="224"/>
      <c r="AH29" s="225"/>
      <c r="AJ29" s="81">
        <f t="shared" si="9"/>
        <v>1028392439.1788175</v>
      </c>
      <c r="AK29" s="81">
        <f t="shared" si="10"/>
        <v>48362903.50868748</v>
      </c>
      <c r="AL29" s="81">
        <f t="shared" si="11"/>
        <v>-144427683.0123433</v>
      </c>
      <c r="AM29" s="81">
        <f t="shared" si="17"/>
        <v>915111170.5310798</v>
      </c>
      <c r="AN29" s="81">
        <f t="shared" si="12"/>
        <v>0</v>
      </c>
      <c r="AO29" s="81">
        <f t="shared" si="13"/>
        <v>0</v>
      </c>
      <c r="AP29" s="81">
        <f t="shared" si="14"/>
        <v>0</v>
      </c>
      <c r="AQ29" s="81">
        <f t="shared" si="15"/>
        <v>0</v>
      </c>
      <c r="AR29" s="81">
        <f t="shared" si="16"/>
        <v>0</v>
      </c>
      <c r="AS29" s="82">
        <v>178942</v>
      </c>
      <c r="AT29" s="82">
        <v>1964</v>
      </c>
      <c r="AU29" s="82">
        <v>1361</v>
      </c>
      <c r="AV29" s="82">
        <v>3325</v>
      </c>
      <c r="AW29" s="82">
        <f>26628222.7617779*(0.001)</f>
        <v>26628.22276177791</v>
      </c>
      <c r="AX29" s="82">
        <v>139069.9369385746</v>
      </c>
      <c r="AY29" s="82">
        <v>65569.14907907392</v>
      </c>
      <c r="AZ29" s="408"/>
      <c r="BA29" s="81"/>
      <c r="BB29" s="81"/>
      <c r="BC29" s="81"/>
      <c r="BD29" s="81"/>
      <c r="BE29" s="81"/>
      <c r="BF29" s="81"/>
      <c r="BG29" s="81"/>
      <c r="BO29" s="114"/>
    </row>
    <row r="30" spans="1:67" ht="12.75">
      <c r="A30" s="81">
        <v>50</v>
      </c>
      <c r="B30" s="81" t="s">
        <v>153</v>
      </c>
      <c r="C30" s="81">
        <v>4</v>
      </c>
      <c r="D30" s="81">
        <v>11483</v>
      </c>
      <c r="E30" s="100">
        <v>27164149.970087104</v>
      </c>
      <c r="F30" s="81">
        <v>17969642.69513341</v>
      </c>
      <c r="G30" s="81">
        <v>3210273.5430070627</v>
      </c>
      <c r="H30" s="81">
        <v>1724951.9461033922</v>
      </c>
      <c r="I30" s="156">
        <v>5656706.074610681</v>
      </c>
      <c r="J30" s="156">
        <v>1840825.6863786122</v>
      </c>
      <c r="K30" s="81">
        <v>-161374.95887926497</v>
      </c>
      <c r="L30" s="81">
        <v>-1382593</v>
      </c>
      <c r="M30" s="82">
        <v>11000</v>
      </c>
      <c r="N30" s="82">
        <v>128980.32341871683</v>
      </c>
      <c r="O30" s="214">
        <f t="shared" si="3"/>
        <v>1834262.3396855071</v>
      </c>
      <c r="P30" s="215">
        <f t="shared" si="4"/>
        <v>159.73720627758487</v>
      </c>
      <c r="Q30" s="81"/>
      <c r="R30" s="223">
        <v>73034368</v>
      </c>
      <c r="S30" s="156">
        <v>42009921.99388843</v>
      </c>
      <c r="T30" s="156">
        <v>2587427.9191550883</v>
      </c>
      <c r="U30" s="156">
        <v>22050663.80117109</v>
      </c>
      <c r="V30" s="156">
        <v>6260877.360705892</v>
      </c>
      <c r="W30" s="156">
        <v>1838680.5430070627</v>
      </c>
      <c r="X30" s="214">
        <f t="shared" si="5"/>
        <v>1713203.6179275662</v>
      </c>
      <c r="Y30" s="215">
        <f t="shared" si="6"/>
        <v>149.19477644583873</v>
      </c>
      <c r="Z30" s="81"/>
      <c r="AA30" s="94">
        <f t="shared" si="7"/>
        <v>121058.72175794095</v>
      </c>
      <c r="AB30" s="153">
        <f t="shared" si="8"/>
        <v>10.542429831746142</v>
      </c>
      <c r="AD30" s="216"/>
      <c r="AE30" s="224"/>
      <c r="AF30" s="224"/>
      <c r="AG30" s="224"/>
      <c r="AH30" s="225"/>
      <c r="AJ30" s="81">
        <f t="shared" si="9"/>
        <v>24040279.29875502</v>
      </c>
      <c r="AK30" s="81">
        <f t="shared" si="10"/>
        <v>862475.9730516961</v>
      </c>
      <c r="AL30" s="81">
        <f t="shared" si="11"/>
        <v>16393957.72656041</v>
      </c>
      <c r="AM30" s="81">
        <f t="shared" si="17"/>
        <v>45870218.0299129</v>
      </c>
      <c r="AN30" s="81">
        <f t="shared" si="12"/>
        <v>0</v>
      </c>
      <c r="AO30" s="81">
        <f t="shared" si="13"/>
        <v>0</v>
      </c>
      <c r="AP30" s="81">
        <f t="shared" si="14"/>
        <v>0</v>
      </c>
      <c r="AQ30" s="81">
        <f t="shared" si="15"/>
        <v>0</v>
      </c>
      <c r="AR30" s="81">
        <f t="shared" si="16"/>
        <v>0</v>
      </c>
      <c r="AS30" s="82">
        <v>3726</v>
      </c>
      <c r="AT30" s="82">
        <v>72</v>
      </c>
      <c r="AU30" s="82"/>
      <c r="AV30" s="82">
        <v>72</v>
      </c>
      <c r="AW30" s="82">
        <f>14952393.0856579*(0.001)</f>
        <v>14952.393085657946</v>
      </c>
      <c r="AX30" s="82">
        <v>-1460.3207082469457</v>
      </c>
      <c r="AY30" s="82">
        <v>4420.051674327279</v>
      </c>
      <c r="AZ30" s="408"/>
      <c r="BA30" s="81"/>
      <c r="BB30" s="81"/>
      <c r="BC30" s="81"/>
      <c r="BD30" s="81"/>
      <c r="BE30" s="81"/>
      <c r="BF30" s="81"/>
      <c r="BG30" s="81"/>
      <c r="BO30" s="114"/>
    </row>
    <row r="31" spans="1:67" ht="12.75">
      <c r="A31" s="81">
        <v>51</v>
      </c>
      <c r="B31" s="81" t="s">
        <v>154</v>
      </c>
      <c r="C31" s="81">
        <v>4</v>
      </c>
      <c r="D31" s="81">
        <v>9452</v>
      </c>
      <c r="E31" s="100">
        <v>28931742.608057313</v>
      </c>
      <c r="F31" s="81">
        <v>10655503.626679087</v>
      </c>
      <c r="G31" s="81">
        <v>25843687.89504577</v>
      </c>
      <c r="H31" s="81">
        <v>1615211.6967031127</v>
      </c>
      <c r="I31" s="156">
        <v>3488655.1241518394</v>
      </c>
      <c r="J31" s="156">
        <v>1609015.5698249969</v>
      </c>
      <c r="K31" s="81">
        <v>-2670744.160339656</v>
      </c>
      <c r="L31" s="81">
        <v>-1017618</v>
      </c>
      <c r="M31" s="82">
        <v>-33100</v>
      </c>
      <c r="N31" s="82">
        <v>118888.50063743947</v>
      </c>
      <c r="O31" s="214">
        <f t="shared" si="3"/>
        <v>10677757.644645274</v>
      </c>
      <c r="P31" s="215">
        <f t="shared" si="4"/>
        <v>1129.6823576645445</v>
      </c>
      <c r="Q31" s="81"/>
      <c r="R31" s="223">
        <v>67487811</v>
      </c>
      <c r="S31" s="156">
        <v>32802183.80841327</v>
      </c>
      <c r="T31" s="156">
        <v>2422817.5450546695</v>
      </c>
      <c r="U31" s="156">
        <v>8972598.479283478</v>
      </c>
      <c r="V31" s="156">
        <v>5505369.272392837</v>
      </c>
      <c r="W31" s="156">
        <v>24792969.89504577</v>
      </c>
      <c r="X31" s="214">
        <f t="shared" si="5"/>
        <v>7008128.00019002</v>
      </c>
      <c r="Y31" s="215">
        <f t="shared" si="6"/>
        <v>741.4439272312759</v>
      </c>
      <c r="Z31" s="81"/>
      <c r="AA31" s="94">
        <f t="shared" si="7"/>
        <v>3669629.644455254</v>
      </c>
      <c r="AB31" s="153">
        <f t="shared" si="8"/>
        <v>388.23843043326855</v>
      </c>
      <c r="AD31" s="216"/>
      <c r="AE31" s="224"/>
      <c r="AF31" s="224"/>
      <c r="AG31" s="224"/>
      <c r="AH31" s="225"/>
      <c r="AJ31" s="81">
        <f t="shared" si="9"/>
        <v>22146680.181734182</v>
      </c>
      <c r="AK31" s="81">
        <f t="shared" si="10"/>
        <v>807605.8483515568</v>
      </c>
      <c r="AL31" s="81">
        <f t="shared" si="11"/>
        <v>5483943.355131639</v>
      </c>
      <c r="AM31" s="81">
        <f t="shared" si="17"/>
        <v>38556068.39194269</v>
      </c>
      <c r="AN31" s="81">
        <f t="shared" si="12"/>
        <v>0</v>
      </c>
      <c r="AO31" s="81">
        <f t="shared" si="13"/>
        <v>0</v>
      </c>
      <c r="AP31" s="81">
        <f t="shared" si="14"/>
        <v>0</v>
      </c>
      <c r="AQ31" s="81">
        <f t="shared" si="15"/>
        <v>0</v>
      </c>
      <c r="AR31" s="81">
        <f t="shared" si="16"/>
        <v>0</v>
      </c>
      <c r="AS31" s="82">
        <v>4915</v>
      </c>
      <c r="AT31" s="82"/>
      <c r="AU31" s="82"/>
      <c r="AV31" s="82">
        <v>0</v>
      </c>
      <c r="AW31" s="82">
        <f>7880560.16365778*(0.001)</f>
        <v>7880.560163657785</v>
      </c>
      <c r="AX31" s="82">
        <v>503.13660911298786</v>
      </c>
      <c r="AY31" s="82">
        <v>3896.3537025678406</v>
      </c>
      <c r="AZ31" s="408"/>
      <c r="BA31" s="81"/>
      <c r="BB31" s="81"/>
      <c r="BC31" s="81"/>
      <c r="BD31" s="81"/>
      <c r="BE31" s="81"/>
      <c r="BF31" s="81"/>
      <c r="BG31" s="81"/>
      <c r="BO31" s="114"/>
    </row>
    <row r="32" spans="1:67" ht="12.75">
      <c r="A32" s="81">
        <v>52</v>
      </c>
      <c r="B32" s="81" t="s">
        <v>155</v>
      </c>
      <c r="C32" s="81">
        <v>14</v>
      </c>
      <c r="D32" s="81">
        <v>2408</v>
      </c>
      <c r="E32" s="100">
        <v>7829909.837230228</v>
      </c>
      <c r="F32" s="81">
        <v>3473387.7810723167</v>
      </c>
      <c r="G32" s="81">
        <v>818556.518148209</v>
      </c>
      <c r="H32" s="81">
        <v>461750.9068921878</v>
      </c>
      <c r="I32" s="156">
        <v>2008471.749105501</v>
      </c>
      <c r="J32" s="156">
        <v>504693.96631921525</v>
      </c>
      <c r="K32" s="81">
        <v>405685.6578548681</v>
      </c>
      <c r="L32" s="81">
        <v>153676</v>
      </c>
      <c r="M32" s="82">
        <v>409000</v>
      </c>
      <c r="N32" s="82">
        <v>20464.696630974828</v>
      </c>
      <c r="O32" s="214">
        <f t="shared" si="3"/>
        <v>425777.43879304454</v>
      </c>
      <c r="P32" s="215">
        <f t="shared" si="4"/>
        <v>176.81787325292547</v>
      </c>
      <c r="Q32" s="81"/>
      <c r="R32" s="223">
        <v>18491600</v>
      </c>
      <c r="S32" s="156">
        <v>7193714.483155781</v>
      </c>
      <c r="T32" s="156">
        <v>692626.3603382817</v>
      </c>
      <c r="U32" s="156">
        <v>8131396.671683705</v>
      </c>
      <c r="V32" s="156">
        <v>1703981.1003508077</v>
      </c>
      <c r="W32" s="156">
        <v>1381232.518148209</v>
      </c>
      <c r="X32" s="214">
        <f t="shared" si="5"/>
        <v>611351.1336767823</v>
      </c>
      <c r="Y32" s="215">
        <f t="shared" si="6"/>
        <v>253.88336116145442</v>
      </c>
      <c r="Z32" s="81"/>
      <c r="AA32" s="94">
        <f t="shared" si="7"/>
        <v>-185573.6948837377</v>
      </c>
      <c r="AB32" s="153">
        <f t="shared" si="8"/>
        <v>-77.06548790852895</v>
      </c>
      <c r="AD32" s="216"/>
      <c r="AE32" s="224"/>
      <c r="AF32" s="224"/>
      <c r="AG32" s="224"/>
      <c r="AH32" s="225"/>
      <c r="AJ32" s="81">
        <f t="shared" si="9"/>
        <v>3720326.7020834647</v>
      </c>
      <c r="AK32" s="81">
        <f t="shared" si="10"/>
        <v>230875.45344609395</v>
      </c>
      <c r="AL32" s="81">
        <f t="shared" si="11"/>
        <v>6122924.922578204</v>
      </c>
      <c r="AM32" s="81">
        <f t="shared" si="17"/>
        <v>10661690.162769772</v>
      </c>
      <c r="AN32" s="81">
        <f t="shared" si="12"/>
        <v>0</v>
      </c>
      <c r="AO32" s="81">
        <f t="shared" si="13"/>
        <v>0</v>
      </c>
      <c r="AP32" s="81">
        <f t="shared" si="14"/>
        <v>0</v>
      </c>
      <c r="AQ32" s="81">
        <f t="shared" si="15"/>
        <v>0</v>
      </c>
      <c r="AR32" s="81">
        <f t="shared" si="16"/>
        <v>0</v>
      </c>
      <c r="AS32" s="82">
        <v>619</v>
      </c>
      <c r="AT32" s="82"/>
      <c r="AU32" s="82">
        <v>20</v>
      </c>
      <c r="AV32" s="82">
        <v>20</v>
      </c>
      <c r="AW32" s="82">
        <f>5071172.8891873*(0.001)</f>
        <v>5071.172889187303</v>
      </c>
      <c r="AX32" s="82">
        <v>-1137.7428032165758</v>
      </c>
      <c r="AY32" s="82">
        <v>1199.2871340315924</v>
      </c>
      <c r="AZ32" s="408"/>
      <c r="BA32" s="81"/>
      <c r="BB32" s="81"/>
      <c r="BC32" s="81"/>
      <c r="BD32" s="81"/>
      <c r="BE32" s="81"/>
      <c r="BF32" s="81"/>
      <c r="BG32" s="81"/>
      <c r="BO32" s="114"/>
    </row>
    <row r="33" spans="1:67" ht="12.75">
      <c r="A33" s="81">
        <v>61</v>
      </c>
      <c r="B33" s="81" t="s">
        <v>156</v>
      </c>
      <c r="C33" s="81">
        <v>5</v>
      </c>
      <c r="D33" s="81">
        <v>16800</v>
      </c>
      <c r="E33" s="100">
        <v>37365522.90251145</v>
      </c>
      <c r="F33" s="81">
        <v>23115683.286710344</v>
      </c>
      <c r="G33" s="81">
        <v>5257701.542666573</v>
      </c>
      <c r="H33" s="81">
        <v>2775032.680699695</v>
      </c>
      <c r="I33" s="156">
        <v>4733075.850020786</v>
      </c>
      <c r="J33" s="156">
        <v>2731557.6381025</v>
      </c>
      <c r="K33" s="81">
        <v>1580626.3375689648</v>
      </c>
      <c r="L33" s="81">
        <v>302203</v>
      </c>
      <c r="M33" s="82">
        <v>-576000</v>
      </c>
      <c r="N33" s="82">
        <v>175637.16415180382</v>
      </c>
      <c r="O33" s="214">
        <f t="shared" si="3"/>
        <v>2729994.5974092185</v>
      </c>
      <c r="P33" s="215">
        <f t="shared" si="4"/>
        <v>162.4996784172154</v>
      </c>
      <c r="Q33" s="81"/>
      <c r="R33" s="223">
        <v>108560101</v>
      </c>
      <c r="S33" s="156">
        <v>55639148.09119308</v>
      </c>
      <c r="T33" s="156">
        <v>4162549.021049543</v>
      </c>
      <c r="U33" s="156">
        <v>39350965.2406028</v>
      </c>
      <c r="V33" s="156">
        <v>9274827.552248372</v>
      </c>
      <c r="W33" s="156">
        <v>4983904.542666573</v>
      </c>
      <c r="X33" s="214">
        <f t="shared" si="5"/>
        <v>4851293.447760373</v>
      </c>
      <c r="Y33" s="215">
        <f t="shared" si="6"/>
        <v>288.76746712859364</v>
      </c>
      <c r="Z33" s="81"/>
      <c r="AA33" s="94">
        <f t="shared" si="7"/>
        <v>-2121298.850351155</v>
      </c>
      <c r="AB33" s="153">
        <f t="shared" si="8"/>
        <v>-126.26778871137826</v>
      </c>
      <c r="AD33" s="216"/>
      <c r="AE33" s="224"/>
      <c r="AF33" s="224"/>
      <c r="AG33" s="224"/>
      <c r="AH33" s="225"/>
      <c r="AJ33" s="81">
        <f t="shared" si="9"/>
        <v>32523464.804482736</v>
      </c>
      <c r="AK33" s="81">
        <f t="shared" si="10"/>
        <v>1387516.340349848</v>
      </c>
      <c r="AL33" s="81">
        <f t="shared" si="11"/>
        <v>34617889.39058201</v>
      </c>
      <c r="AM33" s="81">
        <f t="shared" si="17"/>
        <v>71194578.09748855</v>
      </c>
      <c r="AN33" s="81">
        <f t="shared" si="12"/>
        <v>0</v>
      </c>
      <c r="AO33" s="81">
        <f t="shared" si="13"/>
        <v>0</v>
      </c>
      <c r="AP33" s="81">
        <f t="shared" si="14"/>
        <v>0</v>
      </c>
      <c r="AQ33" s="81">
        <f t="shared" si="15"/>
        <v>0</v>
      </c>
      <c r="AR33" s="81">
        <f t="shared" si="16"/>
        <v>0</v>
      </c>
      <c r="AS33" s="82">
        <v>6058</v>
      </c>
      <c r="AT33" s="82">
        <v>1</v>
      </c>
      <c r="AU33" s="82">
        <v>1</v>
      </c>
      <c r="AV33" s="82">
        <v>2</v>
      </c>
      <c r="AW33" s="82">
        <f>29274367.5456513*(0.001)</f>
        <v>29274.36754565128</v>
      </c>
      <c r="AX33" s="82">
        <v>-4283.699650056194</v>
      </c>
      <c r="AY33" s="82">
        <v>6543.269914145872</v>
      </c>
      <c r="AZ33" s="408"/>
      <c r="BA33" s="81"/>
      <c r="BB33" s="81"/>
      <c r="BC33" s="81"/>
      <c r="BD33" s="81"/>
      <c r="BE33" s="81"/>
      <c r="BF33" s="81"/>
      <c r="BG33" s="81"/>
      <c r="BO33" s="114"/>
    </row>
    <row r="34" spans="1:67" ht="12.75">
      <c r="A34" s="81">
        <v>69</v>
      </c>
      <c r="B34" s="81" t="s">
        <v>157</v>
      </c>
      <c r="C34" s="81">
        <v>17</v>
      </c>
      <c r="D34" s="81">
        <v>6896</v>
      </c>
      <c r="E34" s="100">
        <v>19044817.978854526</v>
      </c>
      <c r="F34" s="81">
        <v>9998374.745014902</v>
      </c>
      <c r="G34" s="81">
        <v>2238567.1265164292</v>
      </c>
      <c r="H34" s="81">
        <v>1007974.9546657085</v>
      </c>
      <c r="I34" s="156">
        <v>7795177.820882634</v>
      </c>
      <c r="J34" s="156">
        <v>1244792.372760605</v>
      </c>
      <c r="K34" s="81">
        <v>-1747827.7615920661</v>
      </c>
      <c r="L34" s="81">
        <v>70978</v>
      </c>
      <c r="M34" s="82">
        <v>600000</v>
      </c>
      <c r="N34" s="82">
        <v>58592.75780026613</v>
      </c>
      <c r="O34" s="214">
        <f t="shared" si="3"/>
        <v>2221812.037193954</v>
      </c>
      <c r="P34" s="215">
        <f t="shared" si="4"/>
        <v>322.18852047476133</v>
      </c>
      <c r="Q34" s="81"/>
      <c r="R34" s="223">
        <v>51304792</v>
      </c>
      <c r="S34" s="156">
        <v>20807129.161369476</v>
      </c>
      <c r="T34" s="156">
        <v>1511962.4319985628</v>
      </c>
      <c r="U34" s="156">
        <v>22182697.676519603</v>
      </c>
      <c r="V34" s="156">
        <v>4213778.756799102</v>
      </c>
      <c r="W34" s="156">
        <v>2909545.1265164292</v>
      </c>
      <c r="X34" s="214">
        <f t="shared" si="5"/>
        <v>320321.1532031745</v>
      </c>
      <c r="Y34" s="215">
        <f t="shared" si="6"/>
        <v>46.450283237119265</v>
      </c>
      <c r="Z34" s="81"/>
      <c r="AA34" s="94">
        <f t="shared" si="7"/>
        <v>1901490.8839907795</v>
      </c>
      <c r="AB34" s="153">
        <f t="shared" si="8"/>
        <v>275.73823723764207</v>
      </c>
      <c r="AD34" s="216"/>
      <c r="AE34" s="224"/>
      <c r="AF34" s="224"/>
      <c r="AG34" s="224"/>
      <c r="AH34" s="225"/>
      <c r="AJ34" s="81">
        <f t="shared" si="9"/>
        <v>10808754.416354574</v>
      </c>
      <c r="AK34" s="81">
        <f t="shared" si="10"/>
        <v>503987.4773328543</v>
      </c>
      <c r="AL34" s="81">
        <f t="shared" si="11"/>
        <v>14387519.85563697</v>
      </c>
      <c r="AM34" s="81">
        <f t="shared" si="17"/>
        <v>32259974.021145474</v>
      </c>
      <c r="AN34" s="81">
        <f t="shared" si="12"/>
        <v>0</v>
      </c>
      <c r="AO34" s="81">
        <f t="shared" si="13"/>
        <v>0</v>
      </c>
      <c r="AP34" s="81">
        <f t="shared" si="14"/>
        <v>0</v>
      </c>
      <c r="AQ34" s="81">
        <f t="shared" si="15"/>
        <v>0</v>
      </c>
      <c r="AR34" s="81">
        <f t="shared" si="16"/>
        <v>0</v>
      </c>
      <c r="AS34" s="82">
        <v>2114</v>
      </c>
      <c r="AT34" s="82"/>
      <c r="AU34" s="82"/>
      <c r="AV34" s="82">
        <v>0</v>
      </c>
      <c r="AW34" s="82">
        <f>11580384.217421*(0.001)</f>
        <v>11580.384217421022</v>
      </c>
      <c r="AX34" s="82">
        <v>-3546.579256557038</v>
      </c>
      <c r="AY34" s="82">
        <v>2968.986384038497</v>
      </c>
      <c r="AZ34" s="408"/>
      <c r="BA34" s="81"/>
      <c r="BB34" s="81"/>
      <c r="BC34" s="81"/>
      <c r="BD34" s="81"/>
      <c r="BE34" s="81"/>
      <c r="BF34" s="81"/>
      <c r="BG34" s="81"/>
      <c r="BO34" s="114"/>
    </row>
    <row r="35" spans="1:67" ht="12.75">
      <c r="A35" s="81">
        <v>71</v>
      </c>
      <c r="B35" s="81" t="s">
        <v>158</v>
      </c>
      <c r="C35" s="81">
        <v>17</v>
      </c>
      <c r="D35" s="81">
        <v>6667</v>
      </c>
      <c r="E35" s="100">
        <v>22352004.571843326</v>
      </c>
      <c r="F35" s="81">
        <v>8994961.730383782</v>
      </c>
      <c r="G35" s="81">
        <v>1655413.3722346753</v>
      </c>
      <c r="H35" s="81">
        <v>916303.8861563717</v>
      </c>
      <c r="I35" s="156">
        <v>8694491.885813633</v>
      </c>
      <c r="J35" s="156">
        <v>1227227.326615198</v>
      </c>
      <c r="K35" s="81">
        <v>402484.93097481236</v>
      </c>
      <c r="L35" s="81">
        <v>293723</v>
      </c>
      <c r="M35" s="82">
        <v>-44400</v>
      </c>
      <c r="N35" s="82">
        <v>55429.92228057914</v>
      </c>
      <c r="O35" s="214">
        <f t="shared" si="3"/>
        <v>-156368.5173842758</v>
      </c>
      <c r="P35" s="215">
        <f t="shared" si="4"/>
        <v>-23.45410490239625</v>
      </c>
      <c r="Q35" s="81"/>
      <c r="R35" s="223">
        <v>50826982</v>
      </c>
      <c r="S35" s="156">
        <v>19238890.172135983</v>
      </c>
      <c r="T35" s="156">
        <v>1374455.8292345575</v>
      </c>
      <c r="U35" s="156">
        <v>23619461.585463576</v>
      </c>
      <c r="V35" s="156">
        <v>4147391.7405344467</v>
      </c>
      <c r="W35" s="156">
        <v>1904736.3722346753</v>
      </c>
      <c r="X35" s="214">
        <f t="shared" si="5"/>
        <v>-542046.3003967553</v>
      </c>
      <c r="Y35" s="215">
        <f t="shared" si="6"/>
        <v>-81.30287991551752</v>
      </c>
      <c r="Z35" s="81"/>
      <c r="AA35" s="94">
        <f t="shared" si="7"/>
        <v>385677.78301247954</v>
      </c>
      <c r="AB35" s="153">
        <f t="shared" si="8"/>
        <v>57.848775013121276</v>
      </c>
      <c r="AD35" s="216"/>
      <c r="AE35" s="224"/>
      <c r="AF35" s="224"/>
      <c r="AG35" s="224"/>
      <c r="AH35" s="225"/>
      <c r="AJ35" s="81">
        <f t="shared" si="9"/>
        <v>10243928.441752201</v>
      </c>
      <c r="AK35" s="81">
        <f t="shared" si="10"/>
        <v>458151.9430781858</v>
      </c>
      <c r="AL35" s="81">
        <f t="shared" si="11"/>
        <v>14924969.699649943</v>
      </c>
      <c r="AM35" s="81">
        <f t="shared" si="17"/>
        <v>28474977.428156674</v>
      </c>
      <c r="AN35" s="81">
        <f t="shared" si="12"/>
        <v>0</v>
      </c>
      <c r="AO35" s="81">
        <f t="shared" si="13"/>
        <v>0</v>
      </c>
      <c r="AP35" s="81">
        <f t="shared" si="14"/>
        <v>0</v>
      </c>
      <c r="AQ35" s="81">
        <f t="shared" si="15"/>
        <v>0</v>
      </c>
      <c r="AR35" s="81">
        <f t="shared" si="16"/>
        <v>0</v>
      </c>
      <c r="AS35" s="82">
        <v>1565</v>
      </c>
      <c r="AT35" s="82">
        <v>49</v>
      </c>
      <c r="AU35" s="82"/>
      <c r="AV35" s="82">
        <v>49</v>
      </c>
      <c r="AW35" s="82">
        <f>11952155.1821679*(0.001)</f>
        <v>11952.155182167913</v>
      </c>
      <c r="AX35" s="82">
        <v>-3629.8815203714385</v>
      </c>
      <c r="AY35" s="82">
        <v>2920.1644139192485</v>
      </c>
      <c r="AZ35" s="408"/>
      <c r="BA35" s="81"/>
      <c r="BB35" s="81"/>
      <c r="BC35" s="81"/>
      <c r="BD35" s="81"/>
      <c r="BE35" s="81"/>
      <c r="BF35" s="81"/>
      <c r="BG35" s="81"/>
      <c r="BO35" s="114"/>
    </row>
    <row r="36" spans="1:67" ht="12.75">
      <c r="A36" s="81">
        <v>72</v>
      </c>
      <c r="B36" s="81" t="s">
        <v>159</v>
      </c>
      <c r="C36" s="81">
        <v>17</v>
      </c>
      <c r="D36" s="81">
        <v>949</v>
      </c>
      <c r="E36" s="100">
        <v>2268357.9503606027</v>
      </c>
      <c r="F36" s="81">
        <v>1430323.1282200802</v>
      </c>
      <c r="G36" s="81">
        <v>351484.3232926066</v>
      </c>
      <c r="H36" s="81">
        <v>89614.42144735184</v>
      </c>
      <c r="I36" s="156">
        <v>1522435.293509905</v>
      </c>
      <c r="J36" s="156">
        <v>152880.305870188</v>
      </c>
      <c r="K36" s="81">
        <v>-269337.3661231209</v>
      </c>
      <c r="L36" s="81">
        <v>-258086</v>
      </c>
      <c r="M36" s="82">
        <v>-24000</v>
      </c>
      <c r="N36" s="82">
        <v>11015.691388414438</v>
      </c>
      <c r="O36" s="214">
        <f t="shared" si="3"/>
        <v>737971.8472448224</v>
      </c>
      <c r="P36" s="215">
        <f t="shared" si="4"/>
        <v>777.6310297627213</v>
      </c>
      <c r="Q36" s="81"/>
      <c r="R36" s="223">
        <v>7233812</v>
      </c>
      <c r="S36" s="156">
        <v>3512360.226181288</v>
      </c>
      <c r="T36" s="156">
        <v>134421.63217102777</v>
      </c>
      <c r="U36" s="156">
        <v>3585974.0810139114</v>
      </c>
      <c r="V36" s="156">
        <v>520172.56935188384</v>
      </c>
      <c r="W36" s="156">
        <v>69398.32329260663</v>
      </c>
      <c r="X36" s="214">
        <f t="shared" si="5"/>
        <v>588514.8320107181</v>
      </c>
      <c r="Y36" s="215">
        <f t="shared" si="6"/>
        <v>620.1420779881117</v>
      </c>
      <c r="Z36" s="81"/>
      <c r="AA36" s="94">
        <f t="shared" si="7"/>
        <v>149457.01523410436</v>
      </c>
      <c r="AB36" s="153">
        <f t="shared" si="8"/>
        <v>157.48895177460943</v>
      </c>
      <c r="AD36" s="216"/>
      <c r="AE36" s="224"/>
      <c r="AF36" s="224"/>
      <c r="AG36" s="224"/>
      <c r="AH36" s="225"/>
      <c r="AJ36" s="81">
        <f t="shared" si="9"/>
        <v>2082037.0979612076</v>
      </c>
      <c r="AK36" s="81">
        <f t="shared" si="10"/>
        <v>44807.21072367593</v>
      </c>
      <c r="AL36" s="81">
        <f t="shared" si="11"/>
        <v>2063538.7875040064</v>
      </c>
      <c r="AM36" s="81">
        <f t="shared" si="17"/>
        <v>4965454.049639397</v>
      </c>
      <c r="AN36" s="81">
        <f t="shared" si="12"/>
        <v>0</v>
      </c>
      <c r="AO36" s="81">
        <f t="shared" si="13"/>
        <v>0</v>
      </c>
      <c r="AP36" s="81">
        <f t="shared" si="14"/>
        <v>0</v>
      </c>
      <c r="AQ36" s="81">
        <f t="shared" si="15"/>
        <v>0</v>
      </c>
      <c r="AR36" s="81">
        <f t="shared" si="16"/>
        <v>0</v>
      </c>
      <c r="AS36" s="82">
        <v>367</v>
      </c>
      <c r="AT36" s="82">
        <v>19</v>
      </c>
      <c r="AU36" s="82"/>
      <c r="AV36" s="82">
        <v>19</v>
      </c>
      <c r="AW36" s="82">
        <f>1898451.82785139*(0.001)</f>
        <v>1898.4518278513906</v>
      </c>
      <c r="AX36" s="82">
        <v>-135.42214448392684</v>
      </c>
      <c r="AY36" s="82">
        <v>367.29226348169584</v>
      </c>
      <c r="AZ36" s="408"/>
      <c r="BA36" s="81"/>
      <c r="BB36" s="81"/>
      <c r="BC36" s="81"/>
      <c r="BD36" s="81"/>
      <c r="BE36" s="81"/>
      <c r="BF36" s="81"/>
      <c r="BG36" s="81"/>
      <c r="BO36" s="114"/>
    </row>
    <row r="37" spans="1:67" ht="12.75">
      <c r="A37" s="81">
        <v>74</v>
      </c>
      <c r="B37" s="81" t="s">
        <v>160</v>
      </c>
      <c r="C37" s="81">
        <v>16</v>
      </c>
      <c r="D37" s="81">
        <v>1103</v>
      </c>
      <c r="E37" s="100">
        <v>3122352.355398263</v>
      </c>
      <c r="F37" s="81">
        <v>1690432.6777468733</v>
      </c>
      <c r="G37" s="81">
        <v>380257.7528710792</v>
      </c>
      <c r="H37" s="81">
        <v>299716.8361690289</v>
      </c>
      <c r="I37" s="156">
        <v>966472.1343232546</v>
      </c>
      <c r="J37" s="156">
        <v>248374.66957546107</v>
      </c>
      <c r="K37" s="81">
        <v>115411.74606758561</v>
      </c>
      <c r="L37" s="81">
        <v>-296887</v>
      </c>
      <c r="M37" s="82">
        <v>-33370</v>
      </c>
      <c r="N37" s="82">
        <v>9088.58679970213</v>
      </c>
      <c r="O37" s="214">
        <f t="shared" si="3"/>
        <v>257145.04815472197</v>
      </c>
      <c r="P37" s="215">
        <f t="shared" si="4"/>
        <v>233.13240993175157</v>
      </c>
      <c r="Q37" s="81"/>
      <c r="R37" s="223">
        <v>8563714</v>
      </c>
      <c r="S37" s="156">
        <v>3295344.6528548407</v>
      </c>
      <c r="T37" s="156">
        <v>449575.25425354333</v>
      </c>
      <c r="U37" s="156">
        <v>4208122.990130483</v>
      </c>
      <c r="V37" s="156">
        <v>838262.0577080926</v>
      </c>
      <c r="W37" s="156">
        <v>50000.752871079196</v>
      </c>
      <c r="X37" s="214">
        <f t="shared" si="5"/>
        <v>277591.70781803876</v>
      </c>
      <c r="Y37" s="215">
        <f t="shared" si="6"/>
        <v>251.66972603629986</v>
      </c>
      <c r="Z37" s="81"/>
      <c r="AA37" s="94">
        <f t="shared" si="7"/>
        <v>-20446.659663316794</v>
      </c>
      <c r="AB37" s="153">
        <f t="shared" si="8"/>
        <v>-18.537316104548317</v>
      </c>
      <c r="AD37" s="216"/>
      <c r="AE37" s="224"/>
      <c r="AF37" s="224"/>
      <c r="AG37" s="224"/>
      <c r="AH37" s="225"/>
      <c r="AJ37" s="81">
        <f t="shared" si="9"/>
        <v>1604911.9751079674</v>
      </c>
      <c r="AK37" s="81">
        <f t="shared" si="10"/>
        <v>149858.41808451444</v>
      </c>
      <c r="AL37" s="81">
        <f t="shared" si="11"/>
        <v>3241650.8558072285</v>
      </c>
      <c r="AM37" s="81">
        <f t="shared" si="17"/>
        <v>5441361.644601737</v>
      </c>
      <c r="AN37" s="81">
        <f t="shared" si="12"/>
        <v>0</v>
      </c>
      <c r="AO37" s="81">
        <f t="shared" si="13"/>
        <v>0</v>
      </c>
      <c r="AP37" s="81">
        <f t="shared" si="14"/>
        <v>0</v>
      </c>
      <c r="AQ37" s="81">
        <f t="shared" si="15"/>
        <v>0</v>
      </c>
      <c r="AR37" s="81">
        <f t="shared" si="16"/>
        <v>0</v>
      </c>
      <c r="AS37" s="82">
        <v>123</v>
      </c>
      <c r="AT37" s="82"/>
      <c r="AU37" s="82">
        <v>14</v>
      </c>
      <c r="AV37" s="82">
        <v>14</v>
      </c>
      <c r="AW37" s="82">
        <f>2720665.82178523*(0.001)</f>
        <v>2720.66582178523</v>
      </c>
      <c r="AX37" s="82">
        <v>-577.9867715841943</v>
      </c>
      <c r="AY37" s="82">
        <v>589.8873881326316</v>
      </c>
      <c r="AZ37" s="408"/>
      <c r="BA37" s="81"/>
      <c r="BB37" s="81"/>
      <c r="BC37" s="81"/>
      <c r="BD37" s="81"/>
      <c r="BE37" s="81"/>
      <c r="BF37" s="81"/>
      <c r="BG37" s="81"/>
      <c r="BO37" s="114"/>
    </row>
    <row r="38" spans="1:67" ht="12.75">
      <c r="A38" s="81">
        <v>75</v>
      </c>
      <c r="B38" s="81" t="s">
        <v>161</v>
      </c>
      <c r="C38" s="81">
        <v>8</v>
      </c>
      <c r="D38" s="81">
        <v>19877</v>
      </c>
      <c r="E38" s="100">
        <v>46618047.253166616</v>
      </c>
      <c r="F38" s="81">
        <v>32244164.097801138</v>
      </c>
      <c r="G38" s="81">
        <v>7123646.803708527</v>
      </c>
      <c r="H38" s="81">
        <v>7058644.364254414</v>
      </c>
      <c r="I38" s="156">
        <v>2040055.3910442889</v>
      </c>
      <c r="J38" s="156">
        <v>2892901.2775629098</v>
      </c>
      <c r="K38" s="81">
        <v>518571.4880233219</v>
      </c>
      <c r="L38" s="81">
        <v>-1778773</v>
      </c>
      <c r="M38" s="82">
        <v>2192000</v>
      </c>
      <c r="N38" s="82">
        <v>244430.1323269103</v>
      </c>
      <c r="O38" s="214">
        <f t="shared" si="3"/>
        <v>5917593.3015548885</v>
      </c>
      <c r="P38" s="215">
        <f t="shared" si="4"/>
        <v>297.71058517658037</v>
      </c>
      <c r="Q38" s="81"/>
      <c r="R38" s="223">
        <v>131253000</v>
      </c>
      <c r="S38" s="156">
        <v>75907961.0291361</v>
      </c>
      <c r="T38" s="156">
        <v>10587966.546381623</v>
      </c>
      <c r="U38" s="156">
        <v>35098231.0626659</v>
      </c>
      <c r="V38" s="156">
        <v>9873858.334274089</v>
      </c>
      <c r="W38" s="156">
        <v>7536873.803708527</v>
      </c>
      <c r="X38" s="214">
        <f t="shared" si="5"/>
        <v>7751890.77616626</v>
      </c>
      <c r="Y38" s="215">
        <f t="shared" si="6"/>
        <v>389.9929957320652</v>
      </c>
      <c r="Z38" s="81"/>
      <c r="AA38" s="94">
        <f t="shared" si="7"/>
        <v>-1834297.4746113718</v>
      </c>
      <c r="AB38" s="153">
        <f t="shared" si="8"/>
        <v>-92.28241055548482</v>
      </c>
      <c r="AD38" s="216"/>
      <c r="AE38" s="224"/>
      <c r="AF38" s="224"/>
      <c r="AG38" s="224"/>
      <c r="AH38" s="225"/>
      <c r="AJ38" s="81">
        <f t="shared" si="9"/>
        <v>43663796.93133497</v>
      </c>
      <c r="AK38" s="81">
        <f t="shared" si="10"/>
        <v>3529322.1821272084</v>
      </c>
      <c r="AL38" s="81">
        <f t="shared" si="11"/>
        <v>33058175.671621613</v>
      </c>
      <c r="AM38" s="81">
        <f t="shared" si="17"/>
        <v>84634952.74683338</v>
      </c>
      <c r="AN38" s="81">
        <f t="shared" si="12"/>
        <v>0</v>
      </c>
      <c r="AO38" s="81">
        <f t="shared" si="13"/>
        <v>0</v>
      </c>
      <c r="AP38" s="81">
        <f t="shared" si="14"/>
        <v>0</v>
      </c>
      <c r="AQ38" s="81">
        <f t="shared" si="15"/>
        <v>0</v>
      </c>
      <c r="AR38" s="81">
        <f t="shared" si="16"/>
        <v>0</v>
      </c>
      <c r="AS38" s="82">
        <v>11140</v>
      </c>
      <c r="AT38" s="82">
        <v>53</v>
      </c>
      <c r="AU38" s="82"/>
      <c r="AV38" s="82">
        <v>53</v>
      </c>
      <c r="AW38" s="82">
        <f>31833158.4529296*(0.001)</f>
        <v>31833.15845292964</v>
      </c>
      <c r="AX38" s="82">
        <v>254.42515638381838</v>
      </c>
      <c r="AY38" s="82">
        <v>6980.95705671118</v>
      </c>
      <c r="AZ38" s="408"/>
      <c r="BA38" s="81"/>
      <c r="BB38" s="81"/>
      <c r="BC38" s="81"/>
      <c r="BD38" s="81"/>
      <c r="BE38" s="81"/>
      <c r="BF38" s="81"/>
      <c r="BG38" s="81"/>
      <c r="BO38" s="114"/>
    </row>
    <row r="39" spans="1:67" ht="12.75">
      <c r="A39" s="81">
        <v>77</v>
      </c>
      <c r="B39" s="81" t="s">
        <v>162</v>
      </c>
      <c r="C39" s="81">
        <v>13</v>
      </c>
      <c r="D39" s="81">
        <v>4782</v>
      </c>
      <c r="E39" s="100">
        <v>12485080.53884869</v>
      </c>
      <c r="F39" s="81">
        <v>6172121.686687944</v>
      </c>
      <c r="G39" s="81">
        <v>1508446.9575632988</v>
      </c>
      <c r="H39" s="81">
        <v>725997.4915653173</v>
      </c>
      <c r="I39" s="156">
        <v>3545488.1484097</v>
      </c>
      <c r="J39" s="156">
        <v>970434.7028561905</v>
      </c>
      <c r="K39" s="81">
        <v>262348.52674092905</v>
      </c>
      <c r="L39" s="81">
        <v>40083</v>
      </c>
      <c r="M39" s="82">
        <v>50000</v>
      </c>
      <c r="N39" s="82">
        <v>38380.458453068364</v>
      </c>
      <c r="O39" s="214">
        <f t="shared" si="3"/>
        <v>828220.4334277585</v>
      </c>
      <c r="P39" s="215">
        <f t="shared" si="4"/>
        <v>173.19540640480102</v>
      </c>
      <c r="Q39" s="81"/>
      <c r="R39" s="223">
        <v>34722000</v>
      </c>
      <c r="S39" s="156">
        <v>13219394.048488896</v>
      </c>
      <c r="T39" s="156">
        <v>1088996.2373479758</v>
      </c>
      <c r="U39" s="156">
        <v>16546822.322796248</v>
      </c>
      <c r="V39" s="156">
        <v>3276444.3752322257</v>
      </c>
      <c r="W39" s="156">
        <v>1598529.9575632988</v>
      </c>
      <c r="X39" s="214">
        <f t="shared" si="5"/>
        <v>1008186.9414286464</v>
      </c>
      <c r="Y39" s="215">
        <f t="shared" si="6"/>
        <v>210.82955696960403</v>
      </c>
      <c r="Z39" s="81"/>
      <c r="AA39" s="94">
        <f t="shared" si="7"/>
        <v>-179966.50800088793</v>
      </c>
      <c r="AB39" s="153">
        <f t="shared" si="8"/>
        <v>-37.634150564802994</v>
      </c>
      <c r="AD39" s="216"/>
      <c r="AE39" s="224"/>
      <c r="AF39" s="224"/>
      <c r="AG39" s="224"/>
      <c r="AH39" s="225"/>
      <c r="AJ39" s="81">
        <f t="shared" si="9"/>
        <v>7047272.361800952</v>
      </c>
      <c r="AK39" s="81">
        <f t="shared" si="10"/>
        <v>362998.7457826586</v>
      </c>
      <c r="AL39" s="81">
        <f t="shared" si="11"/>
        <v>13001334.174386548</v>
      </c>
      <c r="AM39" s="81">
        <f t="shared" si="17"/>
        <v>22236919.46115131</v>
      </c>
      <c r="AN39" s="81">
        <f t="shared" si="12"/>
        <v>0</v>
      </c>
      <c r="AO39" s="81">
        <f t="shared" si="13"/>
        <v>0</v>
      </c>
      <c r="AP39" s="81">
        <f t="shared" si="14"/>
        <v>0</v>
      </c>
      <c r="AQ39" s="81">
        <f t="shared" si="15"/>
        <v>0</v>
      </c>
      <c r="AR39" s="81">
        <f t="shared" si="16"/>
        <v>0</v>
      </c>
      <c r="AS39" s="82">
        <v>1654</v>
      </c>
      <c r="AT39" s="82">
        <v>19</v>
      </c>
      <c r="AU39" s="82">
        <v>120</v>
      </c>
      <c r="AV39" s="82">
        <v>139</v>
      </c>
      <c r="AW39" s="82">
        <f>10261301.2454898*(0.001)</f>
        <v>10261.301245489843</v>
      </c>
      <c r="AX39" s="82">
        <v>-2737.164522194492</v>
      </c>
      <c r="AY39" s="82">
        <v>2306.0096723760353</v>
      </c>
      <c r="AZ39" s="408"/>
      <c r="BA39" s="81"/>
      <c r="BB39" s="81"/>
      <c r="BC39" s="81"/>
      <c r="BD39" s="81"/>
      <c r="BE39" s="81"/>
      <c r="BF39" s="81"/>
      <c r="BG39" s="81"/>
      <c r="BO39" s="114"/>
    </row>
    <row r="40" spans="1:67" ht="12.75">
      <c r="A40" s="81">
        <v>78</v>
      </c>
      <c r="B40" s="81" t="s">
        <v>163</v>
      </c>
      <c r="C40" s="81">
        <v>1</v>
      </c>
      <c r="D40" s="81">
        <v>8042</v>
      </c>
      <c r="E40" s="100">
        <v>20587290.488213837</v>
      </c>
      <c r="F40" s="81">
        <v>15313203.640689615</v>
      </c>
      <c r="G40" s="81">
        <v>2845382.309554265</v>
      </c>
      <c r="H40" s="81">
        <v>2056641.2640551524</v>
      </c>
      <c r="I40" s="156">
        <v>1238228.1836404684</v>
      </c>
      <c r="J40" s="156">
        <v>1117709.194174646</v>
      </c>
      <c r="K40" s="81">
        <v>-1399154.5677985994</v>
      </c>
      <c r="L40" s="81">
        <v>-728378</v>
      </c>
      <c r="M40" s="82">
        <v>1760000</v>
      </c>
      <c r="N40" s="82">
        <v>105219.53650823307</v>
      </c>
      <c r="O40" s="214">
        <f t="shared" si="3"/>
        <v>1721561.0726099424</v>
      </c>
      <c r="P40" s="215">
        <f t="shared" si="4"/>
        <v>214.0712599614452</v>
      </c>
      <c r="Q40" s="81"/>
      <c r="R40" s="223">
        <v>55934637</v>
      </c>
      <c r="S40" s="156">
        <v>34600046.5780009</v>
      </c>
      <c r="T40" s="156">
        <v>3084961.896082729</v>
      </c>
      <c r="U40" s="156">
        <v>12038143.763430463</v>
      </c>
      <c r="V40" s="156">
        <v>3831748.2358950856</v>
      </c>
      <c r="W40" s="156">
        <v>3877004.309554265</v>
      </c>
      <c r="X40" s="214">
        <f t="shared" si="5"/>
        <v>1497267.7829634473</v>
      </c>
      <c r="Y40" s="215">
        <f t="shared" si="6"/>
        <v>186.18102250229387</v>
      </c>
      <c r="Z40" s="81"/>
      <c r="AA40" s="94">
        <f t="shared" si="7"/>
        <v>224293.28964649513</v>
      </c>
      <c r="AB40" s="153">
        <f t="shared" si="8"/>
        <v>27.890237459151347</v>
      </c>
      <c r="AD40" s="216"/>
      <c r="AE40" s="224"/>
      <c r="AF40" s="224"/>
      <c r="AG40" s="224"/>
      <c r="AH40" s="225"/>
      <c r="AJ40" s="81">
        <f t="shared" si="9"/>
        <v>19286842.937311288</v>
      </c>
      <c r="AK40" s="81">
        <f t="shared" si="10"/>
        <v>1028320.6320275767</v>
      </c>
      <c r="AL40" s="81">
        <f t="shared" si="11"/>
        <v>10799915.579789994</v>
      </c>
      <c r="AM40" s="81">
        <f t="shared" si="17"/>
        <v>35347346.51178616</v>
      </c>
      <c r="AN40" s="81">
        <f t="shared" si="12"/>
        <v>0</v>
      </c>
      <c r="AO40" s="81">
        <f t="shared" si="13"/>
        <v>0</v>
      </c>
      <c r="AP40" s="81">
        <f t="shared" si="14"/>
        <v>0</v>
      </c>
      <c r="AQ40" s="81">
        <f t="shared" si="15"/>
        <v>0</v>
      </c>
      <c r="AR40" s="81">
        <f t="shared" si="16"/>
        <v>0</v>
      </c>
      <c r="AS40" s="82">
        <v>3535</v>
      </c>
      <c r="AT40" s="82"/>
      <c r="AU40" s="82"/>
      <c r="AV40" s="82">
        <v>0</v>
      </c>
      <c r="AW40" s="82">
        <f>11073365.9363039*(0.001)</f>
        <v>11073.365936303884</v>
      </c>
      <c r="AX40" s="82">
        <v>978.2285291980111</v>
      </c>
      <c r="AY40" s="82">
        <v>2714.03904172044</v>
      </c>
      <c r="AZ40" s="408"/>
      <c r="BA40" s="81"/>
      <c r="BB40" s="81"/>
      <c r="BC40" s="81"/>
      <c r="BD40" s="81"/>
      <c r="BE40" s="81"/>
      <c r="BF40" s="81"/>
      <c r="BG40" s="81"/>
      <c r="BO40" s="114"/>
    </row>
    <row r="41" spans="1:67" ht="12.75">
      <c r="A41" s="81">
        <v>79</v>
      </c>
      <c r="B41" s="81" t="s">
        <v>164</v>
      </c>
      <c r="C41" s="81">
        <v>4</v>
      </c>
      <c r="D41" s="81">
        <v>6869</v>
      </c>
      <c r="E41" s="100">
        <v>16092339.759887502</v>
      </c>
      <c r="F41" s="81">
        <v>11468119.886139533</v>
      </c>
      <c r="G41" s="81">
        <v>3041735.5549371033</v>
      </c>
      <c r="H41" s="81">
        <v>5207527.038054962</v>
      </c>
      <c r="I41" s="156">
        <v>119642.62090712538</v>
      </c>
      <c r="J41" s="156">
        <v>978177.4387157774</v>
      </c>
      <c r="K41" s="81">
        <v>-1377151.957701445</v>
      </c>
      <c r="L41" s="81">
        <v>-492098</v>
      </c>
      <c r="M41" s="82">
        <v>-1400</v>
      </c>
      <c r="N41" s="82">
        <v>89550.73666673445</v>
      </c>
      <c r="O41" s="214">
        <f t="shared" si="3"/>
        <v>2941763.5578322858</v>
      </c>
      <c r="P41" s="215">
        <f t="shared" si="4"/>
        <v>428.2666411169436</v>
      </c>
      <c r="Q41" s="81"/>
      <c r="R41" s="223">
        <v>48456999</v>
      </c>
      <c r="S41" s="156">
        <v>26154281.066572715</v>
      </c>
      <c r="T41" s="156">
        <v>7811290.557082443</v>
      </c>
      <c r="U41" s="156">
        <v>10353119.922919411</v>
      </c>
      <c r="V41" s="156">
        <v>3347986.261331686</v>
      </c>
      <c r="W41" s="156">
        <v>2548237.5549371033</v>
      </c>
      <c r="X41" s="214">
        <f t="shared" si="5"/>
        <v>1757916.362843357</v>
      </c>
      <c r="Y41" s="215">
        <f t="shared" si="6"/>
        <v>255.92027410734562</v>
      </c>
      <c r="Z41" s="81"/>
      <c r="AA41" s="94">
        <f t="shared" si="7"/>
        <v>1183847.1949889287</v>
      </c>
      <c r="AB41" s="153">
        <f t="shared" si="8"/>
        <v>172.346367009598</v>
      </c>
      <c r="AD41" s="216"/>
      <c r="AE41" s="224"/>
      <c r="AF41" s="224"/>
      <c r="AG41" s="224"/>
      <c r="AH41" s="225"/>
      <c r="AJ41" s="81">
        <f t="shared" si="9"/>
        <v>14686161.180433182</v>
      </c>
      <c r="AK41" s="81">
        <f t="shared" si="10"/>
        <v>2603763.519027481</v>
      </c>
      <c r="AL41" s="81">
        <f t="shared" si="11"/>
        <v>10233477.302012285</v>
      </c>
      <c r="AM41" s="81">
        <f t="shared" si="17"/>
        <v>32364659.2401125</v>
      </c>
      <c r="AN41" s="81">
        <f t="shared" si="12"/>
        <v>0</v>
      </c>
      <c r="AO41" s="81">
        <f t="shared" si="13"/>
        <v>0</v>
      </c>
      <c r="AP41" s="81">
        <f t="shared" si="14"/>
        <v>0</v>
      </c>
      <c r="AQ41" s="81">
        <f t="shared" si="15"/>
        <v>0</v>
      </c>
      <c r="AR41" s="81">
        <f t="shared" si="16"/>
        <v>0</v>
      </c>
      <c r="AS41" s="82">
        <v>2389</v>
      </c>
      <c r="AT41" s="82"/>
      <c r="AU41" s="82"/>
      <c r="AV41" s="82">
        <v>0</v>
      </c>
      <c r="AW41" s="82">
        <f>11340414.686633*(0.001)</f>
        <v>11340.41468663297</v>
      </c>
      <c r="AX41" s="82">
        <v>838.0326690937434</v>
      </c>
      <c r="AY41" s="82">
        <v>2369.8088226159084</v>
      </c>
      <c r="AZ41" s="408"/>
      <c r="BA41" s="81"/>
      <c r="BB41" s="81"/>
      <c r="BC41" s="81"/>
      <c r="BD41" s="81"/>
      <c r="BE41" s="81"/>
      <c r="BF41" s="81"/>
      <c r="BG41" s="81"/>
      <c r="BO41" s="114"/>
    </row>
    <row r="42" spans="1:67" ht="12.75">
      <c r="A42" s="81">
        <v>81</v>
      </c>
      <c r="B42" s="81" t="s">
        <v>165</v>
      </c>
      <c r="C42" s="81">
        <v>7</v>
      </c>
      <c r="D42" s="81">
        <v>2655</v>
      </c>
      <c r="E42" s="100">
        <v>5679004.749325795</v>
      </c>
      <c r="F42" s="81">
        <v>3275974.7838796442</v>
      </c>
      <c r="G42" s="81">
        <v>1677932.377646626</v>
      </c>
      <c r="H42" s="81">
        <v>1000518.0078935314</v>
      </c>
      <c r="I42" s="156">
        <v>277374.84300965356</v>
      </c>
      <c r="J42" s="156">
        <v>601049.4575511534</v>
      </c>
      <c r="K42" s="81">
        <v>140173.21456825826</v>
      </c>
      <c r="L42" s="81">
        <v>-627629</v>
      </c>
      <c r="M42" s="82">
        <v>-28303</v>
      </c>
      <c r="N42" s="82">
        <v>22844.973395791083</v>
      </c>
      <c r="O42" s="214">
        <f t="shared" si="3"/>
        <v>660930.9086188627</v>
      </c>
      <c r="P42" s="215">
        <f t="shared" si="4"/>
        <v>248.93819533667147</v>
      </c>
      <c r="Q42" s="81"/>
      <c r="R42" s="223">
        <v>19252149</v>
      </c>
      <c r="S42" s="156">
        <v>7186487.644874294</v>
      </c>
      <c r="T42" s="156">
        <v>1500777.0118402971</v>
      </c>
      <c r="U42" s="156">
        <v>8494117.455931501</v>
      </c>
      <c r="V42" s="156">
        <v>2028742.0759111652</v>
      </c>
      <c r="W42" s="156">
        <v>1022000.377646626</v>
      </c>
      <c r="X42" s="214">
        <f t="shared" si="5"/>
        <v>979975.5662038848</v>
      </c>
      <c r="Y42" s="215">
        <f t="shared" si="6"/>
        <v>369.10567465306394</v>
      </c>
      <c r="Z42" s="81"/>
      <c r="AA42" s="94">
        <f t="shared" si="7"/>
        <v>-319044.65758502204</v>
      </c>
      <c r="AB42" s="153">
        <f t="shared" si="8"/>
        <v>-120.16747931639249</v>
      </c>
      <c r="AD42" s="216"/>
      <c r="AE42" s="224"/>
      <c r="AF42" s="224"/>
      <c r="AG42" s="224"/>
      <c r="AH42" s="225"/>
      <c r="AJ42" s="81">
        <f t="shared" si="9"/>
        <v>3910512.86099465</v>
      </c>
      <c r="AK42" s="81">
        <f t="shared" si="10"/>
        <v>500259.0039467658</v>
      </c>
      <c r="AL42" s="81">
        <f t="shared" si="11"/>
        <v>8216742.612921848</v>
      </c>
      <c r="AM42" s="81">
        <f t="shared" si="17"/>
        <v>13573144.250674205</v>
      </c>
      <c r="AN42" s="81">
        <f t="shared" si="12"/>
        <v>0</v>
      </c>
      <c r="AO42" s="81">
        <f t="shared" si="13"/>
        <v>0</v>
      </c>
      <c r="AP42" s="81">
        <f t="shared" si="14"/>
        <v>0</v>
      </c>
      <c r="AQ42" s="81">
        <f t="shared" si="15"/>
        <v>0</v>
      </c>
      <c r="AR42" s="81">
        <f t="shared" si="16"/>
        <v>0</v>
      </c>
      <c r="AS42" s="82">
        <v>750</v>
      </c>
      <c r="AT42" s="82"/>
      <c r="AU42" s="82"/>
      <c r="AV42" s="82">
        <v>0</v>
      </c>
      <c r="AW42" s="82">
        <f>6824071.29371107*(0.001)</f>
        <v>6824.071293711074</v>
      </c>
      <c r="AX42" s="82">
        <v>-1168.2964179327662</v>
      </c>
      <c r="AY42" s="82">
        <v>1427.692618360012</v>
      </c>
      <c r="AZ42" s="408"/>
      <c r="BA42" s="81"/>
      <c r="BB42" s="81"/>
      <c r="BC42" s="81"/>
      <c r="BD42" s="81"/>
      <c r="BE42" s="81"/>
      <c r="BF42" s="81"/>
      <c r="BG42" s="81"/>
      <c r="BO42" s="114"/>
    </row>
    <row r="43" spans="1:67" ht="12.75">
      <c r="A43" s="81">
        <v>82</v>
      </c>
      <c r="B43" s="81" t="s">
        <v>166</v>
      </c>
      <c r="C43" s="81">
        <v>5</v>
      </c>
      <c r="D43" s="81">
        <v>9389</v>
      </c>
      <c r="E43" s="100">
        <v>23066363.151114415</v>
      </c>
      <c r="F43" s="81">
        <v>15641725.566976167</v>
      </c>
      <c r="G43" s="81">
        <v>2552693.8256604304</v>
      </c>
      <c r="H43" s="81">
        <v>917114.3828120846</v>
      </c>
      <c r="I43" s="156">
        <v>5344732.457389946</v>
      </c>
      <c r="J43" s="156">
        <v>1259114.2951478972</v>
      </c>
      <c r="K43" s="81">
        <v>517248.8721820765</v>
      </c>
      <c r="L43" s="81">
        <v>-1969997</v>
      </c>
      <c r="M43" s="82">
        <v>0</v>
      </c>
      <c r="N43" s="82">
        <v>115733.26895961563</v>
      </c>
      <c r="O43" s="214">
        <f t="shared" si="3"/>
        <v>1312002.5180138014</v>
      </c>
      <c r="P43" s="215">
        <f t="shared" si="4"/>
        <v>139.7382594540208</v>
      </c>
      <c r="Q43" s="81"/>
      <c r="R43" s="223">
        <v>53150000</v>
      </c>
      <c r="S43" s="156">
        <v>37528261.0014525</v>
      </c>
      <c r="T43" s="156">
        <v>1375671.574218127</v>
      </c>
      <c r="U43" s="156">
        <v>10898994.984523878</v>
      </c>
      <c r="V43" s="156">
        <v>4303937.148356337</v>
      </c>
      <c r="W43" s="156">
        <v>582696.8256604304</v>
      </c>
      <c r="X43" s="214">
        <f t="shared" si="5"/>
        <v>1539561.5342112705</v>
      </c>
      <c r="Y43" s="215">
        <f t="shared" si="6"/>
        <v>163.97502760797428</v>
      </c>
      <c r="Z43" s="81"/>
      <c r="AA43" s="94">
        <f t="shared" si="7"/>
        <v>-227559.0161974691</v>
      </c>
      <c r="AB43" s="153">
        <f t="shared" si="8"/>
        <v>-24.236768153953467</v>
      </c>
      <c r="AD43" s="216"/>
      <c r="AE43" s="224"/>
      <c r="AF43" s="224"/>
      <c r="AG43" s="224"/>
      <c r="AH43" s="225"/>
      <c r="AJ43" s="81">
        <f t="shared" si="9"/>
        <v>21886535.43447633</v>
      </c>
      <c r="AK43" s="81">
        <f t="shared" si="10"/>
        <v>458557.1914060423</v>
      </c>
      <c r="AL43" s="81">
        <f t="shared" si="11"/>
        <v>5554262.527133931</v>
      </c>
      <c r="AM43" s="81">
        <f t="shared" si="17"/>
        <v>30083636.848885585</v>
      </c>
      <c r="AN43" s="81">
        <f t="shared" si="12"/>
        <v>0</v>
      </c>
      <c r="AO43" s="81">
        <f t="shared" si="13"/>
        <v>0</v>
      </c>
      <c r="AP43" s="81">
        <f t="shared" si="14"/>
        <v>0</v>
      </c>
      <c r="AQ43" s="81">
        <f t="shared" si="15"/>
        <v>0</v>
      </c>
      <c r="AR43" s="81">
        <f t="shared" si="16"/>
        <v>0</v>
      </c>
      <c r="AS43" s="82">
        <v>2093</v>
      </c>
      <c r="AT43" s="82">
        <v>32</v>
      </c>
      <c r="AU43" s="82"/>
      <c r="AV43" s="82">
        <v>32</v>
      </c>
      <c r="AW43" s="82">
        <f>5783820.14226092*(0.001)</f>
        <v>5783.820142260918</v>
      </c>
      <c r="AX43" s="82">
        <v>107.96635963284</v>
      </c>
      <c r="AY43" s="82">
        <v>3044.82285320844</v>
      </c>
      <c r="AZ43" s="408"/>
      <c r="BA43" s="81"/>
      <c r="BB43" s="81"/>
      <c r="BC43" s="81"/>
      <c r="BD43" s="81"/>
      <c r="BE43" s="81"/>
      <c r="BF43" s="81"/>
      <c r="BG43" s="81"/>
      <c r="BO43" s="114"/>
    </row>
    <row r="44" spans="1:67" ht="12.75">
      <c r="A44" s="81">
        <v>86</v>
      </c>
      <c r="B44" s="81" t="s">
        <v>167</v>
      </c>
      <c r="C44" s="81">
        <v>5</v>
      </c>
      <c r="D44" s="81">
        <v>8175</v>
      </c>
      <c r="E44" s="100">
        <v>19848359.37699397</v>
      </c>
      <c r="F44" s="81">
        <v>14109607.980161456</v>
      </c>
      <c r="G44" s="81">
        <v>1675500.979198547</v>
      </c>
      <c r="H44" s="81">
        <v>781063.2626882549</v>
      </c>
      <c r="I44" s="156">
        <v>5326386.573796306</v>
      </c>
      <c r="J44" s="156">
        <v>1257308.0777736339</v>
      </c>
      <c r="K44" s="81">
        <v>196818.1544199156</v>
      </c>
      <c r="L44" s="81">
        <v>-1160325</v>
      </c>
      <c r="M44" s="82">
        <v>-240000</v>
      </c>
      <c r="N44" s="82">
        <v>94227.72687671696</v>
      </c>
      <c r="O44" s="214">
        <f t="shared" si="3"/>
        <v>2192228.3779208623</v>
      </c>
      <c r="P44" s="215">
        <f t="shared" si="4"/>
        <v>268.1624927120321</v>
      </c>
      <c r="Q44" s="81"/>
      <c r="R44" s="223">
        <v>48151000</v>
      </c>
      <c r="S44" s="156">
        <v>31912006.557341002</v>
      </c>
      <c r="T44" s="156">
        <v>1171594.8940323824</v>
      </c>
      <c r="U44" s="156">
        <v>12632919.898880491</v>
      </c>
      <c r="V44" s="156">
        <v>4280508.53280005</v>
      </c>
      <c r="W44" s="156">
        <v>275175.9791985471</v>
      </c>
      <c r="X44" s="214">
        <f t="shared" si="5"/>
        <v>2121205.862252474</v>
      </c>
      <c r="Y44" s="215">
        <f t="shared" si="6"/>
        <v>259.4747232113118</v>
      </c>
      <c r="Z44" s="81"/>
      <c r="AA44" s="94">
        <f t="shared" si="7"/>
        <v>71022.51566838846</v>
      </c>
      <c r="AB44" s="153">
        <f t="shared" si="8"/>
        <v>8.6877695007203</v>
      </c>
      <c r="AD44" s="216"/>
      <c r="AE44" s="224"/>
      <c r="AF44" s="224"/>
      <c r="AG44" s="224"/>
      <c r="AH44" s="225"/>
      <c r="AJ44" s="81">
        <f t="shared" si="9"/>
        <v>17802398.577179544</v>
      </c>
      <c r="AK44" s="81">
        <f t="shared" si="10"/>
        <v>390531.63134412747</v>
      </c>
      <c r="AL44" s="81">
        <f t="shared" si="11"/>
        <v>7306533.325084185</v>
      </c>
      <c r="AM44" s="81">
        <f t="shared" si="17"/>
        <v>28302640.62300603</v>
      </c>
      <c r="AN44" s="81">
        <f t="shared" si="12"/>
        <v>0</v>
      </c>
      <c r="AO44" s="81">
        <f t="shared" si="13"/>
        <v>0</v>
      </c>
      <c r="AP44" s="81">
        <f t="shared" si="14"/>
        <v>0</v>
      </c>
      <c r="AQ44" s="81">
        <f t="shared" si="15"/>
        <v>0</v>
      </c>
      <c r="AR44" s="81">
        <f t="shared" si="16"/>
        <v>0</v>
      </c>
      <c r="AS44" s="82">
        <v>2198</v>
      </c>
      <c r="AT44" s="82">
        <v>14</v>
      </c>
      <c r="AU44" s="82"/>
      <c r="AV44" s="82">
        <v>14</v>
      </c>
      <c r="AW44" s="82">
        <f>6825400.93162947*(0.001)</f>
        <v>6825.400931629468</v>
      </c>
      <c r="AX44" s="82">
        <v>-687.1264239012905</v>
      </c>
      <c r="AY44" s="82">
        <v>3023.2004550264164</v>
      </c>
      <c r="AZ44" s="408"/>
      <c r="BA44" s="81"/>
      <c r="BB44" s="81"/>
      <c r="BC44" s="81"/>
      <c r="BD44" s="81"/>
      <c r="BE44" s="81"/>
      <c r="BF44" s="81"/>
      <c r="BG44" s="81"/>
      <c r="BO44" s="114"/>
    </row>
    <row r="45" spans="1:67" ht="12.75">
      <c r="A45" s="81">
        <v>90</v>
      </c>
      <c r="B45" s="81" t="s">
        <v>169</v>
      </c>
      <c r="C45" s="81">
        <v>12</v>
      </c>
      <c r="D45" s="81">
        <v>3196</v>
      </c>
      <c r="E45" s="100">
        <v>9299801.401228033</v>
      </c>
      <c r="F45" s="81">
        <v>3653217.6330873943</v>
      </c>
      <c r="G45" s="81">
        <v>1344999.6273431163</v>
      </c>
      <c r="H45" s="81">
        <v>1675733.7243008611</v>
      </c>
      <c r="I45" s="156">
        <v>1308488.5491694727</v>
      </c>
      <c r="J45" s="156">
        <v>669002.5515828098</v>
      </c>
      <c r="K45" s="81">
        <v>40812.52318969081</v>
      </c>
      <c r="L45" s="81">
        <v>-135393</v>
      </c>
      <c r="M45" s="82">
        <v>330000</v>
      </c>
      <c r="N45" s="82">
        <v>28419.03141656946</v>
      </c>
      <c r="O45" s="214">
        <f t="shared" si="3"/>
        <v>-384520.7611381188</v>
      </c>
      <c r="P45" s="215">
        <f t="shared" si="4"/>
        <v>-120.31312926724618</v>
      </c>
      <c r="Q45" s="81"/>
      <c r="R45" s="223">
        <v>27329408</v>
      </c>
      <c r="S45" s="156">
        <v>8302328.673226182</v>
      </c>
      <c r="T45" s="156">
        <v>2513600.5864512916</v>
      </c>
      <c r="U45" s="156">
        <v>11625066.975334136</v>
      </c>
      <c r="V45" s="156">
        <v>2260296.160346995</v>
      </c>
      <c r="W45" s="156">
        <v>1539606.6273431163</v>
      </c>
      <c r="X45" s="214">
        <f t="shared" si="5"/>
        <v>-1088508.9772982784</v>
      </c>
      <c r="Y45" s="215">
        <f t="shared" si="6"/>
        <v>-340.58478638869786</v>
      </c>
      <c r="Z45" s="81"/>
      <c r="AA45" s="94">
        <f t="shared" si="7"/>
        <v>703988.2161601596</v>
      </c>
      <c r="AB45" s="153">
        <f t="shared" si="8"/>
        <v>220.27165712145168</v>
      </c>
      <c r="AD45" s="216"/>
      <c r="AE45" s="224"/>
      <c r="AF45" s="224"/>
      <c r="AG45" s="224"/>
      <c r="AH45" s="225"/>
      <c r="AJ45" s="81">
        <f t="shared" si="9"/>
        <v>4649111.0401387885</v>
      </c>
      <c r="AK45" s="81">
        <f t="shared" si="10"/>
        <v>837866.8621504304</v>
      </c>
      <c r="AL45" s="81">
        <f t="shared" si="11"/>
        <v>10316578.426164662</v>
      </c>
      <c r="AM45" s="81">
        <f t="shared" si="17"/>
        <v>18029606.598771967</v>
      </c>
      <c r="AN45" s="81">
        <f t="shared" si="12"/>
        <v>0</v>
      </c>
      <c r="AO45" s="81">
        <f t="shared" si="13"/>
        <v>0</v>
      </c>
      <c r="AP45" s="81">
        <f t="shared" si="14"/>
        <v>0</v>
      </c>
      <c r="AQ45" s="81">
        <f t="shared" si="15"/>
        <v>0</v>
      </c>
      <c r="AR45" s="81">
        <f t="shared" si="16"/>
        <v>0</v>
      </c>
      <c r="AS45" s="82">
        <v>1440</v>
      </c>
      <c r="AT45" s="82"/>
      <c r="AU45" s="82"/>
      <c r="AV45" s="82">
        <v>0</v>
      </c>
      <c r="AW45" s="82">
        <f>9799033.91718498*(0.001)</f>
        <v>9799.033917184981</v>
      </c>
      <c r="AX45" s="82">
        <v>-1250.210808515686</v>
      </c>
      <c r="AY45" s="82">
        <v>1591.2936087641854</v>
      </c>
      <c r="AZ45" s="408"/>
      <c r="BA45" s="81"/>
      <c r="BB45" s="81"/>
      <c r="BC45" s="81"/>
      <c r="BD45" s="81"/>
      <c r="BE45" s="81"/>
      <c r="BF45" s="81"/>
      <c r="BG45" s="81"/>
      <c r="BO45" s="114"/>
    </row>
    <row r="46" spans="1:67" ht="12.75">
      <c r="A46" s="81">
        <v>91</v>
      </c>
      <c r="B46" s="81" t="s">
        <v>170</v>
      </c>
      <c r="C46" s="81">
        <v>1</v>
      </c>
      <c r="D46" s="81">
        <v>656920</v>
      </c>
      <c r="E46" s="100">
        <v>1609577273.0342374</v>
      </c>
      <c r="F46" s="81">
        <v>979990174.7587949</v>
      </c>
      <c r="G46" s="81">
        <v>289888140.2331631</v>
      </c>
      <c r="H46" s="81">
        <v>341809388.4598101</v>
      </c>
      <c r="I46" s="156">
        <v>136616868.67589656</v>
      </c>
      <c r="J46" s="156">
        <v>79568352.40491667</v>
      </c>
      <c r="K46" s="81">
        <v>50950866.45911396</v>
      </c>
      <c r="L46" s="81">
        <v>22943637</v>
      </c>
      <c r="M46" s="82">
        <v>118694466</v>
      </c>
      <c r="N46" s="82">
        <v>11840362.678743763</v>
      </c>
      <c r="O46" s="214">
        <f t="shared" si="3"/>
        <v>422724983.63620186</v>
      </c>
      <c r="P46" s="215">
        <f t="shared" si="4"/>
        <v>643.4953778788922</v>
      </c>
      <c r="Q46" s="81"/>
      <c r="R46" s="223">
        <v>3959972917.87</v>
      </c>
      <c r="S46" s="156">
        <v>3095152427.0427003</v>
      </c>
      <c r="T46" s="156">
        <v>512714082.68971515</v>
      </c>
      <c r="U46" s="156">
        <v>18666650.870735586</v>
      </c>
      <c r="V46" s="156">
        <v>274252221.8031372</v>
      </c>
      <c r="W46" s="156">
        <v>431526243.2331631</v>
      </c>
      <c r="X46" s="214">
        <f t="shared" si="5"/>
        <v>372338707.76945114</v>
      </c>
      <c r="Y46" s="215">
        <f t="shared" si="6"/>
        <v>566.7945986869804</v>
      </c>
      <c r="Z46" s="81"/>
      <c r="AA46" s="94">
        <f t="shared" si="7"/>
        <v>50386275.86675072</v>
      </c>
      <c r="AB46" s="153">
        <f t="shared" si="8"/>
        <v>76.70077919191182</v>
      </c>
      <c r="AD46" s="216"/>
      <c r="AE46" s="224"/>
      <c r="AF46" s="224"/>
      <c r="AG46" s="224"/>
      <c r="AH46" s="225"/>
      <c r="AJ46" s="81">
        <f t="shared" si="9"/>
        <v>2115162252.2839055</v>
      </c>
      <c r="AK46" s="81">
        <f t="shared" si="10"/>
        <v>170904694.22990507</v>
      </c>
      <c r="AL46" s="81">
        <f t="shared" si="11"/>
        <v>-117950217.80516097</v>
      </c>
      <c r="AM46" s="81">
        <f t="shared" si="17"/>
        <v>2350395644.8357625</v>
      </c>
      <c r="AN46" s="81">
        <f t="shared" si="12"/>
        <v>0</v>
      </c>
      <c r="AO46" s="81">
        <f t="shared" si="13"/>
        <v>0</v>
      </c>
      <c r="AP46" s="81">
        <f t="shared" si="14"/>
        <v>0</v>
      </c>
      <c r="AQ46" s="81">
        <f t="shared" si="15"/>
        <v>0</v>
      </c>
      <c r="AR46" s="81">
        <f t="shared" si="16"/>
        <v>0</v>
      </c>
      <c r="AS46" s="82">
        <v>364436</v>
      </c>
      <c r="AT46" s="82">
        <v>11723</v>
      </c>
      <c r="AU46" s="82">
        <v>2591</v>
      </c>
      <c r="AV46" s="82">
        <v>14314</v>
      </c>
      <c r="AW46" s="82">
        <f>243056729.938485*(0.001)</f>
        <v>243056.7299384854</v>
      </c>
      <c r="AX46" s="82">
        <v>276351.3318129735</v>
      </c>
      <c r="AY46" s="82">
        <v>194683.8693982205</v>
      </c>
      <c r="AZ46" s="408"/>
      <c r="BA46" s="81"/>
      <c r="BB46" s="81"/>
      <c r="BC46" s="81"/>
      <c r="BD46" s="81"/>
      <c r="BE46" s="81"/>
      <c r="BF46" s="81"/>
      <c r="BG46" s="81"/>
      <c r="BO46" s="114"/>
    </row>
    <row r="47" spans="1:67" ht="12.75">
      <c r="A47" s="81">
        <v>92</v>
      </c>
      <c r="B47" s="81" t="s">
        <v>412</v>
      </c>
      <c r="C47" s="81">
        <v>1</v>
      </c>
      <c r="D47" s="81">
        <v>237231</v>
      </c>
      <c r="E47" s="100">
        <v>727401049.162962</v>
      </c>
      <c r="F47" s="81">
        <v>344377301.239667</v>
      </c>
      <c r="G47" s="81">
        <v>103004862.31356625</v>
      </c>
      <c r="H47" s="81">
        <v>58978106.841702595</v>
      </c>
      <c r="I47" s="156">
        <v>146821009.06196934</v>
      </c>
      <c r="J47" s="156">
        <v>26108478.756333366</v>
      </c>
      <c r="K47" s="81">
        <v>-426000.8666468542</v>
      </c>
      <c r="L47" s="81">
        <v>17019049</v>
      </c>
      <c r="M47" s="82">
        <v>23030166</v>
      </c>
      <c r="N47" s="82">
        <v>3345374.156659817</v>
      </c>
      <c r="O47" s="214">
        <f t="shared" si="3"/>
        <v>-5142702.659710407</v>
      </c>
      <c r="P47" s="215">
        <f t="shared" si="4"/>
        <v>-21.678038113528196</v>
      </c>
      <c r="Q47" s="81"/>
      <c r="R47" s="223">
        <v>1436419170</v>
      </c>
      <c r="S47" s="156">
        <v>960793233.2286826</v>
      </c>
      <c r="T47" s="156">
        <v>88467160.2625539</v>
      </c>
      <c r="U47" s="156">
        <v>162958516.81999522</v>
      </c>
      <c r="V47" s="156">
        <v>89868103.9281715</v>
      </c>
      <c r="W47" s="156">
        <v>143054077.31356627</v>
      </c>
      <c r="X47" s="214">
        <f t="shared" si="5"/>
        <v>8721921.552969456</v>
      </c>
      <c r="Y47" s="215">
        <f t="shared" si="6"/>
        <v>36.76552201427914</v>
      </c>
      <c r="Z47" s="81"/>
      <c r="AA47" s="94">
        <f t="shared" si="7"/>
        <v>-13864624.212679863</v>
      </c>
      <c r="AB47" s="153">
        <f t="shared" si="8"/>
        <v>-58.44356012780734</v>
      </c>
      <c r="AD47" s="216"/>
      <c r="AE47" s="224"/>
      <c r="AF47" s="224"/>
      <c r="AG47" s="224"/>
      <c r="AH47" s="225"/>
      <c r="AJ47" s="81">
        <f t="shared" si="9"/>
        <v>616415931.9890156</v>
      </c>
      <c r="AK47" s="81">
        <f t="shared" si="10"/>
        <v>29489053.420851305</v>
      </c>
      <c r="AL47" s="81">
        <f t="shared" si="11"/>
        <v>16137507.758025885</v>
      </c>
      <c r="AM47" s="81">
        <f t="shared" si="17"/>
        <v>709018120.837038</v>
      </c>
      <c r="AN47" s="81">
        <f t="shared" si="12"/>
        <v>0</v>
      </c>
      <c r="AO47" s="81">
        <f t="shared" si="13"/>
        <v>0</v>
      </c>
      <c r="AP47" s="81">
        <f t="shared" si="14"/>
        <v>0</v>
      </c>
      <c r="AQ47" s="81">
        <f t="shared" si="15"/>
        <v>0</v>
      </c>
      <c r="AR47" s="81">
        <f t="shared" si="16"/>
        <v>0</v>
      </c>
      <c r="AS47" s="82">
        <v>115154</v>
      </c>
      <c r="AT47" s="82">
        <v>611</v>
      </c>
      <c r="AU47" s="82">
        <v>1251</v>
      </c>
      <c r="AV47" s="82">
        <v>1862</v>
      </c>
      <c r="AW47" s="82">
        <f>42185966.1821966*(0.001)</f>
        <v>42185.96618219656</v>
      </c>
      <c r="AX47" s="82">
        <v>40087.98853226454</v>
      </c>
      <c r="AY47" s="82">
        <v>63759.62517183813</v>
      </c>
      <c r="AZ47" s="408"/>
      <c r="BA47" s="81"/>
      <c r="BB47" s="81"/>
      <c r="BC47" s="81"/>
      <c r="BD47" s="81"/>
      <c r="BE47" s="81"/>
      <c r="BF47" s="81"/>
      <c r="BG47" s="81"/>
      <c r="BO47" s="114"/>
    </row>
    <row r="48" spans="1:67" ht="12.75">
      <c r="A48" s="81">
        <v>97</v>
      </c>
      <c r="B48" s="81" t="s">
        <v>171</v>
      </c>
      <c r="C48" s="81">
        <v>10</v>
      </c>
      <c r="D48" s="81">
        <v>2156</v>
      </c>
      <c r="E48" s="100">
        <v>5271132.2732276395</v>
      </c>
      <c r="F48" s="81">
        <v>2244979.2713199356</v>
      </c>
      <c r="G48" s="81">
        <v>1320243.7392317066</v>
      </c>
      <c r="H48" s="81">
        <v>700771.7775686306</v>
      </c>
      <c r="I48" s="156">
        <v>650097.63659857</v>
      </c>
      <c r="J48" s="156">
        <v>424161.7930401139</v>
      </c>
      <c r="K48" s="81">
        <v>-189191.36643246838</v>
      </c>
      <c r="L48" s="81">
        <v>-561030</v>
      </c>
      <c r="M48" s="82">
        <v>282300</v>
      </c>
      <c r="N48" s="82">
        <v>18862.590916535333</v>
      </c>
      <c r="O48" s="214">
        <f t="shared" si="3"/>
        <v>-379936.8309846157</v>
      </c>
      <c r="P48" s="215">
        <f t="shared" si="4"/>
        <v>-176.2230199372058</v>
      </c>
      <c r="Q48" s="81"/>
      <c r="R48" s="223">
        <v>15655300</v>
      </c>
      <c r="S48" s="156">
        <v>5536470.476158409</v>
      </c>
      <c r="T48" s="156">
        <v>1051157.666352946</v>
      </c>
      <c r="U48" s="156">
        <v>6546650.747886102</v>
      </c>
      <c r="V48" s="156">
        <v>1434267.8086082318</v>
      </c>
      <c r="W48" s="156">
        <v>1041513.7392317066</v>
      </c>
      <c r="X48" s="214">
        <f t="shared" si="5"/>
        <v>-45239.56176260486</v>
      </c>
      <c r="Y48" s="215">
        <f t="shared" si="6"/>
        <v>-20.98309914777591</v>
      </c>
      <c r="Z48" s="81"/>
      <c r="AA48" s="94">
        <f t="shared" si="7"/>
        <v>-334697.26922201086</v>
      </c>
      <c r="AB48" s="153">
        <f t="shared" si="8"/>
        <v>-155.2399207894299</v>
      </c>
      <c r="AD48" s="216"/>
      <c r="AE48" s="224"/>
      <c r="AF48" s="224"/>
      <c r="AG48" s="224"/>
      <c r="AH48" s="225"/>
      <c r="AJ48" s="81">
        <f t="shared" si="9"/>
        <v>3291491.204838474</v>
      </c>
      <c r="AK48" s="81">
        <f t="shared" si="10"/>
        <v>350385.88878431544</v>
      </c>
      <c r="AL48" s="81">
        <f t="shared" si="11"/>
        <v>5896553.111287531</v>
      </c>
      <c r="AM48" s="81">
        <f t="shared" si="17"/>
        <v>10384167.72677236</v>
      </c>
      <c r="AN48" s="81">
        <f t="shared" si="12"/>
        <v>0</v>
      </c>
      <c r="AO48" s="81">
        <f t="shared" si="13"/>
        <v>0</v>
      </c>
      <c r="AP48" s="81">
        <f t="shared" si="14"/>
        <v>0</v>
      </c>
      <c r="AQ48" s="81">
        <f t="shared" si="15"/>
        <v>0</v>
      </c>
      <c r="AR48" s="81">
        <f t="shared" si="16"/>
        <v>0</v>
      </c>
      <c r="AS48" s="82">
        <v>666</v>
      </c>
      <c r="AT48" s="82"/>
      <c r="AU48" s="82"/>
      <c r="AV48" s="82">
        <v>0</v>
      </c>
      <c r="AW48" s="82">
        <f>4579093.98707145*(0.001)</f>
        <v>4579.093987071455</v>
      </c>
      <c r="AX48" s="82">
        <v>-857.6257503887965</v>
      </c>
      <c r="AY48" s="82">
        <v>1010.106015568118</v>
      </c>
      <c r="AZ48" s="408"/>
      <c r="BA48" s="81"/>
      <c r="BB48" s="81"/>
      <c r="BC48" s="81"/>
      <c r="BD48" s="81"/>
      <c r="BE48" s="81"/>
      <c r="BF48" s="81"/>
      <c r="BG48" s="81"/>
      <c r="BO48" s="114"/>
    </row>
    <row r="49" spans="1:67" ht="12.75">
      <c r="A49" s="81">
        <v>98</v>
      </c>
      <c r="B49" s="81" t="s">
        <v>172</v>
      </c>
      <c r="C49" s="81">
        <v>7</v>
      </c>
      <c r="D49" s="81">
        <v>23251</v>
      </c>
      <c r="E49" s="100">
        <v>60902079.25333032</v>
      </c>
      <c r="F49" s="81">
        <v>39410749.04318382</v>
      </c>
      <c r="G49" s="81">
        <v>5834968.400742618</v>
      </c>
      <c r="H49" s="81">
        <v>2436021.386388729</v>
      </c>
      <c r="I49" s="156">
        <v>14026618.381536415</v>
      </c>
      <c r="J49" s="156">
        <v>3156195.2042927826</v>
      </c>
      <c r="K49" s="81">
        <v>3937391.51638217</v>
      </c>
      <c r="L49" s="81">
        <v>-4380720</v>
      </c>
      <c r="M49" s="82">
        <v>-314600</v>
      </c>
      <c r="N49" s="82">
        <v>285007.10403937567</v>
      </c>
      <c r="O49" s="214">
        <f t="shared" si="3"/>
        <v>3489551.783235587</v>
      </c>
      <c r="P49" s="215">
        <f t="shared" si="4"/>
        <v>150.0817936104076</v>
      </c>
      <c r="Q49" s="81"/>
      <c r="R49" s="223">
        <v>142296000</v>
      </c>
      <c r="S49" s="156">
        <v>93220218.31356496</v>
      </c>
      <c r="T49" s="156">
        <v>3654032.0795830935</v>
      </c>
      <c r="U49" s="156">
        <v>39798601.024342895</v>
      </c>
      <c r="V49" s="156">
        <v>10778733.538780019</v>
      </c>
      <c r="W49" s="156">
        <v>1139648.4007426184</v>
      </c>
      <c r="X49" s="214">
        <f t="shared" si="5"/>
        <v>6295233.357013583</v>
      </c>
      <c r="Y49" s="215">
        <f t="shared" si="6"/>
        <v>270.75107982510787</v>
      </c>
      <c r="Z49" s="81"/>
      <c r="AA49" s="94">
        <f t="shared" si="7"/>
        <v>-2805681.573777996</v>
      </c>
      <c r="AB49" s="153">
        <f t="shared" si="8"/>
        <v>-120.66928621470026</v>
      </c>
      <c r="AD49" s="216"/>
      <c r="AE49" s="224"/>
      <c r="AF49" s="224"/>
      <c r="AG49" s="224"/>
      <c r="AH49" s="225"/>
      <c r="AJ49" s="81">
        <f t="shared" si="9"/>
        <v>53809469.27038114</v>
      </c>
      <c r="AK49" s="81">
        <f t="shared" si="10"/>
        <v>1218010.6931943647</v>
      </c>
      <c r="AL49" s="81">
        <f t="shared" si="11"/>
        <v>25771982.642806478</v>
      </c>
      <c r="AM49" s="81">
        <f t="shared" si="17"/>
        <v>81393920.74666968</v>
      </c>
      <c r="AN49" s="81">
        <f t="shared" si="12"/>
        <v>0</v>
      </c>
      <c r="AO49" s="81">
        <f t="shared" si="13"/>
        <v>0</v>
      </c>
      <c r="AP49" s="81">
        <f t="shared" si="14"/>
        <v>0</v>
      </c>
      <c r="AQ49" s="81">
        <f t="shared" si="15"/>
        <v>0</v>
      </c>
      <c r="AR49" s="81">
        <f t="shared" si="16"/>
        <v>0</v>
      </c>
      <c r="AS49" s="82">
        <v>8992</v>
      </c>
      <c r="AT49" s="82">
        <v>4</v>
      </c>
      <c r="AU49" s="82"/>
      <c r="AV49" s="82">
        <v>4</v>
      </c>
      <c r="AW49" s="82">
        <f>25413898.367861*(0.001)</f>
        <v>25413.898367861042</v>
      </c>
      <c r="AX49" s="82">
        <v>-188.022743831521</v>
      </c>
      <c r="AY49" s="82">
        <v>7622.538334487236</v>
      </c>
      <c r="AZ49" s="408"/>
      <c r="BA49" s="81"/>
      <c r="BB49" s="81"/>
      <c r="BC49" s="81"/>
      <c r="BD49" s="81"/>
      <c r="BE49" s="81"/>
      <c r="BF49" s="81"/>
      <c r="BG49" s="81"/>
      <c r="BO49" s="114"/>
    </row>
    <row r="50" spans="1:67" ht="12.75">
      <c r="A50" s="81">
        <v>102</v>
      </c>
      <c r="B50" s="81" t="s">
        <v>174</v>
      </c>
      <c r="C50" s="81">
        <v>4</v>
      </c>
      <c r="D50" s="81">
        <v>9937</v>
      </c>
      <c r="E50" s="100">
        <v>23327465.912698753</v>
      </c>
      <c r="F50" s="81">
        <v>13582509.9022646</v>
      </c>
      <c r="G50" s="81">
        <v>2735458.2149032997</v>
      </c>
      <c r="H50" s="81">
        <v>1608785.1634133777</v>
      </c>
      <c r="I50" s="156">
        <v>5352571.091494998</v>
      </c>
      <c r="J50" s="156">
        <v>1832863.894165949</v>
      </c>
      <c r="K50" s="81">
        <v>-826761.0279425001</v>
      </c>
      <c r="L50" s="81">
        <v>144259</v>
      </c>
      <c r="M50" s="82">
        <v>-223000</v>
      </c>
      <c r="N50" s="82">
        <v>94694.70888219487</v>
      </c>
      <c r="O50" s="214">
        <f t="shared" si="3"/>
        <v>973915.0344831645</v>
      </c>
      <c r="P50" s="215">
        <f t="shared" si="4"/>
        <v>98.0089598956591</v>
      </c>
      <c r="Q50" s="81"/>
      <c r="R50" s="223">
        <v>64665268</v>
      </c>
      <c r="S50" s="156">
        <v>31061209.642887127</v>
      </c>
      <c r="T50" s="156">
        <v>2413177.7451200667</v>
      </c>
      <c r="U50" s="156">
        <v>22690535.92896437</v>
      </c>
      <c r="V50" s="156">
        <v>6203643.506558637</v>
      </c>
      <c r="W50" s="156">
        <v>2656717.2149032997</v>
      </c>
      <c r="X50" s="214">
        <f t="shared" si="5"/>
        <v>360016.0384334922</v>
      </c>
      <c r="Y50" s="215">
        <f t="shared" si="6"/>
        <v>36.22985191038464</v>
      </c>
      <c r="Z50" s="81"/>
      <c r="AA50" s="94">
        <f t="shared" si="7"/>
        <v>613898.9960496724</v>
      </c>
      <c r="AB50" s="153">
        <f t="shared" si="8"/>
        <v>61.779107985274464</v>
      </c>
      <c r="AD50" s="216"/>
      <c r="AE50" s="224"/>
      <c r="AF50" s="224"/>
      <c r="AG50" s="224"/>
      <c r="AH50" s="225"/>
      <c r="AJ50" s="81">
        <f t="shared" si="9"/>
        <v>17478699.740622528</v>
      </c>
      <c r="AK50" s="81">
        <f t="shared" si="10"/>
        <v>804392.581706689</v>
      </c>
      <c r="AL50" s="81">
        <f t="shared" si="11"/>
        <v>17337964.83746937</v>
      </c>
      <c r="AM50" s="81">
        <f t="shared" si="17"/>
        <v>41337802.08730125</v>
      </c>
      <c r="AN50" s="81">
        <f t="shared" si="12"/>
        <v>0</v>
      </c>
      <c r="AO50" s="81">
        <f t="shared" si="13"/>
        <v>0</v>
      </c>
      <c r="AP50" s="81">
        <f t="shared" si="14"/>
        <v>0</v>
      </c>
      <c r="AQ50" s="81">
        <f t="shared" si="15"/>
        <v>0</v>
      </c>
      <c r="AR50" s="81">
        <f t="shared" si="16"/>
        <v>0</v>
      </c>
      <c r="AS50" s="82">
        <v>4456</v>
      </c>
      <c r="AT50" s="82">
        <v>18</v>
      </c>
      <c r="AU50" s="82"/>
      <c r="AV50" s="82">
        <v>18</v>
      </c>
      <c r="AW50" s="82">
        <f>13910018.6439304*(0.001)</f>
        <v>13910.018643930409</v>
      </c>
      <c r="AX50" s="82">
        <v>-3495.2408682533032</v>
      </c>
      <c r="AY50" s="82">
        <v>4370.779612392688</v>
      </c>
      <c r="AZ50" s="408"/>
      <c r="BA50" s="81"/>
      <c r="BB50" s="81"/>
      <c r="BC50" s="81"/>
      <c r="BD50" s="81"/>
      <c r="BE50" s="81"/>
      <c r="BF50" s="81"/>
      <c r="BG50" s="81"/>
      <c r="BO50" s="114"/>
    </row>
    <row r="51" spans="1:67" ht="12.75">
      <c r="A51" s="81">
        <v>103</v>
      </c>
      <c r="B51" s="81" t="s">
        <v>175</v>
      </c>
      <c r="C51" s="81">
        <v>5</v>
      </c>
      <c r="D51" s="81">
        <v>2174</v>
      </c>
      <c r="E51" s="100">
        <v>5459992.262154973</v>
      </c>
      <c r="F51" s="81">
        <v>3264860.313642308</v>
      </c>
      <c r="G51" s="81">
        <v>615176.8381669763</v>
      </c>
      <c r="H51" s="81">
        <v>300849.8595258675</v>
      </c>
      <c r="I51" s="156">
        <v>1268088.2486047393</v>
      </c>
      <c r="J51" s="156">
        <v>439184.6217747566</v>
      </c>
      <c r="K51" s="81">
        <v>464083.85455331125</v>
      </c>
      <c r="L51" s="81">
        <v>-566270</v>
      </c>
      <c r="M51" s="82">
        <v>-27700</v>
      </c>
      <c r="N51" s="82">
        <v>20189.645291279805</v>
      </c>
      <c r="O51" s="214">
        <f t="shared" si="3"/>
        <v>318471.11940426566</v>
      </c>
      <c r="P51" s="215">
        <f t="shared" si="4"/>
        <v>146.49085529175053</v>
      </c>
      <c r="Q51" s="81"/>
      <c r="R51" s="223">
        <v>13365800</v>
      </c>
      <c r="S51" s="156">
        <v>7012532.259331664</v>
      </c>
      <c r="T51" s="156">
        <v>451274.7892888013</v>
      </c>
      <c r="U51" s="156">
        <v>5004624.200900989</v>
      </c>
      <c r="V51" s="156">
        <v>1484150.1547187655</v>
      </c>
      <c r="W51" s="156">
        <v>21206.838166976348</v>
      </c>
      <c r="X51" s="214">
        <f t="shared" si="5"/>
        <v>607988.2424071953</v>
      </c>
      <c r="Y51" s="215">
        <f t="shared" si="6"/>
        <v>279.663404971111</v>
      </c>
      <c r="Z51" s="81"/>
      <c r="AA51" s="94">
        <f t="shared" si="7"/>
        <v>-289517.1230029296</v>
      </c>
      <c r="AB51" s="153">
        <f t="shared" si="8"/>
        <v>-133.17254967936046</v>
      </c>
      <c r="AD51" s="216"/>
      <c r="AE51" s="224"/>
      <c r="AF51" s="224"/>
      <c r="AG51" s="224"/>
      <c r="AH51" s="225"/>
      <c r="AJ51" s="81">
        <f t="shared" si="9"/>
        <v>3747671.945689356</v>
      </c>
      <c r="AK51" s="81">
        <f t="shared" si="10"/>
        <v>150424.9297629338</v>
      </c>
      <c r="AL51" s="81">
        <f t="shared" si="11"/>
        <v>3736535.9522962496</v>
      </c>
      <c r="AM51" s="81">
        <f t="shared" si="17"/>
        <v>7905807.737845027</v>
      </c>
      <c r="AN51" s="81">
        <f t="shared" si="12"/>
        <v>0</v>
      </c>
      <c r="AO51" s="81">
        <f t="shared" si="13"/>
        <v>0</v>
      </c>
      <c r="AP51" s="81">
        <f t="shared" si="14"/>
        <v>0</v>
      </c>
      <c r="AQ51" s="81">
        <f t="shared" si="15"/>
        <v>0</v>
      </c>
      <c r="AR51" s="81">
        <f t="shared" si="16"/>
        <v>0</v>
      </c>
      <c r="AS51" s="82">
        <v>378</v>
      </c>
      <c r="AT51" s="82"/>
      <c r="AU51" s="82"/>
      <c r="AV51" s="82">
        <v>0</v>
      </c>
      <c r="AW51" s="82">
        <f>2927380.06653197*(0.001)</f>
        <v>2927.38006653197</v>
      </c>
      <c r="AX51" s="82">
        <v>-830.0277497506328</v>
      </c>
      <c r="AY51" s="82">
        <v>1044.9655329440088</v>
      </c>
      <c r="AZ51" s="408"/>
      <c r="BA51" s="81"/>
      <c r="BB51" s="81"/>
      <c r="BC51" s="81"/>
      <c r="BD51" s="81"/>
      <c r="BE51" s="81"/>
      <c r="BF51" s="81"/>
      <c r="BG51" s="81"/>
      <c r="BO51" s="114"/>
    </row>
    <row r="52" spans="1:67" ht="12.75">
      <c r="A52" s="81">
        <v>105</v>
      </c>
      <c r="B52" s="81" t="s">
        <v>176</v>
      </c>
      <c r="C52" s="81">
        <v>18</v>
      </c>
      <c r="D52" s="81">
        <v>2199</v>
      </c>
      <c r="E52" s="100">
        <v>6147513.953173403</v>
      </c>
      <c r="F52" s="81">
        <v>2780417.5710443156</v>
      </c>
      <c r="G52" s="81">
        <v>1133476.0343372824</v>
      </c>
      <c r="H52" s="81">
        <v>598181.3194952258</v>
      </c>
      <c r="I52" s="156">
        <v>1861715.4690221942</v>
      </c>
      <c r="J52" s="156">
        <v>461556.4066349915</v>
      </c>
      <c r="K52" s="81">
        <v>932199.3891697172</v>
      </c>
      <c r="L52" s="81">
        <v>-477832</v>
      </c>
      <c r="M52" s="82">
        <v>-20000</v>
      </c>
      <c r="N52" s="82">
        <v>18470.985125736377</v>
      </c>
      <c r="O52" s="214">
        <f t="shared" si="3"/>
        <v>1140671.2216560608</v>
      </c>
      <c r="P52" s="215">
        <f t="shared" si="4"/>
        <v>518.722701980928</v>
      </c>
      <c r="Q52" s="81"/>
      <c r="R52" s="223">
        <v>18368270</v>
      </c>
      <c r="S52" s="156">
        <v>6047595.083242113</v>
      </c>
      <c r="T52" s="156">
        <v>897271.9792428388</v>
      </c>
      <c r="U52" s="156">
        <v>11108615.146415256</v>
      </c>
      <c r="V52" s="156">
        <v>1559789.3960791305</v>
      </c>
      <c r="W52" s="156">
        <v>635644.0343372824</v>
      </c>
      <c r="X52" s="214">
        <f t="shared" si="5"/>
        <v>1880645.6393166184</v>
      </c>
      <c r="Y52" s="215">
        <f t="shared" si="6"/>
        <v>855.2276668106496</v>
      </c>
      <c r="Z52" s="81"/>
      <c r="AA52" s="94">
        <f t="shared" si="7"/>
        <v>-739974.4176605577</v>
      </c>
      <c r="AB52" s="153">
        <f t="shared" si="8"/>
        <v>-336.50496482972153</v>
      </c>
      <c r="AD52" s="216"/>
      <c r="AE52" s="224"/>
      <c r="AF52" s="224"/>
      <c r="AG52" s="224"/>
      <c r="AH52" s="225"/>
      <c r="AJ52" s="81">
        <f t="shared" si="9"/>
        <v>3267177.512197797</v>
      </c>
      <c r="AK52" s="81">
        <f t="shared" si="10"/>
        <v>299090.659747613</v>
      </c>
      <c r="AL52" s="81">
        <f t="shared" si="11"/>
        <v>9246899.677393062</v>
      </c>
      <c r="AM52" s="81">
        <f t="shared" si="17"/>
        <v>12220756.046826597</v>
      </c>
      <c r="AN52" s="81">
        <f t="shared" si="12"/>
        <v>0</v>
      </c>
      <c r="AO52" s="81">
        <f t="shared" si="13"/>
        <v>0</v>
      </c>
      <c r="AP52" s="81">
        <f t="shared" si="14"/>
        <v>0</v>
      </c>
      <c r="AQ52" s="81">
        <f t="shared" si="15"/>
        <v>0</v>
      </c>
      <c r="AR52" s="81">
        <f t="shared" si="16"/>
        <v>0</v>
      </c>
      <c r="AS52" s="82">
        <v>488</v>
      </c>
      <c r="AT52" s="82"/>
      <c r="AU52" s="82"/>
      <c r="AV52" s="82">
        <v>0</v>
      </c>
      <c r="AW52" s="82">
        <f>7984435.46697943*(0.001)</f>
        <v>7984.435466979434</v>
      </c>
      <c r="AX52" s="82">
        <v>-1144.9672994922223</v>
      </c>
      <c r="AY52" s="82">
        <v>1098.2329894441389</v>
      </c>
      <c r="AZ52" s="408"/>
      <c r="BA52" s="81"/>
      <c r="BB52" s="81"/>
      <c r="BC52" s="81"/>
      <c r="BD52" s="81"/>
      <c r="BE52" s="81"/>
      <c r="BF52" s="81"/>
      <c r="BG52" s="81"/>
      <c r="BO52" s="114"/>
    </row>
    <row r="53" spans="1:67" ht="12.75">
      <c r="A53" s="81">
        <v>106</v>
      </c>
      <c r="B53" s="81" t="s">
        <v>177</v>
      </c>
      <c r="C53" s="81">
        <v>1</v>
      </c>
      <c r="D53" s="81">
        <v>46576</v>
      </c>
      <c r="E53" s="100">
        <v>108070474.45127383</v>
      </c>
      <c r="F53" s="81">
        <v>73203170.38138926</v>
      </c>
      <c r="G53" s="81">
        <v>14680529.253068073</v>
      </c>
      <c r="H53" s="81">
        <v>9961957.186246013</v>
      </c>
      <c r="I53" s="156">
        <v>9732323.720011424</v>
      </c>
      <c r="J53" s="156">
        <v>5745500.796985136</v>
      </c>
      <c r="K53" s="81">
        <v>-3843109.3263980295</v>
      </c>
      <c r="L53" s="81">
        <v>-2271959</v>
      </c>
      <c r="M53" s="82">
        <v>-1270300</v>
      </c>
      <c r="N53" s="82">
        <v>586447.77021613</v>
      </c>
      <c r="O53" s="214">
        <f t="shared" si="3"/>
        <v>-1545913.6697558165</v>
      </c>
      <c r="P53" s="215">
        <f t="shared" si="4"/>
        <v>-33.19120726888991</v>
      </c>
      <c r="Q53" s="81"/>
      <c r="R53" s="223">
        <v>280689800</v>
      </c>
      <c r="S53" s="156">
        <v>181450046.35007113</v>
      </c>
      <c r="T53" s="156">
        <v>14942935.77936902</v>
      </c>
      <c r="U53" s="156">
        <v>52487807.03474875</v>
      </c>
      <c r="V53" s="156">
        <v>19712184.633440908</v>
      </c>
      <c r="W53" s="156">
        <v>11138270.253068073</v>
      </c>
      <c r="X53" s="214">
        <f t="shared" si="5"/>
        <v>-958555.9493020773</v>
      </c>
      <c r="Y53" s="215">
        <f t="shared" si="6"/>
        <v>-20.580469540151093</v>
      </c>
      <c r="Z53" s="81"/>
      <c r="AA53" s="94">
        <f t="shared" si="7"/>
        <v>-587357.7204537392</v>
      </c>
      <c r="AB53" s="153">
        <f t="shared" si="8"/>
        <v>-12.610737728738817</v>
      </c>
      <c r="AD53" s="216"/>
      <c r="AE53" s="224"/>
      <c r="AF53" s="224"/>
      <c r="AG53" s="224"/>
      <c r="AH53" s="225"/>
      <c r="AJ53" s="81">
        <f t="shared" si="9"/>
        <v>108246875.96868187</v>
      </c>
      <c r="AK53" s="81">
        <f t="shared" si="10"/>
        <v>4980978.593123008</v>
      </c>
      <c r="AL53" s="81">
        <f t="shared" si="11"/>
        <v>42755483.31473732</v>
      </c>
      <c r="AM53" s="81">
        <f t="shared" si="17"/>
        <v>172619325.54872617</v>
      </c>
      <c r="AN53" s="81">
        <f t="shared" si="12"/>
        <v>0</v>
      </c>
      <c r="AO53" s="81">
        <f t="shared" si="13"/>
        <v>0</v>
      </c>
      <c r="AP53" s="81">
        <f t="shared" si="14"/>
        <v>0</v>
      </c>
      <c r="AQ53" s="81">
        <f t="shared" si="15"/>
        <v>0</v>
      </c>
      <c r="AR53" s="81">
        <f t="shared" si="16"/>
        <v>0</v>
      </c>
      <c r="AS53" s="82">
        <v>19285</v>
      </c>
      <c r="AT53" s="82"/>
      <c r="AU53" s="82"/>
      <c r="AV53" s="82">
        <v>0</v>
      </c>
      <c r="AW53" s="82">
        <f>45332705.654818*(0.001)</f>
        <v>45332.70565481803</v>
      </c>
      <c r="AX53" s="82">
        <v>5705.234184497955</v>
      </c>
      <c r="AY53" s="82">
        <v>13966.683836455772</v>
      </c>
      <c r="AZ53" s="408"/>
      <c r="BA53" s="81"/>
      <c r="BB53" s="81"/>
      <c r="BC53" s="81"/>
      <c r="BD53" s="81"/>
      <c r="BE53" s="81"/>
      <c r="BF53" s="81"/>
      <c r="BG53" s="81"/>
      <c r="BO53" s="114"/>
    </row>
    <row r="54" spans="1:67" ht="12.75">
      <c r="A54" s="81">
        <v>108</v>
      </c>
      <c r="B54" s="81" t="s">
        <v>178</v>
      </c>
      <c r="C54" s="81">
        <v>6</v>
      </c>
      <c r="D54" s="81">
        <v>10344</v>
      </c>
      <c r="E54" s="100">
        <v>26608895.92478632</v>
      </c>
      <c r="F54" s="81">
        <v>17607818.853503924</v>
      </c>
      <c r="G54" s="81">
        <v>2151907.60724277</v>
      </c>
      <c r="H54" s="81">
        <v>1195659.875961076</v>
      </c>
      <c r="I54" s="156">
        <v>7096971.398517302</v>
      </c>
      <c r="J54" s="156">
        <v>1573288.5467698495</v>
      </c>
      <c r="K54" s="81">
        <v>1479694.8887219105</v>
      </c>
      <c r="L54" s="81">
        <v>-1110795</v>
      </c>
      <c r="M54" s="82">
        <v>-600000</v>
      </c>
      <c r="N54" s="82">
        <v>111950.99186254627</v>
      </c>
      <c r="O54" s="214">
        <f t="shared" si="3"/>
        <v>2897601.237793058</v>
      </c>
      <c r="P54" s="215">
        <f t="shared" si="4"/>
        <v>280.12386289569395</v>
      </c>
      <c r="Q54" s="81"/>
      <c r="R54" s="223">
        <v>62950169</v>
      </c>
      <c r="S54" s="156">
        <v>38624821.92953686</v>
      </c>
      <c r="T54" s="156">
        <v>1793489.813941614</v>
      </c>
      <c r="U54" s="156">
        <v>20314093.80213618</v>
      </c>
      <c r="V54" s="156">
        <v>5351744.495156196</v>
      </c>
      <c r="W54" s="156">
        <v>441112.60724277</v>
      </c>
      <c r="X54" s="214">
        <f t="shared" si="5"/>
        <v>3575093.648013614</v>
      </c>
      <c r="Y54" s="215">
        <f t="shared" si="6"/>
        <v>345.62003557749557</v>
      </c>
      <c r="Z54" s="81"/>
      <c r="AA54" s="94">
        <f t="shared" si="7"/>
        <v>-677492.410220556</v>
      </c>
      <c r="AB54" s="153">
        <f t="shared" si="8"/>
        <v>-65.49617268180162</v>
      </c>
      <c r="AD54" s="216"/>
      <c r="AE54" s="224"/>
      <c r="AF54" s="224"/>
      <c r="AG54" s="224"/>
      <c r="AH54" s="225"/>
      <c r="AJ54" s="81">
        <f t="shared" si="9"/>
        <v>21017003.076032933</v>
      </c>
      <c r="AK54" s="81">
        <f t="shared" si="10"/>
        <v>597829.937980538</v>
      </c>
      <c r="AL54" s="81">
        <f t="shared" si="11"/>
        <v>13217122.403618876</v>
      </c>
      <c r="AM54" s="81">
        <f t="shared" si="17"/>
        <v>36341273.07521368</v>
      </c>
      <c r="AN54" s="81">
        <f t="shared" si="12"/>
        <v>0</v>
      </c>
      <c r="AO54" s="81">
        <f t="shared" si="13"/>
        <v>0</v>
      </c>
      <c r="AP54" s="81">
        <f t="shared" si="14"/>
        <v>0</v>
      </c>
      <c r="AQ54" s="81">
        <f t="shared" si="15"/>
        <v>0</v>
      </c>
      <c r="AR54" s="81">
        <f t="shared" si="16"/>
        <v>0</v>
      </c>
      <c r="AS54" s="82">
        <v>5687</v>
      </c>
      <c r="AT54" s="82">
        <v>158</v>
      </c>
      <c r="AU54" s="82"/>
      <c r="AV54" s="82">
        <v>158</v>
      </c>
      <c r="AW54" s="82">
        <f>11187918.5124357*(0.001)</f>
        <v>11187.918512435679</v>
      </c>
      <c r="AX54" s="82">
        <v>-2342.9316032281085</v>
      </c>
      <c r="AY54" s="82">
        <v>3778.4559483863463</v>
      </c>
      <c r="AZ54" s="408"/>
      <c r="BA54" s="81"/>
      <c r="BB54" s="81"/>
      <c r="BC54" s="81"/>
      <c r="BD54" s="81"/>
      <c r="BE54" s="81"/>
      <c r="BF54" s="81"/>
      <c r="BG54" s="81"/>
      <c r="BO54" s="114"/>
    </row>
    <row r="55" spans="1:67" ht="12.75">
      <c r="A55" s="81">
        <v>109</v>
      </c>
      <c r="B55" s="81" t="s">
        <v>179</v>
      </c>
      <c r="C55" s="81">
        <v>5</v>
      </c>
      <c r="D55" s="81">
        <v>67848</v>
      </c>
      <c r="E55" s="100">
        <v>165415568.63607246</v>
      </c>
      <c r="F55" s="81">
        <v>113642540.24052913</v>
      </c>
      <c r="G55" s="81">
        <v>27716302.291617677</v>
      </c>
      <c r="H55" s="81">
        <v>12879632.559106002</v>
      </c>
      <c r="I55" s="156">
        <v>15711972.924794398</v>
      </c>
      <c r="J55" s="156">
        <v>9229049.938125674</v>
      </c>
      <c r="K55" s="81">
        <v>1626030.2409065445</v>
      </c>
      <c r="L55" s="81">
        <v>-13091739</v>
      </c>
      <c r="M55" s="82">
        <v>300000</v>
      </c>
      <c r="N55" s="82">
        <v>834285.0992006547</v>
      </c>
      <c r="O55" s="214">
        <f t="shared" si="3"/>
        <v>3432505.658207625</v>
      </c>
      <c r="P55" s="215">
        <f t="shared" si="4"/>
        <v>50.59111039688163</v>
      </c>
      <c r="Q55" s="81"/>
      <c r="R55" s="223">
        <v>425848000</v>
      </c>
      <c r="S55" s="156">
        <v>268281538.94318458</v>
      </c>
      <c r="T55" s="156">
        <v>19319448.838659003</v>
      </c>
      <c r="U55" s="156">
        <v>99101413.74833158</v>
      </c>
      <c r="V55" s="156">
        <v>31569955.626708582</v>
      </c>
      <c r="W55" s="156">
        <v>14924563.291617677</v>
      </c>
      <c r="X55" s="214">
        <f t="shared" si="5"/>
        <v>7348920.448501468</v>
      </c>
      <c r="Y55" s="215">
        <f t="shared" si="6"/>
        <v>108.31447424391976</v>
      </c>
      <c r="Z55" s="81"/>
      <c r="AA55" s="94">
        <f t="shared" si="7"/>
        <v>-3916414.7902938426</v>
      </c>
      <c r="AB55" s="153">
        <f t="shared" si="8"/>
        <v>-57.72336384703812</v>
      </c>
      <c r="AD55" s="216"/>
      <c r="AE55" s="224"/>
      <c r="AF55" s="224"/>
      <c r="AG55" s="224"/>
      <c r="AH55" s="225"/>
      <c r="AJ55" s="81">
        <f t="shared" si="9"/>
        <v>154638998.70265543</v>
      </c>
      <c r="AK55" s="81">
        <f t="shared" si="10"/>
        <v>6439816.279553002</v>
      </c>
      <c r="AL55" s="81">
        <f t="shared" si="11"/>
        <v>83389440.82353717</v>
      </c>
      <c r="AM55" s="81">
        <f t="shared" si="17"/>
        <v>260432431.36392754</v>
      </c>
      <c r="AN55" s="81">
        <f t="shared" si="12"/>
        <v>0</v>
      </c>
      <c r="AO55" s="81">
        <f t="shared" si="13"/>
        <v>0</v>
      </c>
      <c r="AP55" s="81">
        <f t="shared" si="14"/>
        <v>0</v>
      </c>
      <c r="AQ55" s="81">
        <f t="shared" si="15"/>
        <v>0</v>
      </c>
      <c r="AR55" s="81">
        <f t="shared" si="16"/>
        <v>0</v>
      </c>
      <c r="AS55" s="82">
        <v>18370</v>
      </c>
      <c r="AT55" s="82">
        <v>194</v>
      </c>
      <c r="AU55" s="82">
        <v>611</v>
      </c>
      <c r="AV55" s="82">
        <v>805</v>
      </c>
      <c r="AW55" s="82">
        <f>81810505.9134585*(0.001)</f>
        <v>81810.50591345847</v>
      </c>
      <c r="AX55" s="82">
        <v>1222.2586708096296</v>
      </c>
      <c r="AY55" s="82">
        <v>22340.90568858291</v>
      </c>
      <c r="AZ55" s="408"/>
      <c r="BA55" s="81"/>
      <c r="BB55" s="81"/>
      <c r="BC55" s="81"/>
      <c r="BD55" s="81"/>
      <c r="BE55" s="81"/>
      <c r="BF55" s="81"/>
      <c r="BG55" s="81"/>
      <c r="BO55" s="114"/>
    </row>
    <row r="56" spans="1:67" ht="12.75">
      <c r="A56" s="81">
        <v>111</v>
      </c>
      <c r="B56" s="81" t="s">
        <v>168</v>
      </c>
      <c r="C56" s="81">
        <v>7</v>
      </c>
      <c r="D56" s="81">
        <v>18497</v>
      </c>
      <c r="E56" s="100">
        <v>45762310.67835426</v>
      </c>
      <c r="F56" s="81">
        <v>26584211.674176298</v>
      </c>
      <c r="G56" s="81">
        <v>6353277.018425316</v>
      </c>
      <c r="H56" s="81">
        <v>2421925.2706212667</v>
      </c>
      <c r="I56" s="156">
        <v>2621906.146976957</v>
      </c>
      <c r="J56" s="156">
        <v>2894474.5015028147</v>
      </c>
      <c r="K56" s="81">
        <v>4177652.807879556</v>
      </c>
      <c r="L56" s="81">
        <v>-2696037</v>
      </c>
      <c r="M56" s="82">
        <v>2395000</v>
      </c>
      <c r="N56" s="82">
        <v>201430.72655603502</v>
      </c>
      <c r="O56" s="214">
        <f t="shared" si="3"/>
        <v>-808469.5322160199</v>
      </c>
      <c r="P56" s="215">
        <f t="shared" si="4"/>
        <v>-43.708143602531216</v>
      </c>
      <c r="Q56" s="81"/>
      <c r="R56" s="223">
        <v>125850000</v>
      </c>
      <c r="S56" s="156">
        <v>64264298.11278387</v>
      </c>
      <c r="T56" s="156">
        <v>3632887.9059319003</v>
      </c>
      <c r="U56" s="156">
        <v>45812775.70702212</v>
      </c>
      <c r="V56" s="156">
        <v>9843589.251826467</v>
      </c>
      <c r="W56" s="156">
        <v>6052240.018425316</v>
      </c>
      <c r="X56" s="214">
        <f t="shared" si="5"/>
        <v>3755790.9959896803</v>
      </c>
      <c r="Y56" s="215">
        <f t="shared" si="6"/>
        <v>203.04865632208902</v>
      </c>
      <c r="Z56" s="81"/>
      <c r="AA56" s="94">
        <f t="shared" si="7"/>
        <v>-4564260.5282057</v>
      </c>
      <c r="AB56" s="153">
        <f t="shared" si="8"/>
        <v>-246.75679992462022</v>
      </c>
      <c r="AD56" s="216"/>
      <c r="AE56" s="224"/>
      <c r="AF56" s="224"/>
      <c r="AG56" s="224"/>
      <c r="AH56" s="225"/>
      <c r="AJ56" s="81">
        <f t="shared" si="9"/>
        <v>37680086.43860757</v>
      </c>
      <c r="AK56" s="81">
        <f t="shared" si="10"/>
        <v>1210962.6353106336</v>
      </c>
      <c r="AL56" s="81">
        <f t="shared" si="11"/>
        <v>43190869.56004517</v>
      </c>
      <c r="AM56" s="81">
        <f t="shared" si="17"/>
        <v>80087689.32164574</v>
      </c>
      <c r="AN56" s="81">
        <f t="shared" si="12"/>
        <v>0</v>
      </c>
      <c r="AO56" s="81">
        <f t="shared" si="13"/>
        <v>0</v>
      </c>
      <c r="AP56" s="81">
        <f t="shared" si="14"/>
        <v>0</v>
      </c>
      <c r="AQ56" s="81">
        <f t="shared" si="15"/>
        <v>0</v>
      </c>
      <c r="AR56" s="81">
        <f t="shared" si="16"/>
        <v>0</v>
      </c>
      <c r="AS56" s="82">
        <v>6367</v>
      </c>
      <c r="AT56" s="82">
        <v>899</v>
      </c>
      <c r="AU56" s="82">
        <v>166</v>
      </c>
      <c r="AV56" s="82">
        <v>1065</v>
      </c>
      <c r="AW56" s="82">
        <f>38150632.0498971*(0.001)</f>
        <v>38150.63204989713</v>
      </c>
      <c r="AX56" s="82">
        <v>-3269.585011739545</v>
      </c>
      <c r="AY56" s="82">
        <v>6949.1147503236525</v>
      </c>
      <c r="AZ56" s="408"/>
      <c r="BA56" s="81"/>
      <c r="BB56" s="81"/>
      <c r="BC56" s="81"/>
      <c r="BD56" s="81"/>
      <c r="BE56" s="81"/>
      <c r="BF56" s="81"/>
      <c r="BG56" s="81"/>
      <c r="BO56" s="114"/>
    </row>
    <row r="57" spans="1:67" ht="12.75">
      <c r="A57" s="81">
        <v>139</v>
      </c>
      <c r="B57" s="81" t="s">
        <v>180</v>
      </c>
      <c r="C57" s="81">
        <v>17</v>
      </c>
      <c r="D57" s="81">
        <v>9848</v>
      </c>
      <c r="E57" s="100">
        <v>35328654.57063684</v>
      </c>
      <c r="F57" s="81">
        <v>14087547.982071957</v>
      </c>
      <c r="G57" s="81">
        <v>4654057.161929404</v>
      </c>
      <c r="H57" s="81">
        <v>953268.1158497925</v>
      </c>
      <c r="I57" s="156">
        <v>13743558.923188068</v>
      </c>
      <c r="J57" s="156">
        <v>1328486.0644078925</v>
      </c>
      <c r="K57" s="81">
        <v>546818.4523761425</v>
      </c>
      <c r="L57" s="81">
        <v>-478833</v>
      </c>
      <c r="M57" s="82">
        <v>-237000</v>
      </c>
      <c r="N57" s="82">
        <v>93420.38181645614</v>
      </c>
      <c r="O57" s="214">
        <f t="shared" si="3"/>
        <v>-637330.4889971241</v>
      </c>
      <c r="P57" s="215">
        <f t="shared" si="4"/>
        <v>-64.71674339938303</v>
      </c>
      <c r="Q57" s="81"/>
      <c r="R57" s="223">
        <v>70473000</v>
      </c>
      <c r="S57" s="156">
        <v>31647966.740502093</v>
      </c>
      <c r="T57" s="156">
        <v>1429902.1737746887</v>
      </c>
      <c r="U57" s="156">
        <v>28085151.07985285</v>
      </c>
      <c r="V57" s="156">
        <v>4518943.218996922</v>
      </c>
      <c r="W57" s="156">
        <v>3938224.1619294044</v>
      </c>
      <c r="X57" s="214">
        <f t="shared" si="5"/>
        <v>-852812.6249440461</v>
      </c>
      <c r="Y57" s="215">
        <f t="shared" si="6"/>
        <v>-86.59754518115822</v>
      </c>
      <c r="Z57" s="81"/>
      <c r="AA57" s="94">
        <f t="shared" si="7"/>
        <v>215482.135946922</v>
      </c>
      <c r="AB57" s="153">
        <f t="shared" si="8"/>
        <v>21.880801781775183</v>
      </c>
      <c r="AD57" s="216"/>
      <c r="AE57" s="224"/>
      <c r="AF57" s="224"/>
      <c r="AG57" s="224"/>
      <c r="AH57" s="225"/>
      <c r="AJ57" s="81">
        <f t="shared" si="9"/>
        <v>17560418.75843014</v>
      </c>
      <c r="AK57" s="81">
        <f t="shared" si="10"/>
        <v>476634.05792489625</v>
      </c>
      <c r="AL57" s="81">
        <f t="shared" si="11"/>
        <v>14341592.156664781</v>
      </c>
      <c r="AM57" s="81">
        <f t="shared" si="17"/>
        <v>35144345.42936316</v>
      </c>
      <c r="AN57" s="81">
        <f t="shared" si="12"/>
        <v>0</v>
      </c>
      <c r="AO57" s="81">
        <f t="shared" si="13"/>
        <v>0</v>
      </c>
      <c r="AP57" s="81">
        <f t="shared" si="14"/>
        <v>0</v>
      </c>
      <c r="AQ57" s="81">
        <f t="shared" si="15"/>
        <v>0</v>
      </c>
      <c r="AR57" s="81">
        <f t="shared" si="16"/>
        <v>0</v>
      </c>
      <c r="AS57" s="82">
        <v>3362</v>
      </c>
      <c r="AT57" s="82">
        <v>42</v>
      </c>
      <c r="AU57" s="82"/>
      <c r="AV57" s="82">
        <v>42</v>
      </c>
      <c r="AW57" s="82">
        <f>10998544.2804489*(0.001)</f>
        <v>10998.54428044894</v>
      </c>
      <c r="AX57" s="82">
        <v>-3927.6044162199196</v>
      </c>
      <c r="AY57" s="82">
        <v>3190.457154589029</v>
      </c>
      <c r="AZ57" s="408"/>
      <c r="BA57" s="81"/>
      <c r="BB57" s="81"/>
      <c r="BC57" s="81"/>
      <c r="BD57" s="81"/>
      <c r="BE57" s="81"/>
      <c r="BF57" s="81"/>
      <c r="BG57" s="81"/>
      <c r="BO57" s="114"/>
    </row>
    <row r="58" spans="1:67" ht="12.75">
      <c r="A58" s="81">
        <v>140</v>
      </c>
      <c r="B58" s="81" t="s">
        <v>181</v>
      </c>
      <c r="C58" s="81">
        <v>11</v>
      </c>
      <c r="D58" s="81">
        <v>21124</v>
      </c>
      <c r="E58" s="100">
        <v>57831573.017061666</v>
      </c>
      <c r="F58" s="81">
        <v>29247577.99595902</v>
      </c>
      <c r="G58" s="81">
        <v>5829883.673409424</v>
      </c>
      <c r="H58" s="81">
        <v>3577009.7504551657</v>
      </c>
      <c r="I58" s="156">
        <v>10904538.335883694</v>
      </c>
      <c r="J58" s="156">
        <v>3377410.1010356806</v>
      </c>
      <c r="K58" s="81">
        <v>5771865.677625318</v>
      </c>
      <c r="L58" s="81">
        <v>-1542466</v>
      </c>
      <c r="M58" s="82">
        <v>880100</v>
      </c>
      <c r="N58" s="82">
        <v>222296.98968060972</v>
      </c>
      <c r="O58" s="214">
        <f t="shared" si="3"/>
        <v>436643.5069872439</v>
      </c>
      <c r="P58" s="215">
        <f t="shared" si="4"/>
        <v>20.670493608561063</v>
      </c>
      <c r="Q58" s="81"/>
      <c r="R58" s="223">
        <v>143228700</v>
      </c>
      <c r="S58" s="156">
        <v>70378856.42523077</v>
      </c>
      <c r="T58" s="156">
        <v>5365514.625682749</v>
      </c>
      <c r="U58" s="156">
        <v>54698202.37574434</v>
      </c>
      <c r="V58" s="156">
        <v>11465913.49662217</v>
      </c>
      <c r="W58" s="156">
        <v>5167517.673409424</v>
      </c>
      <c r="X58" s="214">
        <f t="shared" si="5"/>
        <v>3847304.5966894627</v>
      </c>
      <c r="Y58" s="215">
        <f t="shared" si="6"/>
        <v>182.12954917105958</v>
      </c>
      <c r="Z58" s="81"/>
      <c r="AA58" s="94">
        <f t="shared" si="7"/>
        <v>-3410661.089702219</v>
      </c>
      <c r="AB58" s="153">
        <f t="shared" si="8"/>
        <v>-161.45905556249852</v>
      </c>
      <c r="AD58" s="216"/>
      <c r="AE58" s="224"/>
      <c r="AF58" s="224"/>
      <c r="AG58" s="224"/>
      <c r="AH58" s="225"/>
      <c r="AJ58" s="81">
        <f t="shared" si="9"/>
        <v>41131278.42927175</v>
      </c>
      <c r="AK58" s="81">
        <f t="shared" si="10"/>
        <v>1788504.875227583</v>
      </c>
      <c r="AL58" s="81">
        <f t="shared" si="11"/>
        <v>43793664.03986065</v>
      </c>
      <c r="AM58" s="81">
        <f t="shared" si="17"/>
        <v>85397126.98293833</v>
      </c>
      <c r="AN58" s="81">
        <f t="shared" si="12"/>
        <v>0</v>
      </c>
      <c r="AO58" s="81">
        <f t="shared" si="13"/>
        <v>0</v>
      </c>
      <c r="AP58" s="81">
        <f t="shared" si="14"/>
        <v>0</v>
      </c>
      <c r="AQ58" s="81">
        <f t="shared" si="15"/>
        <v>0</v>
      </c>
      <c r="AR58" s="81">
        <f t="shared" si="16"/>
        <v>0</v>
      </c>
      <c r="AS58" s="82">
        <v>7372</v>
      </c>
      <c r="AT58" s="82"/>
      <c r="AU58" s="82"/>
      <c r="AV58" s="82">
        <v>0</v>
      </c>
      <c r="AW58" s="82">
        <f>38815395.5987854*(0.001)</f>
        <v>38815.3955987854</v>
      </c>
      <c r="AX58" s="82">
        <v>-5425.232031322658</v>
      </c>
      <c r="AY58" s="82">
        <v>8088.503395586489</v>
      </c>
      <c r="AZ58" s="408"/>
      <c r="BA58" s="81"/>
      <c r="BB58" s="81"/>
      <c r="BC58" s="81"/>
      <c r="BD58" s="81"/>
      <c r="BE58" s="81"/>
      <c r="BF58" s="81"/>
      <c r="BG58" s="81"/>
      <c r="BO58" s="114"/>
    </row>
    <row r="59" spans="1:67" ht="12.75">
      <c r="A59" s="81">
        <v>142</v>
      </c>
      <c r="B59" s="81" t="s">
        <v>182</v>
      </c>
      <c r="C59" s="81">
        <v>7</v>
      </c>
      <c r="D59" s="81">
        <v>6625</v>
      </c>
      <c r="E59" s="100">
        <v>16554740.83836257</v>
      </c>
      <c r="F59" s="81">
        <v>9743630.097204007</v>
      </c>
      <c r="G59" s="81">
        <v>3108926.1181362947</v>
      </c>
      <c r="H59" s="81">
        <v>967063.9527863987</v>
      </c>
      <c r="I59" s="156">
        <v>3158202.9044583016</v>
      </c>
      <c r="J59" s="156">
        <v>1084497.7648883671</v>
      </c>
      <c r="K59" s="81">
        <v>515118.38845230057</v>
      </c>
      <c r="L59" s="81">
        <v>-911388</v>
      </c>
      <c r="M59" s="82">
        <v>-7000</v>
      </c>
      <c r="N59" s="82">
        <v>67252.14763139508</v>
      </c>
      <c r="O59" s="214">
        <f t="shared" si="3"/>
        <v>1171562.5351944938</v>
      </c>
      <c r="P59" s="215">
        <f t="shared" si="4"/>
        <v>176.83962795388587</v>
      </c>
      <c r="Q59" s="81"/>
      <c r="R59" s="223">
        <v>43495220</v>
      </c>
      <c r="S59" s="156">
        <v>22244743.604534384</v>
      </c>
      <c r="T59" s="156">
        <v>1450595.929179598</v>
      </c>
      <c r="U59" s="156">
        <v>15645283.890489016</v>
      </c>
      <c r="V59" s="156">
        <v>3684137.293561276</v>
      </c>
      <c r="W59" s="156">
        <v>2190538.1181362947</v>
      </c>
      <c r="X59" s="214">
        <f t="shared" si="5"/>
        <v>1720078.8359005675</v>
      </c>
      <c r="Y59" s="215">
        <f t="shared" si="6"/>
        <v>259.6345412680102</v>
      </c>
      <c r="Z59" s="81"/>
      <c r="AA59" s="94">
        <f t="shared" si="7"/>
        <v>-548516.3007060736</v>
      </c>
      <c r="AB59" s="153">
        <f t="shared" si="8"/>
        <v>-82.79491331412433</v>
      </c>
      <c r="AD59" s="216"/>
      <c r="AE59" s="224"/>
      <c r="AF59" s="224"/>
      <c r="AG59" s="224"/>
      <c r="AH59" s="225"/>
      <c r="AJ59" s="81">
        <f t="shared" si="9"/>
        <v>12501113.507330377</v>
      </c>
      <c r="AK59" s="81">
        <f t="shared" si="10"/>
        <v>483531.9763931994</v>
      </c>
      <c r="AL59" s="81">
        <f t="shared" si="11"/>
        <v>12487080.986030715</v>
      </c>
      <c r="AM59" s="81">
        <f t="shared" si="17"/>
        <v>26940479.16163743</v>
      </c>
      <c r="AN59" s="81">
        <f t="shared" si="12"/>
        <v>0</v>
      </c>
      <c r="AO59" s="81">
        <f t="shared" si="13"/>
        <v>0</v>
      </c>
      <c r="AP59" s="81">
        <f t="shared" si="14"/>
        <v>0</v>
      </c>
      <c r="AQ59" s="81">
        <f t="shared" si="15"/>
        <v>0</v>
      </c>
      <c r="AR59" s="81">
        <f t="shared" si="16"/>
        <v>0</v>
      </c>
      <c r="AS59" s="82">
        <v>1689</v>
      </c>
      <c r="AT59" s="82"/>
      <c r="AU59" s="82"/>
      <c r="AV59" s="82">
        <v>0</v>
      </c>
      <c r="AW59" s="82">
        <f>10358276.2490098*(0.001)</f>
        <v>10358.276249009767</v>
      </c>
      <c r="AX59" s="82">
        <v>-1926.7473134340432</v>
      </c>
      <c r="AY59" s="82">
        <v>2599.639528672909</v>
      </c>
      <c r="AZ59" s="408"/>
      <c r="BA59" s="81"/>
      <c r="BB59" s="81"/>
      <c r="BC59" s="81"/>
      <c r="BD59" s="81"/>
      <c r="BE59" s="81"/>
      <c r="BF59" s="81"/>
      <c r="BG59" s="81"/>
      <c r="BO59" s="114"/>
    </row>
    <row r="60" spans="1:67" ht="12.75">
      <c r="A60" s="81">
        <v>143</v>
      </c>
      <c r="B60" s="81" t="s">
        <v>183</v>
      </c>
      <c r="C60" s="81">
        <v>6</v>
      </c>
      <c r="D60" s="81">
        <v>6866</v>
      </c>
      <c r="E60" s="100">
        <v>15962902.259791233</v>
      </c>
      <c r="F60" s="81">
        <v>10268725.346091654</v>
      </c>
      <c r="G60" s="81">
        <v>2873694.698867589</v>
      </c>
      <c r="H60" s="81">
        <v>1300659.5761313501</v>
      </c>
      <c r="I60" s="156">
        <v>3171007.285543067</v>
      </c>
      <c r="J60" s="156">
        <v>1218997.3499389589</v>
      </c>
      <c r="K60" s="81">
        <v>580981.930918756</v>
      </c>
      <c r="L60" s="81">
        <v>-852877</v>
      </c>
      <c r="M60" s="82">
        <v>-100000</v>
      </c>
      <c r="N60" s="82">
        <v>66251.30655427146</v>
      </c>
      <c r="O60" s="214">
        <f t="shared" si="3"/>
        <v>2564538.2342544124</v>
      </c>
      <c r="P60" s="215">
        <f t="shared" si="4"/>
        <v>373.5127052511524</v>
      </c>
      <c r="Q60" s="81"/>
      <c r="R60" s="223">
        <v>44100000</v>
      </c>
      <c r="S60" s="156">
        <v>22409804.58715741</v>
      </c>
      <c r="T60" s="156">
        <v>1950989.3641970253</v>
      </c>
      <c r="U60" s="156">
        <v>16990997.789973058</v>
      </c>
      <c r="V60" s="156">
        <v>4134059.926365534</v>
      </c>
      <c r="W60" s="156">
        <v>1920817.6988675888</v>
      </c>
      <c r="X60" s="214">
        <f t="shared" si="5"/>
        <v>3306669.3665606156</v>
      </c>
      <c r="Y60" s="215">
        <f t="shared" si="6"/>
        <v>481.60054858150534</v>
      </c>
      <c r="Z60" s="81"/>
      <c r="AA60" s="94">
        <f t="shared" si="7"/>
        <v>-742131.1323062032</v>
      </c>
      <c r="AB60" s="153">
        <f t="shared" si="8"/>
        <v>-108.08784333035294</v>
      </c>
      <c r="AD60" s="216"/>
      <c r="AE60" s="224"/>
      <c r="AF60" s="224"/>
      <c r="AG60" s="224"/>
      <c r="AH60" s="225"/>
      <c r="AJ60" s="81">
        <f t="shared" si="9"/>
        <v>12141079.241065755</v>
      </c>
      <c r="AK60" s="81">
        <f t="shared" si="10"/>
        <v>650329.7880656752</v>
      </c>
      <c r="AL60" s="81">
        <f t="shared" si="11"/>
        <v>13819990.50442999</v>
      </c>
      <c r="AM60" s="81">
        <f t="shared" si="17"/>
        <v>28137097.740208767</v>
      </c>
      <c r="AN60" s="81">
        <f t="shared" si="12"/>
        <v>0</v>
      </c>
      <c r="AO60" s="81">
        <f t="shared" si="13"/>
        <v>0</v>
      </c>
      <c r="AP60" s="81">
        <f t="shared" si="14"/>
        <v>0</v>
      </c>
      <c r="AQ60" s="81">
        <f t="shared" si="15"/>
        <v>0</v>
      </c>
      <c r="AR60" s="81">
        <f t="shared" si="16"/>
        <v>0</v>
      </c>
      <c r="AS60" s="82">
        <v>2185</v>
      </c>
      <c r="AT60" s="82">
        <v>98</v>
      </c>
      <c r="AU60" s="82"/>
      <c r="AV60" s="82">
        <v>98</v>
      </c>
      <c r="AW60" s="82">
        <f>10953901.0423717*(0.001)</f>
        <v>10953.90104237174</v>
      </c>
      <c r="AX60" s="82">
        <v>-2514.4370631028523</v>
      </c>
      <c r="AY60" s="82">
        <v>2915.062576426575</v>
      </c>
      <c r="AZ60" s="408"/>
      <c r="BA60" s="81"/>
      <c r="BB60" s="81"/>
      <c r="BC60" s="81"/>
      <c r="BD60" s="81"/>
      <c r="BE60" s="81"/>
      <c r="BF60" s="81"/>
      <c r="BG60" s="81"/>
      <c r="BO60" s="114"/>
    </row>
    <row r="61" spans="1:67" ht="12.75">
      <c r="A61" s="81">
        <v>145</v>
      </c>
      <c r="B61" s="81" t="s">
        <v>184</v>
      </c>
      <c r="C61" s="81">
        <v>14</v>
      </c>
      <c r="D61" s="81">
        <v>12294</v>
      </c>
      <c r="E61" s="100">
        <v>33469186.289263107</v>
      </c>
      <c r="F61" s="81">
        <v>17423474.966143016</v>
      </c>
      <c r="G61" s="81">
        <v>2826279.4421157157</v>
      </c>
      <c r="H61" s="81">
        <v>1399705.6113818088</v>
      </c>
      <c r="I61" s="156">
        <v>11590167.40970983</v>
      </c>
      <c r="J61" s="156">
        <v>1917556.537877717</v>
      </c>
      <c r="K61" s="81">
        <v>1988578.0990081255</v>
      </c>
      <c r="L61" s="81">
        <v>-414065</v>
      </c>
      <c r="M61" s="82">
        <v>-434500</v>
      </c>
      <c r="N61" s="82">
        <v>121277.54932970722</v>
      </c>
      <c r="O61" s="214">
        <f t="shared" si="3"/>
        <v>2949288.3263028115</v>
      </c>
      <c r="P61" s="215">
        <f t="shared" si="4"/>
        <v>239.89656143670177</v>
      </c>
      <c r="Q61" s="81"/>
      <c r="R61" s="223">
        <v>76293121</v>
      </c>
      <c r="S61" s="156">
        <v>40139171.53163551</v>
      </c>
      <c r="T61" s="156">
        <v>2099558.4170727134</v>
      </c>
      <c r="U61" s="156">
        <v>28823813.510239847</v>
      </c>
      <c r="V61" s="156">
        <v>6507078.922331396</v>
      </c>
      <c r="W61" s="156">
        <v>1977714.4421157157</v>
      </c>
      <c r="X61" s="214">
        <f t="shared" si="5"/>
        <v>3254215.8233951777</v>
      </c>
      <c r="Y61" s="215">
        <f t="shared" si="6"/>
        <v>264.6995138600275</v>
      </c>
      <c r="Z61" s="81"/>
      <c r="AA61" s="94">
        <f t="shared" si="7"/>
        <v>-304927.4970923662</v>
      </c>
      <c r="AB61" s="153">
        <f t="shared" si="8"/>
        <v>-24.802952423325706</v>
      </c>
      <c r="AD61" s="216"/>
      <c r="AE61" s="224"/>
      <c r="AF61" s="224"/>
      <c r="AG61" s="224"/>
      <c r="AH61" s="225"/>
      <c r="AJ61" s="81">
        <f t="shared" si="9"/>
        <v>22715696.565492492</v>
      </c>
      <c r="AK61" s="81">
        <f t="shared" si="10"/>
        <v>699852.8056909046</v>
      </c>
      <c r="AL61" s="81">
        <f t="shared" si="11"/>
        <v>17233646.100530017</v>
      </c>
      <c r="AM61" s="81">
        <f t="shared" si="17"/>
        <v>42823934.71073689</v>
      </c>
      <c r="AN61" s="81">
        <f t="shared" si="12"/>
        <v>0</v>
      </c>
      <c r="AO61" s="81">
        <f t="shared" si="13"/>
        <v>0</v>
      </c>
      <c r="AP61" s="81">
        <f t="shared" si="14"/>
        <v>0</v>
      </c>
      <c r="AQ61" s="81">
        <f t="shared" si="15"/>
        <v>0</v>
      </c>
      <c r="AR61" s="81">
        <f t="shared" si="16"/>
        <v>0</v>
      </c>
      <c r="AS61" s="82">
        <v>3135</v>
      </c>
      <c r="AT61" s="82">
        <v>29</v>
      </c>
      <c r="AU61" s="82"/>
      <c r="AV61" s="82">
        <v>29</v>
      </c>
      <c r="AW61" s="82">
        <f>14407704.7743513*(0.001)</f>
        <v>14407.70477435131</v>
      </c>
      <c r="AX61" s="82">
        <v>-3852.3861653128392</v>
      </c>
      <c r="AY61" s="82">
        <v>4589.522384453679</v>
      </c>
      <c r="AZ61" s="408"/>
      <c r="BA61" s="81"/>
      <c r="BB61" s="81"/>
      <c r="BC61" s="81"/>
      <c r="BD61" s="81"/>
      <c r="BE61" s="81"/>
      <c r="BF61" s="81"/>
      <c r="BG61" s="81"/>
      <c r="BO61" s="114"/>
    </row>
    <row r="62" spans="1:67" ht="12.75">
      <c r="A62" s="81">
        <v>146</v>
      </c>
      <c r="B62" s="81" t="s">
        <v>185</v>
      </c>
      <c r="C62" s="81">
        <v>12</v>
      </c>
      <c r="D62" s="81">
        <v>4749</v>
      </c>
      <c r="E62" s="100">
        <v>13861345.782287713</v>
      </c>
      <c r="F62" s="81">
        <v>6205904.519940358</v>
      </c>
      <c r="G62" s="81">
        <v>1500036.7827205032</v>
      </c>
      <c r="H62" s="81">
        <v>2140295.4136393964</v>
      </c>
      <c r="I62" s="156">
        <v>2640651.1708753444</v>
      </c>
      <c r="J62" s="156">
        <v>963588.9896484134</v>
      </c>
      <c r="K62" s="81">
        <v>2299789.9373779665</v>
      </c>
      <c r="L62" s="81">
        <v>-231026</v>
      </c>
      <c r="M62" s="82">
        <v>259886</v>
      </c>
      <c r="N62" s="82">
        <v>47917.17964559994</v>
      </c>
      <c r="O62" s="214">
        <f t="shared" si="3"/>
        <v>1965698.2115598675</v>
      </c>
      <c r="P62" s="215">
        <f t="shared" si="4"/>
        <v>413.9183431374747</v>
      </c>
      <c r="Q62" s="81"/>
      <c r="R62" s="223">
        <v>38754732</v>
      </c>
      <c r="S62" s="156">
        <v>14387321.442523764</v>
      </c>
      <c r="T62" s="156">
        <v>3210443.1204590946</v>
      </c>
      <c r="U62" s="156">
        <v>19639330.95663271</v>
      </c>
      <c r="V62" s="156">
        <v>3256638.171027781</v>
      </c>
      <c r="W62" s="156">
        <v>1528896.7827205032</v>
      </c>
      <c r="X62" s="214">
        <f t="shared" si="5"/>
        <v>3267898.473363854</v>
      </c>
      <c r="Y62" s="215">
        <f t="shared" si="6"/>
        <v>688.1234940753535</v>
      </c>
      <c r="Z62" s="81"/>
      <c r="AA62" s="94">
        <f t="shared" si="7"/>
        <v>-1302200.2618039865</v>
      </c>
      <c r="AB62" s="153">
        <f t="shared" si="8"/>
        <v>-274.20515093787884</v>
      </c>
      <c r="AD62" s="216"/>
      <c r="AE62" s="224"/>
      <c r="AF62" s="224"/>
      <c r="AG62" s="224"/>
      <c r="AH62" s="225"/>
      <c r="AJ62" s="81">
        <f t="shared" si="9"/>
        <v>8181416.922583407</v>
      </c>
      <c r="AK62" s="81">
        <f t="shared" si="10"/>
        <v>1070147.7068196982</v>
      </c>
      <c r="AL62" s="81">
        <f t="shared" si="11"/>
        <v>16998679.785757367</v>
      </c>
      <c r="AM62" s="81">
        <f t="shared" si="17"/>
        <v>24893386.217712287</v>
      </c>
      <c r="AN62" s="81">
        <f t="shared" si="12"/>
        <v>0</v>
      </c>
      <c r="AO62" s="81">
        <f t="shared" si="13"/>
        <v>0</v>
      </c>
      <c r="AP62" s="81">
        <f t="shared" si="14"/>
        <v>0</v>
      </c>
      <c r="AQ62" s="81">
        <f t="shared" si="15"/>
        <v>0</v>
      </c>
      <c r="AR62" s="81">
        <f t="shared" si="16"/>
        <v>0</v>
      </c>
      <c r="AS62" s="82">
        <v>1903</v>
      </c>
      <c r="AT62" s="82">
        <v>1</v>
      </c>
      <c r="AU62" s="82"/>
      <c r="AV62" s="82">
        <v>1</v>
      </c>
      <c r="AW62" s="82">
        <f>15655924.163068*(0.001)</f>
        <v>15655.924163067986</v>
      </c>
      <c r="AX62" s="82">
        <v>-1575.9325603347004</v>
      </c>
      <c r="AY62" s="82">
        <v>2293.0491813793674</v>
      </c>
      <c r="AZ62" s="408"/>
      <c r="BA62" s="81"/>
      <c r="BB62" s="81"/>
      <c r="BC62" s="81"/>
      <c r="BD62" s="81"/>
      <c r="BE62" s="81"/>
      <c r="BF62" s="81"/>
      <c r="BG62" s="81"/>
      <c r="BO62" s="114"/>
    </row>
    <row r="63" spans="1:67" ht="12.75">
      <c r="A63" s="81">
        <v>148</v>
      </c>
      <c r="B63" s="81" t="s">
        <v>187</v>
      </c>
      <c r="C63" s="81">
        <v>19</v>
      </c>
      <c r="D63" s="81">
        <v>6862</v>
      </c>
      <c r="E63" s="100">
        <v>24002924.648308422</v>
      </c>
      <c r="F63" s="81">
        <v>8154845.613497175</v>
      </c>
      <c r="G63" s="81">
        <v>4792467.293901901</v>
      </c>
      <c r="H63" s="81">
        <v>2103041.0177834244</v>
      </c>
      <c r="I63" s="156">
        <v>7566384.386787865</v>
      </c>
      <c r="J63" s="156">
        <v>1058253.6171378666</v>
      </c>
      <c r="K63" s="81">
        <v>-645585.4974188969</v>
      </c>
      <c r="L63" s="81">
        <v>-706584</v>
      </c>
      <c r="M63" s="82">
        <v>881000</v>
      </c>
      <c r="N63" s="82">
        <v>78152.28356458448</v>
      </c>
      <c r="O63" s="214">
        <f t="shared" si="3"/>
        <v>-720949.933054503</v>
      </c>
      <c r="P63" s="215">
        <f t="shared" si="4"/>
        <v>-105.06411149147523</v>
      </c>
      <c r="Q63" s="81"/>
      <c r="R63" s="223">
        <v>57451784</v>
      </c>
      <c r="S63" s="156">
        <v>22192504.135608483</v>
      </c>
      <c r="T63" s="156">
        <v>3154561.5266751368</v>
      </c>
      <c r="U63" s="156">
        <v>24334861.07334023</v>
      </c>
      <c r="V63" s="156">
        <v>3604869.1291798046</v>
      </c>
      <c r="W63" s="156">
        <v>4966883.293901901</v>
      </c>
      <c r="X63" s="214">
        <f t="shared" si="5"/>
        <v>801895.1587055475</v>
      </c>
      <c r="Y63" s="215">
        <f t="shared" si="6"/>
        <v>116.86026795475772</v>
      </c>
      <c r="Z63" s="81"/>
      <c r="AA63" s="94">
        <f t="shared" si="7"/>
        <v>-1522845.0917600505</v>
      </c>
      <c r="AB63" s="153">
        <f t="shared" si="8"/>
        <v>-221.92437944623296</v>
      </c>
      <c r="AD63" s="216"/>
      <c r="AE63" s="224"/>
      <c r="AF63" s="224"/>
      <c r="AG63" s="224"/>
      <c r="AH63" s="225"/>
      <c r="AJ63" s="81">
        <f t="shared" si="9"/>
        <v>14037658.522111308</v>
      </c>
      <c r="AK63" s="81">
        <f t="shared" si="10"/>
        <v>1051520.5088917124</v>
      </c>
      <c r="AL63" s="81">
        <f t="shared" si="11"/>
        <v>16768476.686552364</v>
      </c>
      <c r="AM63" s="81">
        <f t="shared" si="17"/>
        <v>33448859.351691578</v>
      </c>
      <c r="AN63" s="81">
        <f t="shared" si="12"/>
        <v>0</v>
      </c>
      <c r="AO63" s="81">
        <f t="shared" si="13"/>
        <v>0</v>
      </c>
      <c r="AP63" s="81">
        <f t="shared" si="14"/>
        <v>0</v>
      </c>
      <c r="AQ63" s="81">
        <f t="shared" si="15"/>
        <v>0</v>
      </c>
      <c r="AR63" s="81">
        <f t="shared" si="16"/>
        <v>0</v>
      </c>
      <c r="AS63" s="82">
        <v>2056</v>
      </c>
      <c r="AT63" s="82">
        <v>185</v>
      </c>
      <c r="AU63" s="82">
        <v>4</v>
      </c>
      <c r="AV63" s="82">
        <v>189</v>
      </c>
      <c r="AW63" s="82">
        <f>14121152.2925672*(0.001)</f>
        <v>14121.152292567183</v>
      </c>
      <c r="AX63" s="82">
        <v>-697.2445772165958</v>
      </c>
      <c r="AY63" s="82">
        <v>2546.615512041938</v>
      </c>
      <c r="AZ63" s="408"/>
      <c r="BA63" s="81"/>
      <c r="BB63" s="81"/>
      <c r="BC63" s="81"/>
      <c r="BD63" s="81"/>
      <c r="BE63" s="81"/>
      <c r="BF63" s="81"/>
      <c r="BG63" s="81"/>
      <c r="BO63" s="114"/>
    </row>
    <row r="64" spans="1:67" ht="12.75">
      <c r="A64" s="81">
        <v>149</v>
      </c>
      <c r="B64" s="81" t="s">
        <v>188</v>
      </c>
      <c r="C64" s="81">
        <v>1</v>
      </c>
      <c r="D64" s="81">
        <v>5321</v>
      </c>
      <c r="E64" s="100">
        <v>15488430.352451865</v>
      </c>
      <c r="F64" s="81">
        <v>10370352.244733714</v>
      </c>
      <c r="G64" s="81">
        <v>2989115.812702865</v>
      </c>
      <c r="H64" s="81">
        <v>955578.2537972775</v>
      </c>
      <c r="I64" s="156">
        <v>2333044.2971651005</v>
      </c>
      <c r="J64" s="156">
        <v>740261.6177819821</v>
      </c>
      <c r="K64" s="81">
        <v>871724.7783923568</v>
      </c>
      <c r="L64" s="81">
        <v>-1048754</v>
      </c>
      <c r="M64" s="82">
        <v>-60000</v>
      </c>
      <c r="N64" s="82">
        <v>79390.28344072301</v>
      </c>
      <c r="O64" s="214">
        <f t="shared" si="3"/>
        <v>1742282.9355621524</v>
      </c>
      <c r="P64" s="215">
        <f t="shared" si="4"/>
        <v>327.4352444206263</v>
      </c>
      <c r="Q64" s="81"/>
      <c r="R64" s="223">
        <v>35116165</v>
      </c>
      <c r="S64" s="156">
        <v>25220767.81666745</v>
      </c>
      <c r="T64" s="156">
        <v>1433367.3806959162</v>
      </c>
      <c r="U64" s="156">
        <v>6363540.516448058</v>
      </c>
      <c r="V64" s="156">
        <v>2539556.867459408</v>
      </c>
      <c r="W64" s="156">
        <v>1880361.8127028649</v>
      </c>
      <c r="X64" s="214">
        <f t="shared" si="5"/>
        <v>2321429.3939736933</v>
      </c>
      <c r="Y64" s="215">
        <f t="shared" si="6"/>
        <v>436.2769017052609</v>
      </c>
      <c r="Z64" s="81"/>
      <c r="AA64" s="94">
        <f t="shared" si="7"/>
        <v>-579146.4584115408</v>
      </c>
      <c r="AB64" s="153">
        <f t="shared" si="8"/>
        <v>-108.84165728463462</v>
      </c>
      <c r="AD64" s="216"/>
      <c r="AE64" s="224"/>
      <c r="AF64" s="224"/>
      <c r="AG64" s="224"/>
      <c r="AH64" s="225"/>
      <c r="AJ64" s="81">
        <f t="shared" si="9"/>
        <v>14850415.571933735</v>
      </c>
      <c r="AK64" s="81">
        <f t="shared" si="10"/>
        <v>477789.1268986388</v>
      </c>
      <c r="AL64" s="81">
        <f t="shared" si="11"/>
        <v>4030496.2192829577</v>
      </c>
      <c r="AM64" s="81">
        <f t="shared" si="17"/>
        <v>19627734.647548135</v>
      </c>
      <c r="AN64" s="81">
        <f t="shared" si="12"/>
        <v>0</v>
      </c>
      <c r="AO64" s="81">
        <f t="shared" si="13"/>
        <v>0</v>
      </c>
      <c r="AP64" s="81">
        <f t="shared" si="14"/>
        <v>0</v>
      </c>
      <c r="AQ64" s="81">
        <f t="shared" si="15"/>
        <v>0</v>
      </c>
      <c r="AR64" s="81">
        <f t="shared" si="16"/>
        <v>0</v>
      </c>
      <c r="AS64" s="82">
        <v>1563</v>
      </c>
      <c r="AT64" s="82"/>
      <c r="AU64" s="82"/>
      <c r="AV64" s="82">
        <v>0</v>
      </c>
      <c r="AW64" s="82">
        <f>5032873.74570538*(0.001)</f>
        <v>5032.873745705378</v>
      </c>
      <c r="AX64" s="82">
        <v>997.927180846909</v>
      </c>
      <c r="AY64" s="82">
        <v>1799.295249677426</v>
      </c>
      <c r="AZ64" s="408"/>
      <c r="BA64" s="81"/>
      <c r="BB64" s="81"/>
      <c r="BC64" s="81"/>
      <c r="BD64" s="81"/>
      <c r="BE64" s="81"/>
      <c r="BF64" s="81"/>
      <c r="BG64" s="81"/>
      <c r="BO64" s="114"/>
    </row>
    <row r="65" spans="1:67" ht="12.75">
      <c r="A65" s="81">
        <v>151</v>
      </c>
      <c r="B65" s="81" t="s">
        <v>189</v>
      </c>
      <c r="C65" s="81">
        <v>14</v>
      </c>
      <c r="D65" s="81">
        <v>1925</v>
      </c>
      <c r="E65" s="100">
        <v>4390683.219073728</v>
      </c>
      <c r="F65" s="81">
        <v>2832993.0201653023</v>
      </c>
      <c r="G65" s="81">
        <v>458073.38714805286</v>
      </c>
      <c r="H65" s="81">
        <v>600311.3171113129</v>
      </c>
      <c r="I65" s="156">
        <v>1143705.7807083062</v>
      </c>
      <c r="J65" s="156">
        <v>459918.5831650328</v>
      </c>
      <c r="K65" s="81">
        <v>163332.13297995896</v>
      </c>
      <c r="L65" s="81">
        <v>-499359</v>
      </c>
      <c r="M65" s="82">
        <v>-11443</v>
      </c>
      <c r="N65" s="82">
        <v>17545.305878091098</v>
      </c>
      <c r="O65" s="214">
        <f t="shared" si="3"/>
        <v>774394.3080823291</v>
      </c>
      <c r="P65" s="215">
        <f t="shared" si="4"/>
        <v>402.28275744536575</v>
      </c>
      <c r="Q65" s="81"/>
      <c r="R65" s="223">
        <v>14585803</v>
      </c>
      <c r="S65" s="156">
        <v>5920380.878869042</v>
      </c>
      <c r="T65" s="156">
        <v>900466.9756669694</v>
      </c>
      <c r="U65" s="156">
        <v>7021586.245500855</v>
      </c>
      <c r="V65" s="156">
        <v>1549604.4026595724</v>
      </c>
      <c r="W65" s="156">
        <v>-52728.61285194714</v>
      </c>
      <c r="X65" s="214">
        <f t="shared" si="5"/>
        <v>753506.8898444921</v>
      </c>
      <c r="Y65" s="215">
        <f t="shared" si="6"/>
        <v>391.4321505685673</v>
      </c>
      <c r="Z65" s="81"/>
      <c r="AA65" s="94">
        <f t="shared" si="7"/>
        <v>20887.41823783703</v>
      </c>
      <c r="AB65" s="153">
        <f t="shared" si="8"/>
        <v>10.850606876798459</v>
      </c>
      <c r="AD65" s="216"/>
      <c r="AE65" s="224"/>
      <c r="AF65" s="224"/>
      <c r="AG65" s="224"/>
      <c r="AH65" s="225"/>
      <c r="AJ65" s="81">
        <f t="shared" si="9"/>
        <v>3087387.8587037395</v>
      </c>
      <c r="AK65" s="81">
        <f t="shared" si="10"/>
        <v>300155.65855565656</v>
      </c>
      <c r="AL65" s="81">
        <f t="shared" si="11"/>
        <v>5877880.464792549</v>
      </c>
      <c r="AM65" s="81">
        <f t="shared" si="17"/>
        <v>10195119.780926272</v>
      </c>
      <c r="AN65" s="81">
        <f t="shared" si="12"/>
        <v>0</v>
      </c>
      <c r="AO65" s="81">
        <f t="shared" si="13"/>
        <v>0</v>
      </c>
      <c r="AP65" s="81">
        <f t="shared" si="14"/>
        <v>0</v>
      </c>
      <c r="AQ65" s="81">
        <f t="shared" si="15"/>
        <v>0</v>
      </c>
      <c r="AR65" s="81">
        <f t="shared" si="16"/>
        <v>0</v>
      </c>
      <c r="AS65" s="82">
        <v>493</v>
      </c>
      <c r="AT65" s="82"/>
      <c r="AU65" s="82"/>
      <c r="AV65" s="82">
        <v>0</v>
      </c>
      <c r="AW65" s="82">
        <f>5135152.8468168*(0.001)</f>
        <v>5135.1528468168</v>
      </c>
      <c r="AX65" s="82">
        <v>-873.3883686315143</v>
      </c>
      <c r="AY65" s="82">
        <v>1089.6858194945396</v>
      </c>
      <c r="AZ65" s="408"/>
      <c r="BA65" s="81"/>
      <c r="BB65" s="81"/>
      <c r="BC65" s="81"/>
      <c r="BD65" s="81"/>
      <c r="BE65" s="81"/>
      <c r="BF65" s="81"/>
      <c r="BG65" s="81"/>
      <c r="BO65" s="114"/>
    </row>
    <row r="66" spans="1:67" ht="12.75">
      <c r="A66" s="81">
        <v>152</v>
      </c>
      <c r="B66" s="81" t="s">
        <v>190</v>
      </c>
      <c r="C66" s="81">
        <v>14</v>
      </c>
      <c r="D66" s="81">
        <v>4471</v>
      </c>
      <c r="E66" s="100">
        <v>13089322.997674974</v>
      </c>
      <c r="F66" s="81">
        <v>6123088.077567556</v>
      </c>
      <c r="G66" s="81">
        <v>920075.4778571653</v>
      </c>
      <c r="H66" s="81">
        <v>517366.94200646895</v>
      </c>
      <c r="I66" s="156">
        <v>3624114.7558825375</v>
      </c>
      <c r="J66" s="156">
        <v>841038.128778334</v>
      </c>
      <c r="K66" s="81">
        <v>1032365.372928998</v>
      </c>
      <c r="L66" s="81">
        <v>-112382</v>
      </c>
      <c r="M66" s="82">
        <v>50500</v>
      </c>
      <c r="N66" s="82">
        <v>39898.56179487425</v>
      </c>
      <c r="O66" s="214">
        <f t="shared" si="3"/>
        <v>-53257.68085904047</v>
      </c>
      <c r="P66" s="215">
        <f t="shared" si="4"/>
        <v>-11.911805157468233</v>
      </c>
      <c r="Q66" s="81"/>
      <c r="R66" s="223">
        <v>29690866</v>
      </c>
      <c r="S66" s="156">
        <v>13567782.096549962</v>
      </c>
      <c r="T66" s="156">
        <v>776050.4130097035</v>
      </c>
      <c r="U66" s="156">
        <v>11894154.26099093</v>
      </c>
      <c r="V66" s="156">
        <v>2844972.705232844</v>
      </c>
      <c r="W66" s="156">
        <v>858193.4778571653</v>
      </c>
      <c r="X66" s="214">
        <f t="shared" si="5"/>
        <v>250286.95364060625</v>
      </c>
      <c r="Y66" s="215">
        <f t="shared" si="6"/>
        <v>55.98008356980681</v>
      </c>
      <c r="Z66" s="81"/>
      <c r="AA66" s="94">
        <f t="shared" si="7"/>
        <v>-303544.6344996467</v>
      </c>
      <c r="AB66" s="153">
        <f t="shared" si="8"/>
        <v>-67.89188872727505</v>
      </c>
      <c r="AD66" s="216"/>
      <c r="AE66" s="224"/>
      <c r="AF66" s="224"/>
      <c r="AG66" s="224"/>
      <c r="AH66" s="225"/>
      <c r="AJ66" s="81">
        <f t="shared" si="9"/>
        <v>7444694.018982406</v>
      </c>
      <c r="AK66" s="81">
        <f t="shared" si="10"/>
        <v>258683.47100323456</v>
      </c>
      <c r="AL66" s="81">
        <f t="shared" si="11"/>
        <v>8270039.505108394</v>
      </c>
      <c r="AM66" s="81">
        <f t="shared" si="17"/>
        <v>16601543.002325026</v>
      </c>
      <c r="AN66" s="81">
        <f t="shared" si="12"/>
        <v>0</v>
      </c>
      <c r="AO66" s="81">
        <f t="shared" si="13"/>
        <v>0</v>
      </c>
      <c r="AP66" s="81">
        <f t="shared" si="14"/>
        <v>0</v>
      </c>
      <c r="AQ66" s="81">
        <f t="shared" si="15"/>
        <v>0</v>
      </c>
      <c r="AR66" s="81">
        <f t="shared" si="16"/>
        <v>0</v>
      </c>
      <c r="AS66" s="82">
        <v>1265</v>
      </c>
      <c r="AT66" s="82">
        <v>44</v>
      </c>
      <c r="AU66" s="82">
        <v>4</v>
      </c>
      <c r="AV66" s="82">
        <v>48</v>
      </c>
      <c r="AW66" s="82">
        <f>6880305.22231862*(0.001)</f>
        <v>6880.3052223186205</v>
      </c>
      <c r="AX66" s="82">
        <v>-1776.4892951111678</v>
      </c>
      <c r="AY66" s="82">
        <v>2003.9345764545103</v>
      </c>
      <c r="AZ66" s="408"/>
      <c r="BA66" s="81"/>
      <c r="BB66" s="81"/>
      <c r="BC66" s="81"/>
      <c r="BD66" s="81"/>
      <c r="BE66" s="81"/>
      <c r="BF66" s="81"/>
      <c r="BG66" s="81"/>
      <c r="BO66" s="114"/>
    </row>
    <row r="67" spans="1:67" ht="12.75">
      <c r="A67" s="81">
        <v>153</v>
      </c>
      <c r="B67" s="81" t="s">
        <v>186</v>
      </c>
      <c r="C67" s="81">
        <v>9</v>
      </c>
      <c r="D67" s="81">
        <v>26075</v>
      </c>
      <c r="E67" s="100">
        <v>65375262.84661789</v>
      </c>
      <c r="F67" s="81">
        <v>35406844.53238191</v>
      </c>
      <c r="G67" s="81">
        <v>12616513.708019402</v>
      </c>
      <c r="H67" s="81">
        <v>2530497.0349078528</v>
      </c>
      <c r="I67" s="156">
        <v>7333162.2690492775</v>
      </c>
      <c r="J67" s="156">
        <v>3559913.085643325</v>
      </c>
      <c r="K67" s="81">
        <v>3699347.550625129</v>
      </c>
      <c r="L67" s="81">
        <v>-1504916</v>
      </c>
      <c r="M67" s="82">
        <v>-584955</v>
      </c>
      <c r="N67" s="82">
        <v>282666.78335901693</v>
      </c>
      <c r="O67" s="214">
        <f t="shared" si="3"/>
        <v>-2036188.8826319799</v>
      </c>
      <c r="P67" s="215">
        <f t="shared" si="4"/>
        <v>-78.08969827927056</v>
      </c>
      <c r="Q67" s="81"/>
      <c r="R67" s="223">
        <v>174967801</v>
      </c>
      <c r="S67" s="156">
        <v>88717220.75271589</v>
      </c>
      <c r="T67" s="156">
        <v>3795745.55236178</v>
      </c>
      <c r="U67" s="156">
        <v>61053593.1102995</v>
      </c>
      <c r="V67" s="156">
        <v>12166238.239598041</v>
      </c>
      <c r="W67" s="156">
        <v>10526642.708019402</v>
      </c>
      <c r="X67" s="214">
        <f t="shared" si="5"/>
        <v>1291639.3629946113</v>
      </c>
      <c r="Y67" s="215">
        <f t="shared" si="6"/>
        <v>49.535546040061796</v>
      </c>
      <c r="Z67" s="81"/>
      <c r="AA67" s="94">
        <f t="shared" si="7"/>
        <v>-3327828.245626591</v>
      </c>
      <c r="AB67" s="153">
        <f t="shared" si="8"/>
        <v>-127.62524431933235</v>
      </c>
      <c r="AD67" s="216"/>
      <c r="AE67" s="224"/>
      <c r="AF67" s="224"/>
      <c r="AG67" s="224"/>
      <c r="AH67" s="225"/>
      <c r="AJ67" s="81">
        <f t="shared" si="9"/>
        <v>53310376.22033398</v>
      </c>
      <c r="AK67" s="81">
        <f t="shared" si="10"/>
        <v>1265248.517453927</v>
      </c>
      <c r="AL67" s="81">
        <f t="shared" si="11"/>
        <v>53720430.84125022</v>
      </c>
      <c r="AM67" s="81">
        <f t="shared" si="17"/>
        <v>109592538.15338211</v>
      </c>
      <c r="AN67" s="81">
        <f t="shared" si="12"/>
        <v>0</v>
      </c>
      <c r="AO67" s="81">
        <f t="shared" si="13"/>
        <v>0</v>
      </c>
      <c r="AP67" s="81">
        <f t="shared" si="14"/>
        <v>0</v>
      </c>
      <c r="AQ67" s="81">
        <f t="shared" si="15"/>
        <v>0</v>
      </c>
      <c r="AR67" s="81">
        <f t="shared" si="16"/>
        <v>0</v>
      </c>
      <c r="AS67" s="82">
        <v>11611</v>
      </c>
      <c r="AT67" s="82">
        <v>367</v>
      </c>
      <c r="AU67" s="82"/>
      <c r="AV67" s="82">
        <v>367</v>
      </c>
      <c r="AW67" s="82">
        <f>49738609.9975713*(0.001)</f>
        <v>49738.609997571264</v>
      </c>
      <c r="AX67" s="82">
        <v>-3132.215327644457</v>
      </c>
      <c r="AY67" s="82">
        <v>8606.325153954716</v>
      </c>
      <c r="AZ67" s="408"/>
      <c r="BA67" s="81"/>
      <c r="BB67" s="81"/>
      <c r="BC67" s="81"/>
      <c r="BD67" s="81"/>
      <c r="BE67" s="81"/>
      <c r="BF67" s="81"/>
      <c r="BG67" s="81"/>
      <c r="BO67" s="114"/>
    </row>
    <row r="68" spans="1:67" ht="12.75">
      <c r="A68" s="81">
        <v>165</v>
      </c>
      <c r="B68" s="81" t="s">
        <v>191</v>
      </c>
      <c r="C68" s="81">
        <v>5</v>
      </c>
      <c r="D68" s="81">
        <v>16237</v>
      </c>
      <c r="E68" s="100">
        <v>39162128.61443345</v>
      </c>
      <c r="F68" s="81">
        <v>26280219.856424563</v>
      </c>
      <c r="G68" s="81">
        <v>3807634.6525885137</v>
      </c>
      <c r="H68" s="81">
        <v>1734456.1014471366</v>
      </c>
      <c r="I68" s="156">
        <v>8763810.514641622</v>
      </c>
      <c r="J68" s="156">
        <v>2198653.013109604</v>
      </c>
      <c r="K68" s="81">
        <v>553346.6789035659</v>
      </c>
      <c r="L68" s="81">
        <v>-2232952</v>
      </c>
      <c r="M68" s="82">
        <v>-167800</v>
      </c>
      <c r="N68" s="82">
        <v>186919.47215102997</v>
      </c>
      <c r="O68" s="214">
        <f t="shared" si="3"/>
        <v>1962159.6748325825</v>
      </c>
      <c r="P68" s="215">
        <f t="shared" si="4"/>
        <v>120.84496365292742</v>
      </c>
      <c r="Q68" s="81"/>
      <c r="R68" s="223">
        <v>96474103.34</v>
      </c>
      <c r="S68" s="156">
        <v>61502294.011908</v>
      </c>
      <c r="T68" s="156">
        <v>2601684.152170705</v>
      </c>
      <c r="U68" s="156">
        <v>25321949.022046026</v>
      </c>
      <c r="V68" s="156">
        <v>7510358.212489317</v>
      </c>
      <c r="W68" s="156">
        <v>1406882.6525885137</v>
      </c>
      <c r="X68" s="214">
        <f t="shared" si="5"/>
        <v>1869064.7112025619</v>
      </c>
      <c r="Y68" s="215">
        <f t="shared" si="6"/>
        <v>115.111456008041</v>
      </c>
      <c r="Z68" s="81"/>
      <c r="AA68" s="94">
        <f t="shared" si="7"/>
        <v>93094.96363002062</v>
      </c>
      <c r="AB68" s="153">
        <f t="shared" si="8"/>
        <v>5.733507644886409</v>
      </c>
      <c r="AD68" s="216"/>
      <c r="AE68" s="224"/>
      <c r="AF68" s="224"/>
      <c r="AG68" s="224"/>
      <c r="AH68" s="225"/>
      <c r="AJ68" s="81">
        <f t="shared" si="9"/>
        <v>35222074.15548344</v>
      </c>
      <c r="AK68" s="81">
        <f t="shared" si="10"/>
        <v>867228.0507235685</v>
      </c>
      <c r="AL68" s="81">
        <f t="shared" si="11"/>
        <v>16558138.507404404</v>
      </c>
      <c r="AM68" s="81">
        <f t="shared" si="17"/>
        <v>57311974.72556655</v>
      </c>
      <c r="AN68" s="81">
        <f t="shared" si="12"/>
        <v>0</v>
      </c>
      <c r="AO68" s="81">
        <f t="shared" si="13"/>
        <v>0</v>
      </c>
      <c r="AP68" s="81">
        <f t="shared" si="14"/>
        <v>0</v>
      </c>
      <c r="AQ68" s="81">
        <f t="shared" si="15"/>
        <v>0</v>
      </c>
      <c r="AR68" s="81">
        <f t="shared" si="16"/>
        <v>0</v>
      </c>
      <c r="AS68" s="82">
        <v>6091</v>
      </c>
      <c r="AT68" s="82">
        <v>190</v>
      </c>
      <c r="AU68" s="82"/>
      <c r="AV68" s="82">
        <v>190</v>
      </c>
      <c r="AW68" s="82">
        <f>15805090.4755813*(0.001)</f>
        <v>15805.090475581304</v>
      </c>
      <c r="AX68" s="82">
        <v>-1222.507640093333</v>
      </c>
      <c r="AY68" s="82">
        <v>5311.705199379713</v>
      </c>
      <c r="AZ68" s="408"/>
      <c r="BA68" s="81"/>
      <c r="BB68" s="81"/>
      <c r="BC68" s="81"/>
      <c r="BD68" s="81"/>
      <c r="BE68" s="81"/>
      <c r="BF68" s="81"/>
      <c r="BG68" s="81"/>
      <c r="BO68" s="114"/>
    </row>
    <row r="69" spans="1:67" ht="12.75">
      <c r="A69" s="81">
        <v>167</v>
      </c>
      <c r="B69" s="81" t="s">
        <v>192</v>
      </c>
      <c r="C69" s="81">
        <v>12</v>
      </c>
      <c r="D69" s="81">
        <v>76935</v>
      </c>
      <c r="E69" s="100">
        <v>179509214.11968648</v>
      </c>
      <c r="F69" s="81">
        <v>102533729.75586314</v>
      </c>
      <c r="G69" s="81">
        <v>22133144.503371075</v>
      </c>
      <c r="H69" s="81">
        <v>15406047.04240153</v>
      </c>
      <c r="I69" s="156">
        <v>29470370.159745127</v>
      </c>
      <c r="J69" s="156">
        <v>11435965.920833342</v>
      </c>
      <c r="K69" s="81">
        <v>2314848.568014856</v>
      </c>
      <c r="L69" s="81">
        <v>-3938792</v>
      </c>
      <c r="M69" s="82">
        <v>773000</v>
      </c>
      <c r="N69" s="82">
        <v>783828.9421948743</v>
      </c>
      <c r="O69" s="214">
        <f t="shared" si="3"/>
        <v>1402928.7727374434</v>
      </c>
      <c r="P69" s="215">
        <f t="shared" si="4"/>
        <v>18.23524758221152</v>
      </c>
      <c r="Q69" s="81"/>
      <c r="R69" s="223">
        <v>458604000</v>
      </c>
      <c r="S69" s="156">
        <v>246167745.90908402</v>
      </c>
      <c r="T69" s="156">
        <v>23109070.563602295</v>
      </c>
      <c r="U69" s="156">
        <v>136466730.72172987</v>
      </c>
      <c r="V69" s="156">
        <v>38868781.210369736</v>
      </c>
      <c r="W69" s="156">
        <v>18967352.503371075</v>
      </c>
      <c r="X69" s="214">
        <f t="shared" si="5"/>
        <v>4975680.908156991</v>
      </c>
      <c r="Y69" s="215">
        <f t="shared" si="6"/>
        <v>64.67382736279964</v>
      </c>
      <c r="Z69" s="81"/>
      <c r="AA69" s="94">
        <f t="shared" si="7"/>
        <v>-3572752.1354195476</v>
      </c>
      <c r="AB69" s="153">
        <f t="shared" si="8"/>
        <v>-46.43857978058813</v>
      </c>
      <c r="AD69" s="216"/>
      <c r="AE69" s="224"/>
      <c r="AF69" s="224"/>
      <c r="AG69" s="224"/>
      <c r="AH69" s="225"/>
      <c r="AJ69" s="81">
        <f t="shared" si="9"/>
        <v>143634016.1532209</v>
      </c>
      <c r="AK69" s="81">
        <f t="shared" si="10"/>
        <v>7703023.521200765</v>
      </c>
      <c r="AL69" s="81">
        <f t="shared" si="11"/>
        <v>106996360.56198475</v>
      </c>
      <c r="AM69" s="81">
        <f t="shared" si="17"/>
        <v>279094785.8803135</v>
      </c>
      <c r="AN69" s="81">
        <f t="shared" si="12"/>
        <v>0</v>
      </c>
      <c r="AO69" s="81">
        <f t="shared" si="13"/>
        <v>0</v>
      </c>
      <c r="AP69" s="81">
        <f t="shared" si="14"/>
        <v>0</v>
      </c>
      <c r="AQ69" s="81">
        <f t="shared" si="15"/>
        <v>0</v>
      </c>
      <c r="AR69" s="81">
        <f t="shared" si="16"/>
        <v>0</v>
      </c>
      <c r="AS69" s="82">
        <v>35429</v>
      </c>
      <c r="AT69" s="82"/>
      <c r="AU69" s="82"/>
      <c r="AV69" s="82">
        <v>0</v>
      </c>
      <c r="AW69" s="82">
        <f>82907135.2801681*(0.001)</f>
        <v>82907.13528016812</v>
      </c>
      <c r="AX69" s="82">
        <v>-22095.08538431061</v>
      </c>
      <c r="AY69" s="82">
        <v>27432.815289536393</v>
      </c>
      <c r="AZ69" s="408"/>
      <c r="BA69" s="81"/>
      <c r="BB69" s="81"/>
      <c r="BC69" s="81"/>
      <c r="BD69" s="81"/>
      <c r="BE69" s="81"/>
      <c r="BF69" s="81"/>
      <c r="BG69" s="81"/>
      <c r="BO69" s="114"/>
    </row>
    <row r="70" spans="1:67" ht="12.75">
      <c r="A70" s="81">
        <v>169</v>
      </c>
      <c r="B70" s="81" t="s">
        <v>193</v>
      </c>
      <c r="C70" s="81">
        <v>5</v>
      </c>
      <c r="D70" s="81">
        <v>5061</v>
      </c>
      <c r="E70" s="100">
        <v>11894962.87915948</v>
      </c>
      <c r="F70" s="81">
        <v>8552356.75088839</v>
      </c>
      <c r="G70" s="81">
        <v>1162261.9857961894</v>
      </c>
      <c r="H70" s="81">
        <v>967750.9400532193</v>
      </c>
      <c r="I70" s="156">
        <v>2000109.4305884496</v>
      </c>
      <c r="J70" s="156">
        <v>820425.682808174</v>
      </c>
      <c r="K70" s="81">
        <v>629925.253286234</v>
      </c>
      <c r="L70" s="81">
        <v>-1323456</v>
      </c>
      <c r="M70" s="82">
        <v>-54351.19</v>
      </c>
      <c r="N70" s="82">
        <v>60428.46744183056</v>
      </c>
      <c r="O70" s="214">
        <f t="shared" si="3"/>
        <v>920488.4417030066</v>
      </c>
      <c r="P70" s="215">
        <f t="shared" si="4"/>
        <v>181.8787673785826</v>
      </c>
      <c r="Q70" s="81"/>
      <c r="R70" s="223">
        <v>30563670</v>
      </c>
      <c r="S70" s="156">
        <v>19735651.096128922</v>
      </c>
      <c r="T70" s="156">
        <v>1451626.4100798292</v>
      </c>
      <c r="U70" s="156">
        <v>8224256.280883132</v>
      </c>
      <c r="V70" s="156">
        <v>2787490.073854558</v>
      </c>
      <c r="W70" s="156">
        <v>-215545.2042038106</v>
      </c>
      <c r="X70" s="214">
        <f t="shared" si="5"/>
        <v>1419808.6567426324</v>
      </c>
      <c r="Y70" s="215">
        <f t="shared" si="6"/>
        <v>280.53915367370723</v>
      </c>
      <c r="Z70" s="81"/>
      <c r="AA70" s="94">
        <f t="shared" si="7"/>
        <v>-499320.21503962576</v>
      </c>
      <c r="AB70" s="153">
        <f t="shared" si="8"/>
        <v>-98.66038629512464</v>
      </c>
      <c r="AD70" s="216"/>
      <c r="AE70" s="224"/>
      <c r="AF70" s="224"/>
      <c r="AG70" s="224"/>
      <c r="AH70" s="225"/>
      <c r="AJ70" s="81">
        <f t="shared" si="9"/>
        <v>11183294.345240531</v>
      </c>
      <c r="AK70" s="81">
        <f t="shared" si="10"/>
        <v>483875.47002660984</v>
      </c>
      <c r="AL70" s="81">
        <f t="shared" si="11"/>
        <v>6224146.850294682</v>
      </c>
      <c r="AM70" s="81">
        <f t="shared" si="17"/>
        <v>18668707.12084052</v>
      </c>
      <c r="AN70" s="81">
        <f t="shared" si="12"/>
        <v>0</v>
      </c>
      <c r="AO70" s="81">
        <f t="shared" si="13"/>
        <v>0</v>
      </c>
      <c r="AP70" s="81">
        <f t="shared" si="14"/>
        <v>0</v>
      </c>
      <c r="AQ70" s="81">
        <f t="shared" si="15"/>
        <v>0</v>
      </c>
      <c r="AR70" s="81">
        <f t="shared" si="16"/>
        <v>0</v>
      </c>
      <c r="AS70" s="82">
        <v>1560</v>
      </c>
      <c r="AT70" s="82"/>
      <c r="AU70" s="82"/>
      <c r="AV70" s="82">
        <v>0</v>
      </c>
      <c r="AW70" s="82">
        <f>5643242.38732853*(0.001)</f>
        <v>5643.242387328533</v>
      </c>
      <c r="AX70" s="82">
        <v>-503.8618031179116</v>
      </c>
      <c r="AY70" s="82">
        <v>1967.0643910463841</v>
      </c>
      <c r="AZ70" s="408"/>
      <c r="BA70" s="81"/>
      <c r="BB70" s="81"/>
      <c r="BC70" s="81"/>
      <c r="BD70" s="81"/>
      <c r="BE70" s="81"/>
      <c r="BF70" s="81"/>
      <c r="BG70" s="81"/>
      <c r="BO70" s="114"/>
    </row>
    <row r="71" spans="1:67" ht="12.75">
      <c r="A71" s="81">
        <v>171</v>
      </c>
      <c r="B71" s="81" t="s">
        <v>194</v>
      </c>
      <c r="C71" s="81">
        <v>11</v>
      </c>
      <c r="D71" s="81">
        <v>4689</v>
      </c>
      <c r="E71" s="100">
        <v>11028033.191738661</v>
      </c>
      <c r="F71" s="81">
        <v>7753226.182839018</v>
      </c>
      <c r="G71" s="81">
        <v>1108328.2205358595</v>
      </c>
      <c r="H71" s="81">
        <v>1133238.554420161</v>
      </c>
      <c r="I71" s="156">
        <v>1754929.6374935976</v>
      </c>
      <c r="J71" s="156">
        <v>861741.2563148681</v>
      </c>
      <c r="K71" s="81">
        <v>907290.6428059671</v>
      </c>
      <c r="L71" s="81">
        <v>-138932</v>
      </c>
      <c r="M71" s="82">
        <v>101946</v>
      </c>
      <c r="N71" s="82">
        <v>55918.657691977736</v>
      </c>
      <c r="O71" s="214">
        <f t="shared" si="3"/>
        <v>2509653.9603627883</v>
      </c>
      <c r="P71" s="215">
        <f t="shared" si="4"/>
        <v>535.2215739737233</v>
      </c>
      <c r="Q71" s="81"/>
      <c r="R71" s="223">
        <v>30918003</v>
      </c>
      <c r="S71" s="156">
        <v>17983049.422760807</v>
      </c>
      <c r="T71" s="156">
        <v>1699857.8316302418</v>
      </c>
      <c r="U71" s="156">
        <v>10199333.449749138</v>
      </c>
      <c r="V71" s="156">
        <v>2919089.887805672</v>
      </c>
      <c r="W71" s="156">
        <v>1071342.2205358595</v>
      </c>
      <c r="X71" s="214">
        <f t="shared" si="5"/>
        <v>2954669.8124817163</v>
      </c>
      <c r="Y71" s="215">
        <f t="shared" si="6"/>
        <v>630.1279190619996</v>
      </c>
      <c r="Z71" s="81"/>
      <c r="AA71" s="94">
        <f t="shared" si="7"/>
        <v>-445015.852118928</v>
      </c>
      <c r="AB71" s="153">
        <f t="shared" si="8"/>
        <v>-94.90634508827638</v>
      </c>
      <c r="AD71" s="216"/>
      <c r="AE71" s="224"/>
      <c r="AF71" s="224"/>
      <c r="AG71" s="224"/>
      <c r="AH71" s="225"/>
      <c r="AJ71" s="81">
        <f t="shared" si="9"/>
        <v>10229823.23992179</v>
      </c>
      <c r="AK71" s="81">
        <f t="shared" si="10"/>
        <v>566619.2772100808</v>
      </c>
      <c r="AL71" s="81">
        <f t="shared" si="11"/>
        <v>8444403.81225554</v>
      </c>
      <c r="AM71" s="81">
        <f t="shared" si="17"/>
        <v>19889969.80826134</v>
      </c>
      <c r="AN71" s="81">
        <f t="shared" si="12"/>
        <v>0</v>
      </c>
      <c r="AO71" s="81">
        <f t="shared" si="13"/>
        <v>0</v>
      </c>
      <c r="AP71" s="81">
        <f t="shared" si="14"/>
        <v>0</v>
      </c>
      <c r="AQ71" s="81">
        <f t="shared" si="15"/>
        <v>0</v>
      </c>
      <c r="AR71" s="81">
        <f t="shared" si="16"/>
        <v>0</v>
      </c>
      <c r="AS71" s="82">
        <v>1050</v>
      </c>
      <c r="AT71" s="82"/>
      <c r="AU71" s="82"/>
      <c r="AV71" s="82">
        <v>0</v>
      </c>
      <c r="AW71" s="82">
        <f>7737523.9821*(0.001)</f>
        <v>7737.523982099995</v>
      </c>
      <c r="AX71" s="82">
        <v>-868.8807224244775</v>
      </c>
      <c r="AY71" s="82">
        <v>2057.3486314908037</v>
      </c>
      <c r="AZ71" s="408"/>
      <c r="BA71" s="81"/>
      <c r="BB71" s="81"/>
      <c r="BC71" s="81"/>
      <c r="BD71" s="81"/>
      <c r="BE71" s="81"/>
      <c r="BF71" s="81"/>
      <c r="BG71" s="81"/>
      <c r="BO71" s="114"/>
    </row>
    <row r="72" spans="1:67" ht="12.75">
      <c r="A72" s="81">
        <v>172</v>
      </c>
      <c r="B72" s="81" t="s">
        <v>195</v>
      </c>
      <c r="C72" s="81">
        <v>13</v>
      </c>
      <c r="D72" s="81">
        <v>4297</v>
      </c>
      <c r="E72" s="100">
        <v>10380915.195474185</v>
      </c>
      <c r="F72" s="81">
        <v>5323131.308965449</v>
      </c>
      <c r="G72" s="81">
        <v>1713646.9482095866</v>
      </c>
      <c r="H72" s="81">
        <v>1145020.2175016615</v>
      </c>
      <c r="I72" s="156">
        <v>1678347.2251499891</v>
      </c>
      <c r="J72" s="156">
        <v>865373.8552133115</v>
      </c>
      <c r="K72" s="81">
        <v>-781368.5719929294</v>
      </c>
      <c r="L72" s="81">
        <v>23278</v>
      </c>
      <c r="M72" s="82">
        <v>183000</v>
      </c>
      <c r="N72" s="82">
        <v>38605.99130063352</v>
      </c>
      <c r="O72" s="214">
        <f t="shared" si="3"/>
        <v>-191880.2211264819</v>
      </c>
      <c r="P72" s="215">
        <f t="shared" si="4"/>
        <v>-44.65446151419174</v>
      </c>
      <c r="Q72" s="81"/>
      <c r="R72" s="223">
        <v>33627000</v>
      </c>
      <c r="S72" s="156">
        <v>12204436.851336362</v>
      </c>
      <c r="T72" s="156">
        <v>1717530.3262524921</v>
      </c>
      <c r="U72" s="156">
        <v>13972243.761090377</v>
      </c>
      <c r="V72" s="156">
        <v>2925487.5368917407</v>
      </c>
      <c r="W72" s="156">
        <v>1919924.9482095866</v>
      </c>
      <c r="X72" s="214">
        <f t="shared" si="5"/>
        <v>-887376.576219447</v>
      </c>
      <c r="Y72" s="215">
        <f t="shared" si="6"/>
        <v>-206.5107228809511</v>
      </c>
      <c r="Z72" s="81"/>
      <c r="AA72" s="94">
        <f t="shared" si="7"/>
        <v>695496.3550929651</v>
      </c>
      <c r="AB72" s="153">
        <f t="shared" si="8"/>
        <v>161.85626136675938</v>
      </c>
      <c r="AD72" s="216"/>
      <c r="AE72" s="224"/>
      <c r="AF72" s="224"/>
      <c r="AG72" s="224"/>
      <c r="AH72" s="225"/>
      <c r="AJ72" s="81">
        <f t="shared" si="9"/>
        <v>6881305.542370913</v>
      </c>
      <c r="AK72" s="81">
        <f t="shared" si="10"/>
        <v>572510.1087508306</v>
      </c>
      <c r="AL72" s="81">
        <f t="shared" si="11"/>
        <v>12293896.535940388</v>
      </c>
      <c r="AM72" s="81">
        <f t="shared" si="17"/>
        <v>23246084.804525815</v>
      </c>
      <c r="AN72" s="81">
        <f t="shared" si="12"/>
        <v>0</v>
      </c>
      <c r="AO72" s="81">
        <f t="shared" si="13"/>
        <v>0</v>
      </c>
      <c r="AP72" s="81">
        <f t="shared" si="14"/>
        <v>0</v>
      </c>
      <c r="AQ72" s="81">
        <f t="shared" si="15"/>
        <v>0</v>
      </c>
      <c r="AR72" s="81">
        <f t="shared" si="16"/>
        <v>0</v>
      </c>
      <c r="AS72" s="82">
        <v>1380</v>
      </c>
      <c r="AT72" s="82"/>
      <c r="AU72" s="82"/>
      <c r="AV72" s="82">
        <v>0</v>
      </c>
      <c r="AW72" s="82">
        <f>10610357.0689678*(0.001)</f>
        <v>10610.357068967776</v>
      </c>
      <c r="AX72" s="82">
        <v>-1860.0994887663414</v>
      </c>
      <c r="AY72" s="82">
        <v>2060.113681678429</v>
      </c>
      <c r="AZ72" s="408"/>
      <c r="BA72" s="81"/>
      <c r="BB72" s="81"/>
      <c r="BC72" s="81"/>
      <c r="BD72" s="81"/>
      <c r="BE72" s="81"/>
      <c r="BF72" s="81"/>
      <c r="BG72" s="81"/>
      <c r="BO72" s="114"/>
    </row>
    <row r="73" spans="1:67" ht="12.75">
      <c r="A73" s="81">
        <v>176</v>
      </c>
      <c r="B73" s="81" t="s">
        <v>197</v>
      </c>
      <c r="C73" s="81">
        <v>12</v>
      </c>
      <c r="D73" s="81">
        <v>4527</v>
      </c>
      <c r="E73" s="100">
        <v>10741684.215639386</v>
      </c>
      <c r="F73" s="81">
        <v>4857876.704683507</v>
      </c>
      <c r="G73" s="81">
        <v>1225454.8781430945</v>
      </c>
      <c r="H73" s="81">
        <v>1334321.5476988237</v>
      </c>
      <c r="I73" s="156">
        <v>3434054.3918665545</v>
      </c>
      <c r="J73" s="156">
        <v>929111.2117853109</v>
      </c>
      <c r="K73" s="81">
        <v>-624612.9131940292</v>
      </c>
      <c r="L73" s="81">
        <v>-494044</v>
      </c>
      <c r="M73" s="82">
        <v>359760</v>
      </c>
      <c r="N73" s="82">
        <v>35896.67982189257</v>
      </c>
      <c r="O73" s="214">
        <f t="shared" si="3"/>
        <v>316134.2851657681</v>
      </c>
      <c r="P73" s="215">
        <f t="shared" si="4"/>
        <v>69.83306498028895</v>
      </c>
      <c r="Q73" s="81"/>
      <c r="R73" s="223">
        <v>36473191</v>
      </c>
      <c r="S73" s="156">
        <v>11121433.802993437</v>
      </c>
      <c r="T73" s="156">
        <v>2001482.3215482356</v>
      </c>
      <c r="U73" s="156">
        <v>18902146.720083892</v>
      </c>
      <c r="V73" s="156">
        <v>3134640.5610365346</v>
      </c>
      <c r="W73" s="156">
        <v>1091170.8781430945</v>
      </c>
      <c r="X73" s="214">
        <f t="shared" si="5"/>
        <v>-222316.71619480848</v>
      </c>
      <c r="Y73" s="215">
        <f t="shared" si="6"/>
        <v>-49.10906034787022</v>
      </c>
      <c r="Z73" s="81"/>
      <c r="AA73" s="94">
        <f t="shared" si="7"/>
        <v>538451.0013605766</v>
      </c>
      <c r="AB73" s="153">
        <f t="shared" si="8"/>
        <v>118.94212532815918</v>
      </c>
      <c r="AD73" s="216"/>
      <c r="AE73" s="224"/>
      <c r="AF73" s="224"/>
      <c r="AG73" s="224"/>
      <c r="AH73" s="225"/>
      <c r="AJ73" s="81">
        <f t="shared" si="9"/>
        <v>6263557.09830993</v>
      </c>
      <c r="AK73" s="81">
        <f t="shared" si="10"/>
        <v>667160.7738494119</v>
      </c>
      <c r="AL73" s="81">
        <f t="shared" si="11"/>
        <v>15468092.328217339</v>
      </c>
      <c r="AM73" s="81">
        <f t="shared" si="17"/>
        <v>25731506.784360614</v>
      </c>
      <c r="AN73" s="81">
        <f t="shared" si="12"/>
        <v>0</v>
      </c>
      <c r="AO73" s="81">
        <f t="shared" si="13"/>
        <v>0</v>
      </c>
      <c r="AP73" s="81">
        <f t="shared" si="14"/>
        <v>0</v>
      </c>
      <c r="AQ73" s="81">
        <f t="shared" si="15"/>
        <v>0</v>
      </c>
      <c r="AR73" s="81">
        <f t="shared" si="16"/>
        <v>0</v>
      </c>
      <c r="AS73" s="82">
        <v>1824</v>
      </c>
      <c r="AT73" s="82"/>
      <c r="AU73" s="82"/>
      <c r="AV73" s="82">
        <v>0</v>
      </c>
      <c r="AW73" s="82">
        <f>13060847.8820068*(0.001)</f>
        <v>13060.847882006829</v>
      </c>
      <c r="AX73" s="82">
        <v>-2531.3686561893182</v>
      </c>
      <c r="AY73" s="82">
        <v>2205.5293492512237</v>
      </c>
      <c r="AZ73" s="408"/>
      <c r="BA73" s="81"/>
      <c r="BB73" s="81"/>
      <c r="BC73" s="81"/>
      <c r="BD73" s="81"/>
      <c r="BE73" s="81"/>
      <c r="BF73" s="81"/>
      <c r="BG73" s="81"/>
      <c r="BO73" s="114"/>
    </row>
    <row r="74" spans="1:67" ht="12.75">
      <c r="A74" s="81">
        <v>177</v>
      </c>
      <c r="B74" s="81" t="s">
        <v>198</v>
      </c>
      <c r="C74" s="81">
        <v>6</v>
      </c>
      <c r="D74" s="81">
        <v>1800</v>
      </c>
      <c r="E74" s="100">
        <v>4477261.400611743</v>
      </c>
      <c r="F74" s="81">
        <v>2418558.1817171783</v>
      </c>
      <c r="G74" s="81">
        <v>521445.69693000254</v>
      </c>
      <c r="H74" s="81">
        <v>797750.9182532224</v>
      </c>
      <c r="I74" s="156">
        <v>495855.0066454493</v>
      </c>
      <c r="J74" s="156">
        <v>334642.125625235</v>
      </c>
      <c r="K74" s="81">
        <v>239622.9141261324</v>
      </c>
      <c r="L74" s="81">
        <v>-455578</v>
      </c>
      <c r="M74" s="82">
        <v>540</v>
      </c>
      <c r="N74" s="82">
        <v>18275.018965620682</v>
      </c>
      <c r="O74" s="214">
        <f t="shared" si="3"/>
        <v>-106149.53834890295</v>
      </c>
      <c r="P74" s="215">
        <f t="shared" si="4"/>
        <v>-58.97196574939053</v>
      </c>
      <c r="Q74" s="81"/>
      <c r="R74" s="223">
        <v>11856190</v>
      </c>
      <c r="S74" s="156">
        <v>5548114.911514953</v>
      </c>
      <c r="T74" s="156">
        <v>1196626.3773798335</v>
      </c>
      <c r="U74" s="156">
        <v>4092960.7754411325</v>
      </c>
      <c r="V74" s="156">
        <v>1134282.310352435</v>
      </c>
      <c r="W74" s="156">
        <v>66407.69693000254</v>
      </c>
      <c r="X74" s="214">
        <f t="shared" si="5"/>
        <v>182202.0716183558</v>
      </c>
      <c r="Y74" s="215">
        <f t="shared" si="6"/>
        <v>101.22337312130878</v>
      </c>
      <c r="Z74" s="81"/>
      <c r="AA74" s="94">
        <f t="shared" si="7"/>
        <v>-288351.60996725876</v>
      </c>
      <c r="AB74" s="153">
        <f t="shared" si="8"/>
        <v>-160.19533887069932</v>
      </c>
      <c r="AD74" s="216"/>
      <c r="AE74" s="224"/>
      <c r="AF74" s="224"/>
      <c r="AG74" s="224"/>
      <c r="AH74" s="225"/>
      <c r="AJ74" s="81">
        <f t="shared" si="9"/>
        <v>3129556.7297977745</v>
      </c>
      <c r="AK74" s="81">
        <f t="shared" si="10"/>
        <v>398875.4591266111</v>
      </c>
      <c r="AL74" s="81">
        <f t="shared" si="11"/>
        <v>3597105.768795683</v>
      </c>
      <c r="AM74" s="81">
        <f t="shared" si="17"/>
        <v>7378928.599388257</v>
      </c>
      <c r="AN74" s="81">
        <f t="shared" si="12"/>
        <v>0</v>
      </c>
      <c r="AO74" s="81">
        <f t="shared" si="13"/>
        <v>0</v>
      </c>
      <c r="AP74" s="81">
        <f t="shared" si="14"/>
        <v>0</v>
      </c>
      <c r="AQ74" s="81">
        <f t="shared" si="15"/>
        <v>0</v>
      </c>
      <c r="AR74" s="81">
        <f t="shared" si="16"/>
        <v>0</v>
      </c>
      <c r="AS74" s="82">
        <v>517</v>
      </c>
      <c r="AT74" s="82"/>
      <c r="AU74" s="82"/>
      <c r="AV74" s="82">
        <v>0</v>
      </c>
      <c r="AW74" s="82">
        <f>3071553.67788972*(0.001)</f>
        <v>3071.5536778897203</v>
      </c>
      <c r="AX74" s="82">
        <v>-397.7768507594082</v>
      </c>
      <c r="AY74" s="82">
        <v>799.6401847272001</v>
      </c>
      <c r="AZ74" s="408"/>
      <c r="BA74" s="81"/>
      <c r="BB74" s="81"/>
      <c r="BC74" s="81"/>
      <c r="BD74" s="81"/>
      <c r="BE74" s="81"/>
      <c r="BF74" s="81"/>
      <c r="BG74" s="81"/>
      <c r="BO74" s="114"/>
    </row>
    <row r="75" spans="1:67" ht="12.75">
      <c r="A75" s="81">
        <v>178</v>
      </c>
      <c r="B75" s="81" t="s">
        <v>199</v>
      </c>
      <c r="C75" s="81">
        <v>10</v>
      </c>
      <c r="D75" s="81">
        <v>5932</v>
      </c>
      <c r="E75" s="100">
        <v>14697095.039639533</v>
      </c>
      <c r="F75" s="81">
        <v>7074284.144238953</v>
      </c>
      <c r="G75" s="81">
        <v>1510784.6864957814</v>
      </c>
      <c r="H75" s="81">
        <v>1946135.4182464322</v>
      </c>
      <c r="I75" s="156">
        <v>2385846.7419098723</v>
      </c>
      <c r="J75" s="156">
        <v>1257670.7294800817</v>
      </c>
      <c r="K75" s="81">
        <v>1630213.21195507</v>
      </c>
      <c r="L75" s="81">
        <v>-606861</v>
      </c>
      <c r="M75" s="82">
        <v>375000</v>
      </c>
      <c r="N75" s="82">
        <v>52388.48995687866</v>
      </c>
      <c r="O75" s="214">
        <f t="shared" si="3"/>
        <v>928367.3826435357</v>
      </c>
      <c r="P75" s="215">
        <f t="shared" si="4"/>
        <v>156.5015816998543</v>
      </c>
      <c r="Q75" s="81"/>
      <c r="R75" s="223">
        <v>43155761</v>
      </c>
      <c r="S75" s="156">
        <v>16216075.119570974</v>
      </c>
      <c r="T75" s="156">
        <v>2919203.1273696483</v>
      </c>
      <c r="U75" s="156">
        <v>20328065.445908695</v>
      </c>
      <c r="V75" s="156">
        <v>4245354.786208361</v>
      </c>
      <c r="W75" s="156">
        <v>1278923.6864957814</v>
      </c>
      <c r="X75" s="214">
        <f t="shared" si="5"/>
        <v>1831861.1655534655</v>
      </c>
      <c r="Y75" s="215">
        <f t="shared" si="6"/>
        <v>308.8100413947177</v>
      </c>
      <c r="Z75" s="81"/>
      <c r="AA75" s="94">
        <f t="shared" si="7"/>
        <v>-903493.7829099298</v>
      </c>
      <c r="AB75" s="153">
        <f t="shared" si="8"/>
        <v>-152.30845969486342</v>
      </c>
      <c r="AD75" s="216"/>
      <c r="AE75" s="224"/>
      <c r="AF75" s="224"/>
      <c r="AG75" s="224"/>
      <c r="AH75" s="225"/>
      <c r="AJ75" s="81">
        <f t="shared" si="9"/>
        <v>9141790.975332022</v>
      </c>
      <c r="AK75" s="81">
        <f t="shared" si="10"/>
        <v>973067.7091232161</v>
      </c>
      <c r="AL75" s="81">
        <f t="shared" si="11"/>
        <v>17942218.703998823</v>
      </c>
      <c r="AM75" s="81">
        <f t="shared" si="17"/>
        <v>28458665.960360467</v>
      </c>
      <c r="AN75" s="81">
        <f t="shared" si="12"/>
        <v>0</v>
      </c>
      <c r="AO75" s="81">
        <f t="shared" si="13"/>
        <v>0</v>
      </c>
      <c r="AP75" s="81">
        <f t="shared" si="14"/>
        <v>0</v>
      </c>
      <c r="AQ75" s="81">
        <f t="shared" si="15"/>
        <v>0</v>
      </c>
      <c r="AR75" s="81">
        <f t="shared" si="16"/>
        <v>0</v>
      </c>
      <c r="AS75" s="82">
        <v>1811</v>
      </c>
      <c r="AT75" s="82"/>
      <c r="AU75" s="82"/>
      <c r="AV75" s="82">
        <v>0</v>
      </c>
      <c r="AW75" s="82">
        <f>15406980.0381392*(0.001)</f>
        <v>15406.980038139247</v>
      </c>
      <c r="AX75" s="82">
        <v>-2721.281621315405</v>
      </c>
      <c r="AY75" s="82">
        <v>2987.6840567282798</v>
      </c>
      <c r="AZ75" s="408"/>
      <c r="BA75" s="81"/>
      <c r="BB75" s="81"/>
      <c r="BC75" s="81"/>
      <c r="BD75" s="81"/>
      <c r="BE75" s="81"/>
      <c r="BF75" s="81"/>
      <c r="BG75" s="81"/>
      <c r="BO75" s="114"/>
    </row>
    <row r="76" spans="1:67" ht="12.75">
      <c r="A76" s="81">
        <v>179</v>
      </c>
      <c r="B76" s="81" t="s">
        <v>200</v>
      </c>
      <c r="C76" s="81">
        <v>13</v>
      </c>
      <c r="D76" s="81">
        <v>143420</v>
      </c>
      <c r="E76" s="100">
        <v>322685233.3210928</v>
      </c>
      <c r="F76" s="81">
        <v>189493249.83771995</v>
      </c>
      <c r="G76" s="81">
        <v>54640279.50223571</v>
      </c>
      <c r="H76" s="81">
        <v>21176632.61973876</v>
      </c>
      <c r="I76" s="156">
        <v>61610680.61971548</v>
      </c>
      <c r="J76" s="156">
        <v>19134257.74990116</v>
      </c>
      <c r="K76" s="81">
        <v>-5444709.789216642</v>
      </c>
      <c r="L76" s="81">
        <v>-21840815</v>
      </c>
      <c r="M76" s="82">
        <v>7100000</v>
      </c>
      <c r="N76" s="82">
        <v>1528464.3393825002</v>
      </c>
      <c r="O76" s="214">
        <f t="shared" si="3"/>
        <v>4712806.55838412</v>
      </c>
      <c r="P76" s="215">
        <f t="shared" si="4"/>
        <v>32.86017681204937</v>
      </c>
      <c r="Q76" s="81"/>
      <c r="R76" s="223">
        <v>788994000</v>
      </c>
      <c r="S76" s="156">
        <v>474011755.84337485</v>
      </c>
      <c r="T76" s="156">
        <v>31764948.929608144</v>
      </c>
      <c r="U76" s="156">
        <v>184418120.29997754</v>
      </c>
      <c r="V76" s="156">
        <v>65272997.73056696</v>
      </c>
      <c r="W76" s="156">
        <v>39899464.50223571</v>
      </c>
      <c r="X76" s="214">
        <f t="shared" si="5"/>
        <v>6373287.305763245</v>
      </c>
      <c r="Y76" s="215">
        <f t="shared" si="6"/>
        <v>44.43792571303336</v>
      </c>
      <c r="Z76" s="81"/>
      <c r="AA76" s="94">
        <f t="shared" si="7"/>
        <v>-1660480.7473791242</v>
      </c>
      <c r="AB76" s="153">
        <f t="shared" si="8"/>
        <v>-11.577748900983993</v>
      </c>
      <c r="AD76" s="216"/>
      <c r="AE76" s="224"/>
      <c r="AF76" s="224"/>
      <c r="AG76" s="224"/>
      <c r="AH76" s="225"/>
      <c r="AJ76" s="81">
        <f t="shared" si="9"/>
        <v>284518506.00565493</v>
      </c>
      <c r="AK76" s="81">
        <f t="shared" si="10"/>
        <v>10588316.309869383</v>
      </c>
      <c r="AL76" s="81">
        <f t="shared" si="11"/>
        <v>122807439.68026206</v>
      </c>
      <c r="AM76" s="81">
        <f t="shared" si="17"/>
        <v>466308766.6789072</v>
      </c>
      <c r="AN76" s="81">
        <f t="shared" si="12"/>
        <v>0</v>
      </c>
      <c r="AO76" s="81">
        <f t="shared" si="13"/>
        <v>0</v>
      </c>
      <c r="AP76" s="81">
        <f t="shared" si="14"/>
        <v>0</v>
      </c>
      <c r="AQ76" s="81">
        <f t="shared" si="15"/>
        <v>0</v>
      </c>
      <c r="AR76" s="81">
        <f t="shared" si="16"/>
        <v>0</v>
      </c>
      <c r="AS76" s="82">
        <v>53776</v>
      </c>
      <c r="AT76" s="82">
        <v>1571</v>
      </c>
      <c r="AU76" s="82">
        <v>1019</v>
      </c>
      <c r="AV76" s="82">
        <v>2590</v>
      </c>
      <c r="AW76" s="82">
        <f>92422918.9758758*(0.001)</f>
        <v>92422.91897587581</v>
      </c>
      <c r="AX76" s="82">
        <v>-25160.18754032869</v>
      </c>
      <c r="AY76" s="82">
        <v>46138.7399806658</v>
      </c>
      <c r="AZ76" s="408"/>
      <c r="BA76" s="81"/>
      <c r="BB76" s="81"/>
      <c r="BC76" s="81"/>
      <c r="BD76" s="81"/>
      <c r="BE76" s="81"/>
      <c r="BF76" s="81"/>
      <c r="BG76" s="81"/>
      <c r="BO76" s="114"/>
    </row>
    <row r="77" spans="1:67" ht="12.75">
      <c r="A77" s="81">
        <v>181</v>
      </c>
      <c r="B77" s="81" t="s">
        <v>201</v>
      </c>
      <c r="C77" s="81">
        <v>4</v>
      </c>
      <c r="D77" s="81">
        <v>1707</v>
      </c>
      <c r="E77" s="100">
        <v>4966664.914927337</v>
      </c>
      <c r="F77" s="81">
        <v>2809987.5494331466</v>
      </c>
      <c r="G77" s="81">
        <v>710886.2364084948</v>
      </c>
      <c r="H77" s="81">
        <v>222398.88003766618</v>
      </c>
      <c r="I77" s="156">
        <v>1176264.1089872515</v>
      </c>
      <c r="J77" s="156">
        <v>387604.00451102457</v>
      </c>
      <c r="K77" s="81">
        <v>214746.60622029792</v>
      </c>
      <c r="L77" s="81">
        <v>-356983</v>
      </c>
      <c r="M77" s="82">
        <v>-68015</v>
      </c>
      <c r="N77" s="82">
        <v>16739.60850935395</v>
      </c>
      <c r="O77" s="214">
        <f t="shared" si="3"/>
        <v>146964.0791798979</v>
      </c>
      <c r="P77" s="215">
        <f t="shared" si="4"/>
        <v>86.09494972460334</v>
      </c>
      <c r="Q77" s="81"/>
      <c r="R77" s="223">
        <v>11978704</v>
      </c>
      <c r="S77" s="156">
        <v>5930772.361004446</v>
      </c>
      <c r="T77" s="156">
        <v>333598.32005649933</v>
      </c>
      <c r="U77" s="156">
        <v>4422594.776294724</v>
      </c>
      <c r="V77" s="156">
        <v>1308028.373750175</v>
      </c>
      <c r="W77" s="156">
        <v>285888.23640849476</v>
      </c>
      <c r="X77" s="214">
        <f t="shared" si="5"/>
        <v>302178.0675143376</v>
      </c>
      <c r="Y77" s="215">
        <f t="shared" si="6"/>
        <v>177.02288665163303</v>
      </c>
      <c r="Z77" s="81"/>
      <c r="AA77" s="94">
        <f t="shared" si="7"/>
        <v>-155213.9883344397</v>
      </c>
      <c r="AB77" s="153">
        <f t="shared" si="8"/>
        <v>-90.9279369270297</v>
      </c>
      <c r="AD77" s="216"/>
      <c r="AE77" s="224"/>
      <c r="AF77" s="224"/>
      <c r="AG77" s="224"/>
      <c r="AH77" s="225"/>
      <c r="AJ77" s="81">
        <f t="shared" si="9"/>
        <v>3120784.811571299</v>
      </c>
      <c r="AK77" s="81">
        <f t="shared" si="10"/>
        <v>111199.44001883315</v>
      </c>
      <c r="AL77" s="81">
        <f t="shared" si="11"/>
        <v>3246330.667307473</v>
      </c>
      <c r="AM77" s="81">
        <f t="shared" si="17"/>
        <v>7012039.085072663</v>
      </c>
      <c r="AN77" s="81">
        <f t="shared" si="12"/>
        <v>0</v>
      </c>
      <c r="AO77" s="81">
        <f t="shared" si="13"/>
        <v>0</v>
      </c>
      <c r="AP77" s="81">
        <f t="shared" si="14"/>
        <v>0</v>
      </c>
      <c r="AQ77" s="81">
        <f t="shared" si="15"/>
        <v>0</v>
      </c>
      <c r="AR77" s="81">
        <f t="shared" si="16"/>
        <v>0</v>
      </c>
      <c r="AS77" s="82">
        <v>361</v>
      </c>
      <c r="AT77" s="82"/>
      <c r="AU77" s="82">
        <v>6</v>
      </c>
      <c r="AV77" s="82">
        <v>6</v>
      </c>
      <c r="AW77" s="82">
        <f>2518878.90622768*(0.001)</f>
        <v>2518.878906227681</v>
      </c>
      <c r="AX77" s="82">
        <v>-716.1871696746629</v>
      </c>
      <c r="AY77" s="82">
        <v>920.4243692391503</v>
      </c>
      <c r="AZ77" s="408"/>
      <c r="BA77" s="81"/>
      <c r="BB77" s="81"/>
      <c r="BC77" s="81"/>
      <c r="BD77" s="81"/>
      <c r="BE77" s="81"/>
      <c r="BF77" s="81"/>
      <c r="BG77" s="81"/>
      <c r="BO77" s="114"/>
    </row>
    <row r="78" spans="1:67" ht="12.75">
      <c r="A78" s="81">
        <v>182</v>
      </c>
      <c r="B78" s="81" t="s">
        <v>128</v>
      </c>
      <c r="C78" s="81">
        <v>13</v>
      </c>
      <c r="D78" s="81">
        <v>19887</v>
      </c>
      <c r="E78" s="100">
        <v>49220274.29461379</v>
      </c>
      <c r="F78" s="81">
        <v>30575245.996205118</v>
      </c>
      <c r="G78" s="81">
        <v>6153262.04981329</v>
      </c>
      <c r="H78" s="81">
        <v>7264946.842733985</v>
      </c>
      <c r="I78" s="156">
        <v>424910.50475131965</v>
      </c>
      <c r="J78" s="156">
        <v>3017443.8503936715</v>
      </c>
      <c r="K78" s="81">
        <v>173099.1056522344</v>
      </c>
      <c r="L78" s="81">
        <v>-1901364</v>
      </c>
      <c r="M78" s="82">
        <v>331770</v>
      </c>
      <c r="N78" s="82">
        <v>231341.59678513775</v>
      </c>
      <c r="O78" s="214">
        <f t="shared" si="3"/>
        <v>-2949618.3482790366</v>
      </c>
      <c r="P78" s="215">
        <f t="shared" si="4"/>
        <v>-148.31891930804227</v>
      </c>
      <c r="Q78" s="81"/>
      <c r="R78" s="223">
        <v>137656437</v>
      </c>
      <c r="S78" s="156">
        <v>71608834.93403102</v>
      </c>
      <c r="T78" s="156">
        <v>10897420.264100978</v>
      </c>
      <c r="U78" s="156">
        <v>38442828.43054829</v>
      </c>
      <c r="V78" s="156">
        <v>10289345.010367474</v>
      </c>
      <c r="W78" s="156">
        <v>4583668.04981329</v>
      </c>
      <c r="X78" s="214">
        <f t="shared" si="5"/>
        <v>-1834340.3111389577</v>
      </c>
      <c r="Y78" s="215">
        <f t="shared" si="6"/>
        <v>-92.23816116754452</v>
      </c>
      <c r="Z78" s="81"/>
      <c r="AA78" s="94">
        <f t="shared" si="7"/>
        <v>-1115278.0371400788</v>
      </c>
      <c r="AB78" s="153">
        <f t="shared" si="8"/>
        <v>-56.08075814049776</v>
      </c>
      <c r="AD78" s="216"/>
      <c r="AE78" s="224"/>
      <c r="AF78" s="224"/>
      <c r="AG78" s="224"/>
      <c r="AH78" s="225"/>
      <c r="AJ78" s="81">
        <f t="shared" si="9"/>
        <v>41033588.9378259</v>
      </c>
      <c r="AK78" s="81">
        <f t="shared" si="10"/>
        <v>3632473.4213669933</v>
      </c>
      <c r="AL78" s="81">
        <f t="shared" si="11"/>
        <v>38017917.92579697</v>
      </c>
      <c r="AM78" s="81">
        <f t="shared" si="17"/>
        <v>88436162.7053862</v>
      </c>
      <c r="AN78" s="81">
        <f t="shared" si="12"/>
        <v>0</v>
      </c>
      <c r="AO78" s="81">
        <f t="shared" si="13"/>
        <v>0</v>
      </c>
      <c r="AP78" s="81">
        <f t="shared" si="14"/>
        <v>0</v>
      </c>
      <c r="AQ78" s="81">
        <f t="shared" si="15"/>
        <v>0</v>
      </c>
      <c r="AR78" s="81">
        <f t="shared" si="16"/>
        <v>0</v>
      </c>
      <c r="AS78" s="82">
        <v>8110</v>
      </c>
      <c r="AT78" s="82">
        <v>8</v>
      </c>
      <c r="AU78" s="82"/>
      <c r="AV78" s="82">
        <v>8</v>
      </c>
      <c r="AW78" s="82">
        <f>36954109.9072606*(0.001)</f>
        <v>36954.10990726059</v>
      </c>
      <c r="AX78" s="82">
        <v>-73.07475802005142</v>
      </c>
      <c r="AY78" s="82">
        <v>7271.901159973802</v>
      </c>
      <c r="AZ78" s="408"/>
      <c r="BA78" s="81"/>
      <c r="BB78" s="81"/>
      <c r="BC78" s="81"/>
      <c r="BD78" s="81"/>
      <c r="BE78" s="81"/>
      <c r="BF78" s="81"/>
      <c r="BG78" s="81"/>
      <c r="BO78" s="114"/>
    </row>
    <row r="79" spans="1:67" ht="12.75">
      <c r="A79" s="81">
        <v>186</v>
      </c>
      <c r="B79" s="81" t="s">
        <v>202</v>
      </c>
      <c r="C79" s="81">
        <v>1</v>
      </c>
      <c r="D79" s="81">
        <v>44455</v>
      </c>
      <c r="E79" s="100">
        <v>105553095.77618599</v>
      </c>
      <c r="F79" s="81">
        <v>75392509.75976537</v>
      </c>
      <c r="G79" s="81">
        <v>17141526.22264745</v>
      </c>
      <c r="H79" s="81">
        <v>3420852.6232082853</v>
      </c>
      <c r="I79" s="156">
        <v>14691449.272063741</v>
      </c>
      <c r="J79" s="156">
        <v>4588070.5172898155</v>
      </c>
      <c r="K79" s="81">
        <v>-7252579.657132526</v>
      </c>
      <c r="L79" s="81">
        <v>-357003</v>
      </c>
      <c r="M79" s="82">
        <v>-751334.86</v>
      </c>
      <c r="N79" s="82">
        <v>595768.2199501034</v>
      </c>
      <c r="O79" s="214">
        <f t="shared" si="3"/>
        <v>1916163.3216062486</v>
      </c>
      <c r="P79" s="215">
        <f t="shared" si="4"/>
        <v>43.10343766969404</v>
      </c>
      <c r="Q79" s="81"/>
      <c r="R79" s="223">
        <v>256469305.65</v>
      </c>
      <c r="S79" s="156">
        <v>188709475.1222652</v>
      </c>
      <c r="T79" s="156">
        <v>5131278.934812428</v>
      </c>
      <c r="U79" s="156">
        <v>28680061.62881823</v>
      </c>
      <c r="V79" s="156">
        <v>15842450.422655988</v>
      </c>
      <c r="W79" s="156">
        <v>16033188.362647451</v>
      </c>
      <c r="X79" s="214">
        <f t="shared" si="5"/>
        <v>-2072851.178800732</v>
      </c>
      <c r="Y79" s="215">
        <f t="shared" si="6"/>
        <v>-46.62807735464474</v>
      </c>
      <c r="Z79" s="81"/>
      <c r="AA79" s="94">
        <f t="shared" si="7"/>
        <v>3989014.5004069805</v>
      </c>
      <c r="AB79" s="153">
        <f t="shared" si="8"/>
        <v>89.73151502433878</v>
      </c>
      <c r="AD79" s="216"/>
      <c r="AE79" s="224"/>
      <c r="AF79" s="224"/>
      <c r="AG79" s="224"/>
      <c r="AH79" s="225"/>
      <c r="AJ79" s="81">
        <f t="shared" si="9"/>
        <v>113316965.36249982</v>
      </c>
      <c r="AK79" s="81">
        <f t="shared" si="10"/>
        <v>1710426.3116041431</v>
      </c>
      <c r="AL79" s="81">
        <f t="shared" si="11"/>
        <v>13988612.356754487</v>
      </c>
      <c r="AM79" s="81">
        <f t="shared" si="17"/>
        <v>150916209.87381402</v>
      </c>
      <c r="AN79" s="81">
        <f t="shared" si="12"/>
        <v>0</v>
      </c>
      <c r="AO79" s="81">
        <f t="shared" si="13"/>
        <v>0</v>
      </c>
      <c r="AP79" s="81">
        <f t="shared" si="14"/>
        <v>0</v>
      </c>
      <c r="AQ79" s="81">
        <f t="shared" si="15"/>
        <v>0</v>
      </c>
      <c r="AR79" s="81">
        <f t="shared" si="16"/>
        <v>0</v>
      </c>
      <c r="AS79" s="82">
        <v>23684</v>
      </c>
      <c r="AT79" s="82">
        <v>19</v>
      </c>
      <c r="AU79" s="82">
        <v>7</v>
      </c>
      <c r="AV79" s="82">
        <v>26</v>
      </c>
      <c r="AW79" s="82">
        <f>20245983.2344629*(0.001)</f>
        <v>20245.983234462867</v>
      </c>
      <c r="AX79" s="82">
        <v>7082.966099429786</v>
      </c>
      <c r="AY79" s="82">
        <v>11254.379905366173</v>
      </c>
      <c r="AZ79" s="408"/>
      <c r="BA79" s="81"/>
      <c r="BB79" s="81"/>
      <c r="BC79" s="81"/>
      <c r="BD79" s="81"/>
      <c r="BE79" s="81"/>
      <c r="BF79" s="81"/>
      <c r="BG79" s="81"/>
      <c r="BO79" s="114"/>
    </row>
    <row r="80" spans="1:67" ht="12.75">
      <c r="A80" s="81">
        <v>202</v>
      </c>
      <c r="B80" s="81" t="s">
        <v>203</v>
      </c>
      <c r="C80" s="81">
        <v>2</v>
      </c>
      <c r="D80" s="81">
        <v>34667</v>
      </c>
      <c r="E80" s="100">
        <v>79684032.43277703</v>
      </c>
      <c r="F80" s="81">
        <v>62530669.63272928</v>
      </c>
      <c r="G80" s="81">
        <v>8041973.390226214</v>
      </c>
      <c r="H80" s="81">
        <v>4384654.229199646</v>
      </c>
      <c r="I80" s="156">
        <v>16827586.05491034</v>
      </c>
      <c r="J80" s="156">
        <v>3356874.4135860093</v>
      </c>
      <c r="K80" s="81">
        <v>3133539.449931013</v>
      </c>
      <c r="L80" s="81">
        <v>-2940434</v>
      </c>
      <c r="M80" s="82">
        <v>-1650000</v>
      </c>
      <c r="N80" s="82">
        <v>507887.94406682753</v>
      </c>
      <c r="O80" s="214">
        <f t="shared" si="3"/>
        <v>14508718.681872293</v>
      </c>
      <c r="P80" s="215">
        <f t="shared" si="4"/>
        <v>418.51670700874877</v>
      </c>
      <c r="Q80" s="81"/>
      <c r="R80" s="223">
        <v>194736000</v>
      </c>
      <c r="S80" s="156">
        <v>158398332.14567828</v>
      </c>
      <c r="T80" s="156">
        <v>6576981.343799469</v>
      </c>
      <c r="U80" s="156">
        <v>30936515.115640197</v>
      </c>
      <c r="V80" s="156">
        <v>11598978.056731926</v>
      </c>
      <c r="W80" s="156">
        <v>3451539.390226214</v>
      </c>
      <c r="X80" s="214">
        <f t="shared" si="5"/>
        <v>16226346.052076101</v>
      </c>
      <c r="Y80" s="215">
        <f t="shared" si="6"/>
        <v>468.0631739716763</v>
      </c>
      <c r="Z80" s="81"/>
      <c r="AA80" s="94">
        <f t="shared" si="7"/>
        <v>-1717627.370203808</v>
      </c>
      <c r="AB80" s="153">
        <f t="shared" si="8"/>
        <v>-49.54646696292751</v>
      </c>
      <c r="AD80" s="216"/>
      <c r="AE80" s="224"/>
      <c r="AF80" s="224"/>
      <c r="AG80" s="224"/>
      <c r="AH80" s="225"/>
      <c r="AJ80" s="81">
        <f t="shared" si="9"/>
        <v>95867662.512949</v>
      </c>
      <c r="AK80" s="81">
        <f t="shared" si="10"/>
        <v>2192327.114599823</v>
      </c>
      <c r="AL80" s="81">
        <f t="shared" si="11"/>
        <v>14108929.060729858</v>
      </c>
      <c r="AM80" s="81">
        <f t="shared" si="17"/>
        <v>115051967.56722297</v>
      </c>
      <c r="AN80" s="81">
        <f t="shared" si="12"/>
        <v>0</v>
      </c>
      <c r="AO80" s="81">
        <f t="shared" si="13"/>
        <v>0</v>
      </c>
      <c r="AP80" s="81">
        <f t="shared" si="14"/>
        <v>0</v>
      </c>
      <c r="AQ80" s="81">
        <f t="shared" si="15"/>
        <v>0</v>
      </c>
      <c r="AR80" s="81">
        <f t="shared" si="16"/>
        <v>0</v>
      </c>
      <c r="AS80" s="82">
        <v>11670</v>
      </c>
      <c r="AT80" s="82">
        <v>412</v>
      </c>
      <c r="AU80" s="82"/>
      <c r="AV80" s="82">
        <v>412</v>
      </c>
      <c r="AW80" s="82">
        <f>20322268.1125116*(0.001)</f>
        <v>20322.268112511578</v>
      </c>
      <c r="AX80" s="82">
        <v>5825.997916531175</v>
      </c>
      <c r="AY80" s="82">
        <v>8242.103643145918</v>
      </c>
      <c r="AZ80" s="408"/>
      <c r="BA80" s="81"/>
      <c r="BB80" s="81"/>
      <c r="BC80" s="81"/>
      <c r="BD80" s="81"/>
      <c r="BE80" s="81"/>
      <c r="BF80" s="81"/>
      <c r="BG80" s="81"/>
      <c r="BO80" s="114"/>
    </row>
    <row r="81" spans="1:67" ht="12.75">
      <c r="A81" s="81">
        <v>204</v>
      </c>
      <c r="B81" s="81" t="s">
        <v>204</v>
      </c>
      <c r="C81" s="81">
        <v>11</v>
      </c>
      <c r="D81" s="81">
        <v>2807</v>
      </c>
      <c r="E81" s="100">
        <v>5763409.267126091</v>
      </c>
      <c r="F81" s="81">
        <v>4010762.0216105958</v>
      </c>
      <c r="G81" s="81">
        <v>1193824.868101237</v>
      </c>
      <c r="H81" s="81">
        <v>851671.8004885109</v>
      </c>
      <c r="I81" s="156">
        <v>1396434.8701254528</v>
      </c>
      <c r="J81" s="156">
        <v>578229.3565197447</v>
      </c>
      <c r="K81" s="81">
        <v>-617406.8780839371</v>
      </c>
      <c r="L81" s="81">
        <v>-551676</v>
      </c>
      <c r="M81" s="82">
        <v>86800</v>
      </c>
      <c r="N81" s="82">
        <v>26729.836513076472</v>
      </c>
      <c r="O81" s="214">
        <f t="shared" si="3"/>
        <v>1211960.6081485897</v>
      </c>
      <c r="P81" s="215">
        <f t="shared" si="4"/>
        <v>431.76366517584245</v>
      </c>
      <c r="Q81" s="81"/>
      <c r="R81" s="223">
        <v>22945348</v>
      </c>
      <c r="S81" s="156">
        <v>8745764.298051763</v>
      </c>
      <c r="T81" s="156">
        <v>1277507.7007327664</v>
      </c>
      <c r="U81" s="156">
        <v>10642940.279788615</v>
      </c>
      <c r="V81" s="156">
        <v>1953200.2102623102</v>
      </c>
      <c r="W81" s="156">
        <v>728948.8681012371</v>
      </c>
      <c r="X81" s="214">
        <f t="shared" si="5"/>
        <v>403013.3569366932</v>
      </c>
      <c r="Y81" s="215">
        <f t="shared" si="6"/>
        <v>143.5744057487329</v>
      </c>
      <c r="Z81" s="81"/>
      <c r="AA81" s="94">
        <f t="shared" si="7"/>
        <v>808947.2512118965</v>
      </c>
      <c r="AB81" s="153">
        <f t="shared" si="8"/>
        <v>288.18925942710956</v>
      </c>
      <c r="AD81" s="216"/>
      <c r="AE81" s="224"/>
      <c r="AF81" s="224"/>
      <c r="AG81" s="224"/>
      <c r="AH81" s="225"/>
      <c r="AJ81" s="81">
        <f t="shared" si="9"/>
        <v>4735002.276441168</v>
      </c>
      <c r="AK81" s="81">
        <f t="shared" si="10"/>
        <v>425835.90024425555</v>
      </c>
      <c r="AL81" s="81">
        <f t="shared" si="11"/>
        <v>9246505.409663163</v>
      </c>
      <c r="AM81" s="81">
        <f t="shared" si="17"/>
        <v>17181938.73287391</v>
      </c>
      <c r="AN81" s="81">
        <f t="shared" si="12"/>
        <v>0</v>
      </c>
      <c r="AO81" s="81">
        <f t="shared" si="13"/>
        <v>0</v>
      </c>
      <c r="AP81" s="81">
        <f t="shared" si="14"/>
        <v>0</v>
      </c>
      <c r="AQ81" s="81">
        <f t="shared" si="15"/>
        <v>0</v>
      </c>
      <c r="AR81" s="81">
        <f t="shared" si="16"/>
        <v>0</v>
      </c>
      <c r="AS81" s="82">
        <v>797</v>
      </c>
      <c r="AT81" s="82"/>
      <c r="AU81" s="82"/>
      <c r="AV81" s="82">
        <v>0</v>
      </c>
      <c r="AW81" s="82">
        <f>8295622.09049779*(0.001)</f>
        <v>8295.622090497789</v>
      </c>
      <c r="AX81" s="82">
        <v>-1349.5168313502104</v>
      </c>
      <c r="AY81" s="82">
        <v>1374.9708537425654</v>
      </c>
      <c r="AZ81" s="408"/>
      <c r="BA81" s="81"/>
      <c r="BB81" s="81"/>
      <c r="BC81" s="81"/>
      <c r="BD81" s="81"/>
      <c r="BE81" s="81"/>
      <c r="BF81" s="81"/>
      <c r="BG81" s="81"/>
      <c r="BO81" s="114"/>
    </row>
    <row r="82" spans="1:67" ht="12.75">
      <c r="A82" s="81">
        <v>205</v>
      </c>
      <c r="B82" s="81" t="s">
        <v>205</v>
      </c>
      <c r="C82" s="81">
        <v>18</v>
      </c>
      <c r="D82" s="81">
        <v>36567</v>
      </c>
      <c r="E82" s="100">
        <v>129069945.60539383</v>
      </c>
      <c r="F82" s="81">
        <v>53834976.00984973</v>
      </c>
      <c r="G82" s="81">
        <v>10724551.906691855</v>
      </c>
      <c r="H82" s="81">
        <v>4101626.2621157803</v>
      </c>
      <c r="I82" s="156">
        <v>21316604.71443193</v>
      </c>
      <c r="J82" s="156">
        <v>5223654.520627411</v>
      </c>
      <c r="K82" s="81">
        <v>-2029347.2354629803</v>
      </c>
      <c r="L82" s="81">
        <v>27960179</v>
      </c>
      <c r="M82" s="82">
        <v>10908480</v>
      </c>
      <c r="N82" s="82">
        <v>376278.2594156521</v>
      </c>
      <c r="O82" s="214">
        <f t="shared" si="3"/>
        <v>3347057.8322755396</v>
      </c>
      <c r="P82" s="215">
        <f t="shared" si="4"/>
        <v>91.53219657821369</v>
      </c>
      <c r="Q82" s="81"/>
      <c r="R82" s="223">
        <v>274899727</v>
      </c>
      <c r="S82" s="156">
        <v>124433735.77457213</v>
      </c>
      <c r="T82" s="156">
        <v>6152439.393173671</v>
      </c>
      <c r="U82" s="156">
        <v>79081371.96826279</v>
      </c>
      <c r="V82" s="156">
        <v>17800389.51662839</v>
      </c>
      <c r="W82" s="156">
        <v>49593210.90669186</v>
      </c>
      <c r="X82" s="214">
        <f t="shared" si="5"/>
        <v>2161420.5593287945</v>
      </c>
      <c r="Y82" s="215">
        <f t="shared" si="6"/>
        <v>59.108501089200495</v>
      </c>
      <c r="Z82" s="81"/>
      <c r="AA82" s="94">
        <f t="shared" si="7"/>
        <v>1185637.2729467452</v>
      </c>
      <c r="AB82" s="153">
        <f t="shared" si="8"/>
        <v>32.423695489013184</v>
      </c>
      <c r="AD82" s="216"/>
      <c r="AE82" s="224"/>
      <c r="AF82" s="224"/>
      <c r="AG82" s="224"/>
      <c r="AH82" s="225"/>
      <c r="AJ82" s="81">
        <f t="shared" si="9"/>
        <v>70598759.7647224</v>
      </c>
      <c r="AK82" s="81">
        <f t="shared" si="10"/>
        <v>2050813.131057891</v>
      </c>
      <c r="AL82" s="81">
        <f t="shared" si="11"/>
        <v>57764767.253830865</v>
      </c>
      <c r="AM82" s="81">
        <f t="shared" si="17"/>
        <v>145829781.39460617</v>
      </c>
      <c r="AN82" s="81">
        <f t="shared" si="12"/>
        <v>0</v>
      </c>
      <c r="AO82" s="81">
        <f t="shared" si="13"/>
        <v>0</v>
      </c>
      <c r="AP82" s="81">
        <f t="shared" si="14"/>
        <v>0</v>
      </c>
      <c r="AQ82" s="81">
        <f t="shared" si="15"/>
        <v>0</v>
      </c>
      <c r="AR82" s="81">
        <f t="shared" si="16"/>
        <v>0</v>
      </c>
      <c r="AS82" s="82">
        <v>17821</v>
      </c>
      <c r="AT82" s="82"/>
      <c r="AU82" s="82">
        <v>390</v>
      </c>
      <c r="AV82" s="82">
        <v>390</v>
      </c>
      <c r="AW82" s="82">
        <f>49909504.2631905*(0.001)</f>
        <v>49909.50426319049</v>
      </c>
      <c r="AX82" s="82">
        <v>-7704.818059204459</v>
      </c>
      <c r="AY82" s="82">
        <v>12576.734996000978</v>
      </c>
      <c r="AZ82" s="408"/>
      <c r="BA82" s="81"/>
      <c r="BB82" s="81"/>
      <c r="BC82" s="81"/>
      <c r="BD82" s="81"/>
      <c r="BE82" s="81"/>
      <c r="BF82" s="81"/>
      <c r="BG82" s="81"/>
      <c r="BO82" s="114"/>
    </row>
    <row r="83" spans="1:67" ht="12.75">
      <c r="A83" s="81">
        <v>208</v>
      </c>
      <c r="B83" s="81" t="s">
        <v>206</v>
      </c>
      <c r="C83" s="81">
        <v>17</v>
      </c>
      <c r="D83" s="81">
        <v>12400</v>
      </c>
      <c r="E83" s="100">
        <v>33215558.041575834</v>
      </c>
      <c r="F83" s="81">
        <v>16449426.660427576</v>
      </c>
      <c r="G83" s="81">
        <v>5291767.5522994315</v>
      </c>
      <c r="H83" s="81">
        <v>1461175.9375953665</v>
      </c>
      <c r="I83" s="156">
        <v>12056476.986471212</v>
      </c>
      <c r="J83" s="156">
        <v>2113677.9915940603</v>
      </c>
      <c r="K83" s="81">
        <v>1824131.2636304135</v>
      </c>
      <c r="L83" s="81">
        <v>-498886</v>
      </c>
      <c r="M83" s="82">
        <v>303000</v>
      </c>
      <c r="N83" s="82">
        <v>114276.47865472532</v>
      </c>
      <c r="O83" s="214">
        <f t="shared" si="3"/>
        <v>5899488.829096951</v>
      </c>
      <c r="P83" s="215">
        <f t="shared" si="4"/>
        <v>475.7652281529799</v>
      </c>
      <c r="Q83" s="81"/>
      <c r="R83" s="223">
        <v>78049120</v>
      </c>
      <c r="S83" s="156">
        <v>37782662.89234906</v>
      </c>
      <c r="T83" s="156">
        <v>2191763.9063930498</v>
      </c>
      <c r="U83" s="156">
        <v>32545008.479384862</v>
      </c>
      <c r="V83" s="156">
        <v>7160691.068143339</v>
      </c>
      <c r="W83" s="156">
        <v>5095881.5522994315</v>
      </c>
      <c r="X83" s="214">
        <f t="shared" si="5"/>
        <v>6726887.898569733</v>
      </c>
      <c r="Y83" s="215">
        <f t="shared" si="6"/>
        <v>542.4909595620752</v>
      </c>
      <c r="Z83" s="81"/>
      <c r="AA83" s="94">
        <f t="shared" si="7"/>
        <v>-827399.0694727823</v>
      </c>
      <c r="AB83" s="153">
        <f t="shared" si="8"/>
        <v>-66.72573140909535</v>
      </c>
      <c r="AD83" s="216"/>
      <c r="AE83" s="224"/>
      <c r="AF83" s="224"/>
      <c r="AG83" s="224"/>
      <c r="AH83" s="225"/>
      <c r="AJ83" s="81">
        <f t="shared" si="9"/>
        <v>21333236.23192148</v>
      </c>
      <c r="AK83" s="81">
        <f t="shared" si="10"/>
        <v>730587.9687976833</v>
      </c>
      <c r="AL83" s="81">
        <f t="shared" si="11"/>
        <v>20488531.49291365</v>
      </c>
      <c r="AM83" s="81">
        <f t="shared" si="17"/>
        <v>44833561.958424166</v>
      </c>
      <c r="AN83" s="81">
        <f t="shared" si="12"/>
        <v>0</v>
      </c>
      <c r="AO83" s="81">
        <f t="shared" si="13"/>
        <v>0</v>
      </c>
      <c r="AP83" s="81">
        <f t="shared" si="14"/>
        <v>0</v>
      </c>
      <c r="AQ83" s="81">
        <f t="shared" si="15"/>
        <v>0</v>
      </c>
      <c r="AR83" s="81">
        <f t="shared" si="16"/>
        <v>0</v>
      </c>
      <c r="AS83" s="82">
        <v>5866</v>
      </c>
      <c r="AT83" s="82">
        <v>11</v>
      </c>
      <c r="AU83" s="82">
        <v>1</v>
      </c>
      <c r="AV83" s="82">
        <v>12</v>
      </c>
      <c r="AW83" s="82">
        <f>15675385.3201262*(0.001)</f>
        <v>15675.38532012622</v>
      </c>
      <c r="AX83" s="82">
        <v>-5207.536961846421</v>
      </c>
      <c r="AY83" s="82">
        <v>5047.013076549279</v>
      </c>
      <c r="AZ83" s="408"/>
      <c r="BA83" s="81"/>
      <c r="BB83" s="81"/>
      <c r="BC83" s="81"/>
      <c r="BD83" s="81"/>
      <c r="BE83" s="81"/>
      <c r="BF83" s="81"/>
      <c r="BG83" s="81"/>
      <c r="BO83" s="114"/>
    </row>
    <row r="84" spans="1:67" ht="12.75">
      <c r="A84" s="81">
        <v>211</v>
      </c>
      <c r="B84" s="81" t="s">
        <v>207</v>
      </c>
      <c r="C84" s="81">
        <v>6</v>
      </c>
      <c r="D84" s="81">
        <v>32214</v>
      </c>
      <c r="E84" s="100">
        <v>100241529.3530307</v>
      </c>
      <c r="F84" s="81">
        <v>55488929.71532196</v>
      </c>
      <c r="G84" s="81">
        <v>7831075.572486845</v>
      </c>
      <c r="H84" s="81">
        <v>3471713.2771790484</v>
      </c>
      <c r="I84" s="156">
        <v>20399096.938039932</v>
      </c>
      <c r="J84" s="156">
        <v>3804143.450370474</v>
      </c>
      <c r="K84" s="81">
        <v>6686089.240733727</v>
      </c>
      <c r="L84" s="81">
        <v>-4373751</v>
      </c>
      <c r="M84" s="82">
        <v>237100</v>
      </c>
      <c r="N84" s="82">
        <v>401085.39944312535</v>
      </c>
      <c r="O84" s="214">
        <f aca="true" t="shared" si="18" ref="O84:O147">N84+M84+L84+K84+J84+I84+H84+G84+F84-E84</f>
        <v>-6296046.759455577</v>
      </c>
      <c r="P84" s="215">
        <f aca="true" t="shared" si="19" ref="P84:P147">O84/D84</f>
        <v>-195.4444266298993</v>
      </c>
      <c r="Q84" s="81"/>
      <c r="R84" s="223">
        <v>194766141.66</v>
      </c>
      <c r="S84" s="156">
        <v>131192261.32408936</v>
      </c>
      <c r="T84" s="156">
        <v>5207569.915768573</v>
      </c>
      <c r="U84" s="156">
        <v>39603073.33116433</v>
      </c>
      <c r="V84" s="156">
        <v>13051587.093974901</v>
      </c>
      <c r="W84" s="156">
        <v>3694424.572486845</v>
      </c>
      <c r="X84" s="214">
        <f aca="true" t="shared" si="20" ref="X84:X147">W84+V84+U84+T84+S84-R84</f>
        <v>-2017225.4225159883</v>
      </c>
      <c r="Y84" s="215">
        <f aca="true" t="shared" si="21" ref="Y84:Y147">X84/D84</f>
        <v>-62.61952637101845</v>
      </c>
      <c r="Z84" s="81"/>
      <c r="AA84" s="94">
        <f aca="true" t="shared" si="22" ref="AA84:AA147">O84-X84</f>
        <v>-4278821.336939588</v>
      </c>
      <c r="AB84" s="153">
        <f aca="true" t="shared" si="23" ref="AB84:AB147">AA84/D84</f>
        <v>-132.82490025888086</v>
      </c>
      <c r="AD84" s="216"/>
      <c r="AE84" s="224"/>
      <c r="AF84" s="224"/>
      <c r="AG84" s="224"/>
      <c r="AH84" s="225"/>
      <c r="AJ84" s="81">
        <f aca="true" t="shared" si="24" ref="AJ84:AJ147">S84-F84</f>
        <v>75703331.6087674</v>
      </c>
      <c r="AK84" s="81">
        <f aca="true" t="shared" si="25" ref="AK84:AK147">T84-H84</f>
        <v>1735856.6385895247</v>
      </c>
      <c r="AL84" s="81">
        <f aca="true" t="shared" si="26" ref="AL84:AL147">U84-I84</f>
        <v>19203976.393124398</v>
      </c>
      <c r="AM84" s="81">
        <f aca="true" t="shared" si="27" ref="AM84:AM147">R84-E84</f>
        <v>94524612.3069693</v>
      </c>
      <c r="AN84" s="81">
        <f aca="true" t="shared" si="28" ref="AN84:AN147">AD84</f>
        <v>0</v>
      </c>
      <c r="AO84" s="81">
        <f aca="true" t="shared" si="29" ref="AO84:AO147">AE84</f>
        <v>0</v>
      </c>
      <c r="AP84" s="81">
        <f aca="true" t="shared" si="30" ref="AP84:AP147">AF84</f>
        <v>0</v>
      </c>
      <c r="AQ84" s="81">
        <f aca="true" t="shared" si="31" ref="AQ84:AQ147">AG84</f>
        <v>0</v>
      </c>
      <c r="AR84" s="81">
        <f aca="true" t="shared" si="32" ref="AR84:AR147">AH84</f>
        <v>0</v>
      </c>
      <c r="AS84" s="82">
        <v>13335</v>
      </c>
      <c r="AT84" s="82">
        <v>308</v>
      </c>
      <c r="AU84" s="82"/>
      <c r="AV84" s="82">
        <v>308</v>
      </c>
      <c r="AW84" s="82">
        <f>21073160.8211639*(0.001)</f>
        <v>21073.16082116393</v>
      </c>
      <c r="AX84" s="82">
        <v>1675.7987858059212</v>
      </c>
      <c r="AY84" s="82">
        <v>9247.443643604427</v>
      </c>
      <c r="AZ84" s="408"/>
      <c r="BA84" s="81"/>
      <c r="BB84" s="81"/>
      <c r="BC84" s="81"/>
      <c r="BD84" s="81"/>
      <c r="BE84" s="81"/>
      <c r="BF84" s="81"/>
      <c r="BG84" s="81"/>
      <c r="BO84" s="114"/>
    </row>
    <row r="85" spans="1:67" ht="12.75">
      <c r="A85" s="81">
        <v>213</v>
      </c>
      <c r="B85" s="81" t="s">
        <v>208</v>
      </c>
      <c r="C85" s="81">
        <v>10</v>
      </c>
      <c r="D85" s="81">
        <v>5312</v>
      </c>
      <c r="E85" s="100">
        <v>13883219.389504984</v>
      </c>
      <c r="F85" s="81">
        <v>7509184.169070609</v>
      </c>
      <c r="G85" s="81">
        <v>1901033.9360527107</v>
      </c>
      <c r="H85" s="81">
        <v>2088150.4507939594</v>
      </c>
      <c r="I85" s="156">
        <v>1443834.940032335</v>
      </c>
      <c r="J85" s="156">
        <v>1037115.9872648804</v>
      </c>
      <c r="K85" s="81">
        <v>445976.7584098736</v>
      </c>
      <c r="L85" s="81">
        <v>-718934</v>
      </c>
      <c r="M85" s="82">
        <v>140000</v>
      </c>
      <c r="N85" s="82">
        <v>53907.10817161819</v>
      </c>
      <c r="O85" s="214">
        <f t="shared" si="18"/>
        <v>17049.960291001946</v>
      </c>
      <c r="P85" s="215">
        <f t="shared" si="19"/>
        <v>3.2097063800831975</v>
      </c>
      <c r="Q85" s="81"/>
      <c r="R85" s="223">
        <v>40530000</v>
      </c>
      <c r="S85" s="156">
        <v>16873173.419140853</v>
      </c>
      <c r="T85" s="156">
        <v>3132225.6761909393</v>
      </c>
      <c r="U85" s="156">
        <v>16191100.334906116</v>
      </c>
      <c r="V85" s="156">
        <v>3506762.3059492754</v>
      </c>
      <c r="W85" s="156">
        <v>1322099.9360527107</v>
      </c>
      <c r="X85" s="214">
        <f t="shared" si="20"/>
        <v>495361.67223989964</v>
      </c>
      <c r="Y85" s="215">
        <f t="shared" si="21"/>
        <v>93.25332685239074</v>
      </c>
      <c r="Z85" s="81"/>
      <c r="AA85" s="94">
        <f t="shared" si="22"/>
        <v>-478311.7119488977</v>
      </c>
      <c r="AB85" s="153">
        <f t="shared" si="23"/>
        <v>-90.04362047230755</v>
      </c>
      <c r="AD85" s="216"/>
      <c r="AE85" s="224"/>
      <c r="AF85" s="224"/>
      <c r="AG85" s="224"/>
      <c r="AH85" s="225"/>
      <c r="AJ85" s="81">
        <f t="shared" si="24"/>
        <v>9363989.250070244</v>
      </c>
      <c r="AK85" s="81">
        <f t="shared" si="25"/>
        <v>1044075.2253969798</v>
      </c>
      <c r="AL85" s="81">
        <f t="shared" si="26"/>
        <v>14747265.394873781</v>
      </c>
      <c r="AM85" s="81">
        <f t="shared" si="27"/>
        <v>26646780.610495016</v>
      </c>
      <c r="AN85" s="81">
        <f t="shared" si="28"/>
        <v>0</v>
      </c>
      <c r="AO85" s="81">
        <f t="shared" si="29"/>
        <v>0</v>
      </c>
      <c r="AP85" s="81">
        <f t="shared" si="30"/>
        <v>0</v>
      </c>
      <c r="AQ85" s="81">
        <f t="shared" si="31"/>
        <v>0</v>
      </c>
      <c r="AR85" s="81">
        <f t="shared" si="32"/>
        <v>0</v>
      </c>
      <c r="AS85" s="82">
        <v>1672</v>
      </c>
      <c r="AT85" s="82"/>
      <c r="AU85" s="82">
        <v>9</v>
      </c>
      <c r="AV85" s="82">
        <v>9</v>
      </c>
      <c r="AW85" s="82">
        <f>12737811.7924769*(0.001)</f>
        <v>12737.811792476896</v>
      </c>
      <c r="AX85" s="82">
        <v>-1830.9025423113726</v>
      </c>
      <c r="AY85" s="82">
        <v>2469.646318684395</v>
      </c>
      <c r="AZ85" s="408"/>
      <c r="BA85" s="81"/>
      <c r="BB85" s="81"/>
      <c r="BC85" s="81"/>
      <c r="BD85" s="81"/>
      <c r="BE85" s="81"/>
      <c r="BF85" s="81"/>
      <c r="BG85" s="81"/>
      <c r="BO85" s="114"/>
    </row>
    <row r="86" spans="1:67" ht="12.75">
      <c r="A86" s="81">
        <v>214</v>
      </c>
      <c r="B86" s="81" t="s">
        <v>209</v>
      </c>
      <c r="C86" s="81">
        <v>4</v>
      </c>
      <c r="D86" s="81">
        <v>12758</v>
      </c>
      <c r="E86" s="100">
        <v>34522801.65320682</v>
      </c>
      <c r="F86" s="81">
        <v>18508394.21610079</v>
      </c>
      <c r="G86" s="81">
        <v>4225572.984950663</v>
      </c>
      <c r="H86" s="81">
        <v>2386523.2459275285</v>
      </c>
      <c r="I86" s="156">
        <v>7494198.165008656</v>
      </c>
      <c r="J86" s="156">
        <v>2402557.5725651896</v>
      </c>
      <c r="K86" s="81">
        <v>-867994.4962766755</v>
      </c>
      <c r="L86" s="81">
        <v>-363363</v>
      </c>
      <c r="M86" s="82">
        <v>661000</v>
      </c>
      <c r="N86" s="82">
        <v>120149.58314027463</v>
      </c>
      <c r="O86" s="214">
        <f t="shared" si="18"/>
        <v>44236.6182096079</v>
      </c>
      <c r="P86" s="215">
        <f t="shared" si="19"/>
        <v>3.4673630827408606</v>
      </c>
      <c r="Q86" s="81"/>
      <c r="R86" s="223">
        <v>86285632.69</v>
      </c>
      <c r="S86" s="156">
        <v>40512900.947605774</v>
      </c>
      <c r="T86" s="156">
        <v>3579784.8688912927</v>
      </c>
      <c r="U86" s="156">
        <v>29656306.718106303</v>
      </c>
      <c r="V86" s="156">
        <v>8136113.104911009</v>
      </c>
      <c r="W86" s="156">
        <v>4523209.984950663</v>
      </c>
      <c r="X86" s="214">
        <f t="shared" si="20"/>
        <v>122682.9344650507</v>
      </c>
      <c r="Y86" s="215">
        <f t="shared" si="21"/>
        <v>9.616157271127975</v>
      </c>
      <c r="Z86" s="81"/>
      <c r="AA86" s="94">
        <f t="shared" si="22"/>
        <v>-78446.3162554428</v>
      </c>
      <c r="AB86" s="153">
        <f t="shared" si="23"/>
        <v>-6.148794188387114</v>
      </c>
      <c r="AD86" s="216"/>
      <c r="AE86" s="224"/>
      <c r="AF86" s="224"/>
      <c r="AG86" s="224"/>
      <c r="AH86" s="225"/>
      <c r="AJ86" s="81">
        <f t="shared" si="24"/>
        <v>22004506.731504984</v>
      </c>
      <c r="AK86" s="81">
        <f t="shared" si="25"/>
        <v>1193261.6229637642</v>
      </c>
      <c r="AL86" s="81">
        <f t="shared" si="26"/>
        <v>22162108.553097647</v>
      </c>
      <c r="AM86" s="81">
        <f t="shared" si="27"/>
        <v>51762831.03679318</v>
      </c>
      <c r="AN86" s="81">
        <f t="shared" si="28"/>
        <v>0</v>
      </c>
      <c r="AO86" s="81">
        <f t="shared" si="29"/>
        <v>0</v>
      </c>
      <c r="AP86" s="81">
        <f t="shared" si="30"/>
        <v>0</v>
      </c>
      <c r="AQ86" s="81">
        <f t="shared" si="31"/>
        <v>0</v>
      </c>
      <c r="AR86" s="81">
        <f t="shared" si="32"/>
        <v>0</v>
      </c>
      <c r="AS86" s="82">
        <v>3949</v>
      </c>
      <c r="AT86" s="82"/>
      <c r="AU86" s="82">
        <v>4</v>
      </c>
      <c r="AV86" s="82">
        <v>4</v>
      </c>
      <c r="AW86" s="82">
        <f>16850455.4908329*(0.001)</f>
        <v>16850.45549083285</v>
      </c>
      <c r="AX86" s="82">
        <v>-4660.410730283286</v>
      </c>
      <c r="AY86" s="82">
        <v>5733.555532345819</v>
      </c>
      <c r="AZ86" s="408"/>
      <c r="BA86" s="81"/>
      <c r="BB86" s="81"/>
      <c r="BC86" s="81"/>
      <c r="BD86" s="81"/>
      <c r="BE86" s="81"/>
      <c r="BF86" s="81"/>
      <c r="BG86" s="81"/>
      <c r="BO86" s="114"/>
    </row>
    <row r="87" spans="1:67" ht="12.75">
      <c r="A87" s="81">
        <v>216</v>
      </c>
      <c r="B87" s="81" t="s">
        <v>210</v>
      </c>
      <c r="C87" s="81">
        <v>13</v>
      </c>
      <c r="D87" s="81">
        <v>1323</v>
      </c>
      <c r="E87" s="100">
        <v>3546018.5018329937</v>
      </c>
      <c r="F87" s="81">
        <v>1577998.3839043751</v>
      </c>
      <c r="G87" s="81">
        <v>534487.9704787559</v>
      </c>
      <c r="H87" s="81">
        <v>476341.59955752944</v>
      </c>
      <c r="I87" s="156">
        <v>1122537.5759535674</v>
      </c>
      <c r="J87" s="156">
        <v>282138.43565477186</v>
      </c>
      <c r="K87" s="81">
        <v>231526.53509465427</v>
      </c>
      <c r="L87" s="81">
        <v>-342974</v>
      </c>
      <c r="M87" s="82">
        <v>-50000</v>
      </c>
      <c r="N87" s="82">
        <v>10882.419866497312</v>
      </c>
      <c r="O87" s="214">
        <f t="shared" si="18"/>
        <v>296920.4186771577</v>
      </c>
      <c r="P87" s="215">
        <f t="shared" si="19"/>
        <v>224.42964374690683</v>
      </c>
      <c r="Q87" s="81"/>
      <c r="R87" s="223">
        <v>10668000</v>
      </c>
      <c r="S87" s="156">
        <v>3440940.6184033947</v>
      </c>
      <c r="T87" s="156">
        <v>714512.3993362943</v>
      </c>
      <c r="U87" s="156">
        <v>5786862.443908543</v>
      </c>
      <c r="V87" s="156">
        <v>951247.6043340587</v>
      </c>
      <c r="W87" s="156">
        <v>141513.9704787559</v>
      </c>
      <c r="X87" s="214">
        <f t="shared" si="20"/>
        <v>367077.0364610478</v>
      </c>
      <c r="Y87" s="215">
        <f t="shared" si="21"/>
        <v>277.45807744599233</v>
      </c>
      <c r="Z87" s="81"/>
      <c r="AA87" s="94">
        <f t="shared" si="22"/>
        <v>-70156.6177838901</v>
      </c>
      <c r="AB87" s="153">
        <f t="shared" si="23"/>
        <v>-53.02843369908549</v>
      </c>
      <c r="AD87" s="216"/>
      <c r="AE87" s="224"/>
      <c r="AF87" s="224"/>
      <c r="AG87" s="224"/>
      <c r="AH87" s="225"/>
      <c r="AJ87" s="81">
        <f t="shared" si="24"/>
        <v>1862942.2344990196</v>
      </c>
      <c r="AK87" s="81">
        <f t="shared" si="25"/>
        <v>238170.79977876483</v>
      </c>
      <c r="AL87" s="81">
        <f t="shared" si="26"/>
        <v>4664324.867954976</v>
      </c>
      <c r="AM87" s="81">
        <f t="shared" si="27"/>
        <v>7121981.498167006</v>
      </c>
      <c r="AN87" s="81">
        <f t="shared" si="28"/>
        <v>0</v>
      </c>
      <c r="AO87" s="81">
        <f t="shared" si="29"/>
        <v>0</v>
      </c>
      <c r="AP87" s="81">
        <f t="shared" si="30"/>
        <v>0</v>
      </c>
      <c r="AQ87" s="81">
        <f t="shared" si="31"/>
        <v>0</v>
      </c>
      <c r="AR87" s="81">
        <f t="shared" si="32"/>
        <v>0</v>
      </c>
      <c r="AS87" s="82">
        <v>1144</v>
      </c>
      <c r="AT87" s="82"/>
      <c r="AU87" s="82"/>
      <c r="AV87" s="82">
        <v>0</v>
      </c>
      <c r="AW87" s="82">
        <f>4022867.66365271*(0.001)</f>
        <v>4022.8676636527134</v>
      </c>
      <c r="AX87" s="82">
        <v>-726.2600138112219</v>
      </c>
      <c r="AY87" s="82">
        <v>669.1091686792869</v>
      </c>
      <c r="AZ87" s="408"/>
      <c r="BA87" s="81"/>
      <c r="BB87" s="81"/>
      <c r="BC87" s="81"/>
      <c r="BD87" s="81"/>
      <c r="BE87" s="81"/>
      <c r="BF87" s="81"/>
      <c r="BG87" s="81"/>
      <c r="BO87" s="114"/>
    </row>
    <row r="88" spans="1:67" ht="12.75">
      <c r="A88" s="81">
        <v>217</v>
      </c>
      <c r="B88" s="81" t="s">
        <v>211</v>
      </c>
      <c r="C88" s="81">
        <v>16</v>
      </c>
      <c r="D88" s="81">
        <v>5426</v>
      </c>
      <c r="E88" s="100">
        <v>14007386.898579665</v>
      </c>
      <c r="F88" s="81">
        <v>7490229.243195829</v>
      </c>
      <c r="G88" s="81">
        <v>1847196.5163546684</v>
      </c>
      <c r="H88" s="81">
        <v>769680.1735735303</v>
      </c>
      <c r="I88" s="156">
        <v>5337472.814126344</v>
      </c>
      <c r="J88" s="156">
        <v>941606.6979831238</v>
      </c>
      <c r="K88" s="81">
        <v>-190847.92843718082</v>
      </c>
      <c r="L88" s="81">
        <v>-232631</v>
      </c>
      <c r="M88" s="82">
        <v>16000</v>
      </c>
      <c r="N88" s="82">
        <v>48376.261016399025</v>
      </c>
      <c r="O88" s="214">
        <f t="shared" si="18"/>
        <v>2019695.879233051</v>
      </c>
      <c r="P88" s="215">
        <f t="shared" si="19"/>
        <v>372.2255582810636</v>
      </c>
      <c r="Q88" s="81"/>
      <c r="R88" s="223">
        <v>34785433</v>
      </c>
      <c r="S88" s="156">
        <v>16445590.491968824</v>
      </c>
      <c r="T88" s="156">
        <v>1154520.2603602954</v>
      </c>
      <c r="U88" s="156">
        <v>13854140.421273887</v>
      </c>
      <c r="V88" s="156">
        <v>3188986.9042867925</v>
      </c>
      <c r="W88" s="156">
        <v>1630565.5163546684</v>
      </c>
      <c r="X88" s="214">
        <f t="shared" si="20"/>
        <v>1488370.5942444652</v>
      </c>
      <c r="Y88" s="215">
        <f t="shared" si="21"/>
        <v>274.30346373838285</v>
      </c>
      <c r="Z88" s="81"/>
      <c r="AA88" s="94">
        <f t="shared" si="22"/>
        <v>531325.2849885859</v>
      </c>
      <c r="AB88" s="153">
        <f t="shared" si="23"/>
        <v>97.92209454268077</v>
      </c>
      <c r="AD88" s="216"/>
      <c r="AE88" s="224"/>
      <c r="AF88" s="224"/>
      <c r="AG88" s="224"/>
      <c r="AH88" s="225"/>
      <c r="AJ88" s="81">
        <f t="shared" si="24"/>
        <v>8955361.248772994</v>
      </c>
      <c r="AK88" s="81">
        <f t="shared" si="25"/>
        <v>384840.08678676514</v>
      </c>
      <c r="AL88" s="81">
        <f t="shared" si="26"/>
        <v>8516667.607147543</v>
      </c>
      <c r="AM88" s="81">
        <f t="shared" si="27"/>
        <v>20778046.101420335</v>
      </c>
      <c r="AN88" s="81">
        <f t="shared" si="28"/>
        <v>0</v>
      </c>
      <c r="AO88" s="81">
        <f t="shared" si="29"/>
        <v>0</v>
      </c>
      <c r="AP88" s="81">
        <f t="shared" si="30"/>
        <v>0</v>
      </c>
      <c r="AQ88" s="81">
        <f t="shared" si="31"/>
        <v>0</v>
      </c>
      <c r="AR88" s="81">
        <f t="shared" si="32"/>
        <v>0</v>
      </c>
      <c r="AS88" s="82">
        <v>1159</v>
      </c>
      <c r="AT88" s="82"/>
      <c r="AU88" s="82">
        <v>20</v>
      </c>
      <c r="AV88" s="82">
        <v>20</v>
      </c>
      <c r="AW88" s="82">
        <f>6665062.54780079*(0.001)</f>
        <v>6665.062547800788</v>
      </c>
      <c r="AX88" s="82">
        <v>-2258.1936297928905</v>
      </c>
      <c r="AY88" s="82">
        <v>2247.3802063036687</v>
      </c>
      <c r="AZ88" s="408"/>
      <c r="BA88" s="81"/>
      <c r="BB88" s="81"/>
      <c r="BC88" s="81"/>
      <c r="BD88" s="81"/>
      <c r="BE88" s="81"/>
      <c r="BF88" s="81"/>
      <c r="BG88" s="81"/>
      <c r="BO88" s="114"/>
    </row>
    <row r="89" spans="1:67" ht="12.75">
      <c r="A89" s="81">
        <v>218</v>
      </c>
      <c r="B89" s="81" t="s">
        <v>212</v>
      </c>
      <c r="C89" s="81">
        <v>14</v>
      </c>
      <c r="D89" s="81">
        <v>1207</v>
      </c>
      <c r="E89" s="100">
        <v>2883041.9312912235</v>
      </c>
      <c r="F89" s="81">
        <v>1881793.4578855063</v>
      </c>
      <c r="G89" s="81">
        <v>292143.5285246619</v>
      </c>
      <c r="H89" s="81">
        <v>262325.447366425</v>
      </c>
      <c r="I89" s="156">
        <v>523312.26934449637</v>
      </c>
      <c r="J89" s="156">
        <v>306216.15720227733</v>
      </c>
      <c r="K89" s="81">
        <v>418390.86057949654</v>
      </c>
      <c r="L89" s="81">
        <v>-318134</v>
      </c>
      <c r="M89" s="82">
        <v>-18000</v>
      </c>
      <c r="N89" s="82">
        <v>11080.888825927186</v>
      </c>
      <c r="O89" s="214">
        <f t="shared" si="18"/>
        <v>476086.6784375673</v>
      </c>
      <c r="P89" s="215">
        <f t="shared" si="19"/>
        <v>394.43801030452966</v>
      </c>
      <c r="Q89" s="81"/>
      <c r="R89" s="223">
        <v>9248926</v>
      </c>
      <c r="S89" s="156">
        <v>3890062.9771371027</v>
      </c>
      <c r="T89" s="156">
        <v>393488.17104963755</v>
      </c>
      <c r="U89" s="156">
        <v>4699640.998576057</v>
      </c>
      <c r="V89" s="156">
        <v>1031442.9188411512</v>
      </c>
      <c r="W89" s="156">
        <v>-43990.4714753381</v>
      </c>
      <c r="X89" s="214">
        <f t="shared" si="20"/>
        <v>721718.5941286106</v>
      </c>
      <c r="Y89" s="215">
        <f t="shared" si="21"/>
        <v>597.944154207631</v>
      </c>
      <c r="Z89" s="81"/>
      <c r="AA89" s="94">
        <f t="shared" si="22"/>
        <v>-245631.91569104325</v>
      </c>
      <c r="AB89" s="153">
        <f t="shared" si="23"/>
        <v>-203.50614390310128</v>
      </c>
      <c r="AD89" s="216"/>
      <c r="AE89" s="224"/>
      <c r="AF89" s="224"/>
      <c r="AG89" s="224"/>
      <c r="AH89" s="225"/>
      <c r="AJ89" s="81">
        <f t="shared" si="24"/>
        <v>2008269.5192515964</v>
      </c>
      <c r="AK89" s="81">
        <f t="shared" si="25"/>
        <v>131162.72368321253</v>
      </c>
      <c r="AL89" s="81">
        <f t="shared" si="26"/>
        <v>4176328.7292315606</v>
      </c>
      <c r="AM89" s="81">
        <f t="shared" si="27"/>
        <v>6365884.0687087765</v>
      </c>
      <c r="AN89" s="81">
        <f t="shared" si="28"/>
        <v>0</v>
      </c>
      <c r="AO89" s="81">
        <f t="shared" si="29"/>
        <v>0</v>
      </c>
      <c r="AP89" s="81">
        <f t="shared" si="30"/>
        <v>0</v>
      </c>
      <c r="AQ89" s="81">
        <f t="shared" si="31"/>
        <v>0</v>
      </c>
      <c r="AR89" s="81">
        <f t="shared" si="32"/>
        <v>0</v>
      </c>
      <c r="AS89" s="82">
        <v>271</v>
      </c>
      <c r="AT89" s="82"/>
      <c r="AU89" s="82"/>
      <c r="AV89" s="82">
        <v>0</v>
      </c>
      <c r="AW89" s="82">
        <f>3647483.65411072*(0.001)</f>
        <v>3647.4836541107197</v>
      </c>
      <c r="AX89" s="82">
        <v>-562.6954591532187</v>
      </c>
      <c r="AY89" s="82">
        <v>725.2267616388739</v>
      </c>
      <c r="AZ89" s="408"/>
      <c r="BA89" s="81"/>
      <c r="BB89" s="81"/>
      <c r="BC89" s="81"/>
      <c r="BD89" s="81"/>
      <c r="BE89" s="81"/>
      <c r="BF89" s="81"/>
      <c r="BG89" s="81"/>
      <c r="BO89" s="114"/>
    </row>
    <row r="90" spans="1:67" ht="12.75">
      <c r="A90" s="81">
        <v>224</v>
      </c>
      <c r="B90" s="81" t="s">
        <v>213</v>
      </c>
      <c r="C90" s="81">
        <v>1</v>
      </c>
      <c r="D90" s="81">
        <v>8696</v>
      </c>
      <c r="E90" s="100">
        <v>21094026.251346283</v>
      </c>
      <c r="F90" s="81">
        <v>12376360.925987646</v>
      </c>
      <c r="G90" s="81">
        <v>2288324.9496169398</v>
      </c>
      <c r="H90" s="81">
        <v>911346.3864823402</v>
      </c>
      <c r="I90" s="156">
        <v>5605091.421392851</v>
      </c>
      <c r="J90" s="156">
        <v>1280565.4758482664</v>
      </c>
      <c r="K90" s="81">
        <v>-2031614.049917621</v>
      </c>
      <c r="L90" s="81">
        <v>-556799</v>
      </c>
      <c r="M90" s="82">
        <v>-245000</v>
      </c>
      <c r="N90" s="82">
        <v>83018.48683115139</v>
      </c>
      <c r="O90" s="214">
        <f t="shared" si="18"/>
        <v>-1382731.6551047117</v>
      </c>
      <c r="P90" s="215">
        <f t="shared" si="19"/>
        <v>-159.00778002584082</v>
      </c>
      <c r="Q90" s="81"/>
      <c r="R90" s="223">
        <v>56441440</v>
      </c>
      <c r="S90" s="156">
        <v>27949404.40668734</v>
      </c>
      <c r="T90" s="156">
        <v>1367019.5797235104</v>
      </c>
      <c r="U90" s="156">
        <v>18387544.748996675</v>
      </c>
      <c r="V90" s="156">
        <v>4355619.40175571</v>
      </c>
      <c r="W90" s="156">
        <v>1486525.9496169398</v>
      </c>
      <c r="X90" s="214">
        <f t="shared" si="20"/>
        <v>-2895325.9132198244</v>
      </c>
      <c r="Y90" s="215">
        <f t="shared" si="21"/>
        <v>-332.94916205379764</v>
      </c>
      <c r="Z90" s="81"/>
      <c r="AA90" s="94">
        <f t="shared" si="22"/>
        <v>1512594.2581151128</v>
      </c>
      <c r="AB90" s="153">
        <f t="shared" si="23"/>
        <v>173.94138202795685</v>
      </c>
      <c r="AD90" s="216"/>
      <c r="AE90" s="224"/>
      <c r="AF90" s="224"/>
      <c r="AG90" s="224"/>
      <c r="AH90" s="225"/>
      <c r="AJ90" s="81">
        <f t="shared" si="24"/>
        <v>15573043.480699696</v>
      </c>
      <c r="AK90" s="81">
        <f t="shared" si="25"/>
        <v>455673.19324117026</v>
      </c>
      <c r="AL90" s="81">
        <f t="shared" si="26"/>
        <v>12782453.327603824</v>
      </c>
      <c r="AM90" s="81">
        <f t="shared" si="27"/>
        <v>35347413.74865372</v>
      </c>
      <c r="AN90" s="81">
        <f t="shared" si="28"/>
        <v>0</v>
      </c>
      <c r="AO90" s="81">
        <f t="shared" si="29"/>
        <v>0</v>
      </c>
      <c r="AP90" s="81">
        <f t="shared" si="30"/>
        <v>0</v>
      </c>
      <c r="AQ90" s="81">
        <f t="shared" si="31"/>
        <v>0</v>
      </c>
      <c r="AR90" s="81">
        <f t="shared" si="32"/>
        <v>0</v>
      </c>
      <c r="AS90" s="82">
        <v>2897</v>
      </c>
      <c r="AT90" s="82"/>
      <c r="AU90" s="82"/>
      <c r="AV90" s="82">
        <v>0</v>
      </c>
      <c r="AW90" s="82">
        <f>10544813.5705989*(0.001)</f>
        <v>10544.813570598852</v>
      </c>
      <c r="AX90" s="82">
        <v>-2399.823650989972</v>
      </c>
      <c r="AY90" s="82">
        <v>3075.053925907444</v>
      </c>
      <c r="AZ90" s="408"/>
      <c r="BA90" s="81"/>
      <c r="BB90" s="81"/>
      <c r="BC90" s="81"/>
      <c r="BD90" s="81"/>
      <c r="BE90" s="81"/>
      <c r="BF90" s="81"/>
      <c r="BG90" s="81"/>
      <c r="BO90" s="114"/>
    </row>
    <row r="91" spans="1:67" ht="12.75">
      <c r="A91" s="81">
        <v>226</v>
      </c>
      <c r="B91" s="81" t="s">
        <v>214</v>
      </c>
      <c r="C91" s="81">
        <v>13</v>
      </c>
      <c r="D91" s="81">
        <v>3858</v>
      </c>
      <c r="E91" s="100">
        <v>9734308.48277961</v>
      </c>
      <c r="F91" s="81">
        <v>4945609.676894081</v>
      </c>
      <c r="G91" s="81">
        <v>1064345.058067159</v>
      </c>
      <c r="H91" s="81">
        <v>1074796.3656037096</v>
      </c>
      <c r="I91" s="156">
        <v>2643508.1890179426</v>
      </c>
      <c r="J91" s="156">
        <v>761179.3016670845</v>
      </c>
      <c r="K91" s="81">
        <v>647274.1301558512</v>
      </c>
      <c r="L91" s="81">
        <v>-19434</v>
      </c>
      <c r="M91" s="82">
        <v>-18000</v>
      </c>
      <c r="N91" s="82">
        <v>33639.548663412905</v>
      </c>
      <c r="O91" s="214">
        <f t="shared" si="18"/>
        <v>1398609.7872896306</v>
      </c>
      <c r="P91" s="215">
        <f t="shared" si="19"/>
        <v>362.5219770061251</v>
      </c>
      <c r="Q91" s="81"/>
      <c r="R91" s="223">
        <v>28445000</v>
      </c>
      <c r="S91" s="156">
        <v>10903135.87956977</v>
      </c>
      <c r="T91" s="156">
        <v>1612194.5484055644</v>
      </c>
      <c r="U91" s="156">
        <v>14167261.920181632</v>
      </c>
      <c r="V91" s="156">
        <v>2571685.930953148</v>
      </c>
      <c r="W91" s="156">
        <v>1026911.058067159</v>
      </c>
      <c r="X91" s="214">
        <f t="shared" si="20"/>
        <v>1836189.3371772766</v>
      </c>
      <c r="Y91" s="215">
        <f t="shared" si="21"/>
        <v>475.9433222336124</v>
      </c>
      <c r="Z91" s="81"/>
      <c r="AA91" s="94">
        <f t="shared" si="22"/>
        <v>-437579.549887646</v>
      </c>
      <c r="AB91" s="153">
        <f t="shared" si="23"/>
        <v>-113.4213452274873</v>
      </c>
      <c r="AD91" s="216"/>
      <c r="AE91" s="224"/>
      <c r="AF91" s="224"/>
      <c r="AG91" s="224"/>
      <c r="AH91" s="225"/>
      <c r="AJ91" s="81">
        <f t="shared" si="24"/>
        <v>5957526.20267569</v>
      </c>
      <c r="AK91" s="81">
        <f t="shared" si="25"/>
        <v>537398.1828018548</v>
      </c>
      <c r="AL91" s="81">
        <f t="shared" si="26"/>
        <v>11523753.73116369</v>
      </c>
      <c r="AM91" s="81">
        <f t="shared" si="27"/>
        <v>18710691.51722039</v>
      </c>
      <c r="AN91" s="81">
        <f t="shared" si="28"/>
        <v>0</v>
      </c>
      <c r="AO91" s="81">
        <f t="shared" si="29"/>
        <v>0</v>
      </c>
      <c r="AP91" s="81">
        <f t="shared" si="30"/>
        <v>0</v>
      </c>
      <c r="AQ91" s="81">
        <f t="shared" si="31"/>
        <v>0</v>
      </c>
      <c r="AR91" s="81">
        <f t="shared" si="32"/>
        <v>0</v>
      </c>
      <c r="AS91" s="82">
        <v>1890</v>
      </c>
      <c r="AT91" s="82">
        <v>6</v>
      </c>
      <c r="AU91" s="82"/>
      <c r="AV91" s="82">
        <v>6</v>
      </c>
      <c r="AW91" s="82">
        <f>9524143.83226725*(0.001)</f>
        <v>9524.143832267247</v>
      </c>
      <c r="AX91" s="82">
        <v>-1995.3206022437348</v>
      </c>
      <c r="AY91" s="82">
        <v>1810.5066292860633</v>
      </c>
      <c r="AZ91" s="408"/>
      <c r="BA91" s="81"/>
      <c r="BB91" s="81"/>
      <c r="BC91" s="81"/>
      <c r="BD91" s="81"/>
      <c r="BE91" s="81"/>
      <c r="BF91" s="81"/>
      <c r="BG91" s="81"/>
      <c r="BO91" s="114"/>
    </row>
    <row r="92" spans="1:67" ht="12.75">
      <c r="A92" s="81">
        <v>230</v>
      </c>
      <c r="B92" s="81" t="s">
        <v>215</v>
      </c>
      <c r="C92" s="81">
        <v>4</v>
      </c>
      <c r="D92" s="81">
        <v>2322</v>
      </c>
      <c r="E92" s="100">
        <v>5877137.612280209</v>
      </c>
      <c r="F92" s="81">
        <v>2432002.0024716193</v>
      </c>
      <c r="G92" s="81">
        <v>735694.2883377238</v>
      </c>
      <c r="H92" s="81">
        <v>475202.5085997081</v>
      </c>
      <c r="I92" s="156">
        <v>1774454.7144885517</v>
      </c>
      <c r="J92" s="156">
        <v>538961.3562126642</v>
      </c>
      <c r="K92" s="81">
        <v>-217804.0013957575</v>
      </c>
      <c r="L92" s="81">
        <v>-411728</v>
      </c>
      <c r="M92" s="82">
        <v>0</v>
      </c>
      <c r="N92" s="82">
        <v>17669.480269357093</v>
      </c>
      <c r="O92" s="214">
        <f t="shared" si="18"/>
        <v>-532685.2632963415</v>
      </c>
      <c r="P92" s="215">
        <f t="shared" si="19"/>
        <v>-229.4079514626794</v>
      </c>
      <c r="Q92" s="81"/>
      <c r="R92" s="223">
        <v>16514418</v>
      </c>
      <c r="S92" s="156">
        <v>5605919.119848947</v>
      </c>
      <c r="T92" s="156">
        <v>712803.7628995621</v>
      </c>
      <c r="U92" s="156">
        <v>7336942.285059111</v>
      </c>
      <c r="V92" s="156">
        <v>1814766.7903807755</v>
      </c>
      <c r="W92" s="156">
        <v>323966.2883377238</v>
      </c>
      <c r="X92" s="214">
        <f t="shared" si="20"/>
        <v>-720019.7534738779</v>
      </c>
      <c r="Y92" s="215">
        <f t="shared" si="21"/>
        <v>-310.0860264745383</v>
      </c>
      <c r="Z92" s="81"/>
      <c r="AA92" s="94">
        <f t="shared" si="22"/>
        <v>187334.49017753638</v>
      </c>
      <c r="AB92" s="153">
        <f t="shared" si="23"/>
        <v>80.67807501185891</v>
      </c>
      <c r="AD92" s="216"/>
      <c r="AE92" s="224"/>
      <c r="AF92" s="224"/>
      <c r="AG92" s="224"/>
      <c r="AH92" s="225"/>
      <c r="AJ92" s="81">
        <f t="shared" si="24"/>
        <v>3173917.1173773278</v>
      </c>
      <c r="AK92" s="81">
        <f t="shared" si="25"/>
        <v>237601.25429985404</v>
      </c>
      <c r="AL92" s="81">
        <f t="shared" si="26"/>
        <v>5562487.570570559</v>
      </c>
      <c r="AM92" s="81">
        <f t="shared" si="27"/>
        <v>10637280.387719791</v>
      </c>
      <c r="AN92" s="81">
        <f t="shared" si="28"/>
        <v>0</v>
      </c>
      <c r="AO92" s="81">
        <f t="shared" si="29"/>
        <v>0</v>
      </c>
      <c r="AP92" s="81">
        <f t="shared" si="30"/>
        <v>0</v>
      </c>
      <c r="AQ92" s="81">
        <f t="shared" si="31"/>
        <v>0</v>
      </c>
      <c r="AR92" s="81">
        <f t="shared" si="32"/>
        <v>0</v>
      </c>
      <c r="AS92" s="82">
        <v>903</v>
      </c>
      <c r="AT92" s="82"/>
      <c r="AU92" s="82"/>
      <c r="AV92" s="82">
        <v>0</v>
      </c>
      <c r="AW92" s="82">
        <f>4223626.52520877*(0.001)</f>
        <v>4223.626525208773</v>
      </c>
      <c r="AX92" s="82">
        <v>-1382.0606788623863</v>
      </c>
      <c r="AY92" s="82">
        <v>1275.8054341681113</v>
      </c>
      <c r="AZ92" s="408"/>
      <c r="BA92" s="81"/>
      <c r="BB92" s="81"/>
      <c r="BC92" s="81"/>
      <c r="BD92" s="81"/>
      <c r="BE92" s="81"/>
      <c r="BF92" s="81"/>
      <c r="BG92" s="81"/>
      <c r="BO92" s="114"/>
    </row>
    <row r="93" spans="1:67" ht="12.75">
      <c r="A93" s="81">
        <v>231</v>
      </c>
      <c r="B93" s="81" t="s">
        <v>216</v>
      </c>
      <c r="C93" s="81">
        <v>15</v>
      </c>
      <c r="D93" s="81">
        <v>1278</v>
      </c>
      <c r="E93" s="100">
        <v>4534090.12935234</v>
      </c>
      <c r="F93" s="81">
        <v>2350608.081838271</v>
      </c>
      <c r="G93" s="81">
        <v>727227.0810211388</v>
      </c>
      <c r="H93" s="81">
        <v>594193.0179514997</v>
      </c>
      <c r="I93" s="156">
        <v>122956.5489290433</v>
      </c>
      <c r="J93" s="156">
        <v>196637.7884096261</v>
      </c>
      <c r="K93" s="81">
        <v>71628.18250880821</v>
      </c>
      <c r="L93" s="81">
        <v>-180664</v>
      </c>
      <c r="M93" s="82">
        <v>-34000</v>
      </c>
      <c r="N93" s="82">
        <v>16503.043103784225</v>
      </c>
      <c r="O93" s="214">
        <f t="shared" si="18"/>
        <v>-669000.3855901682</v>
      </c>
      <c r="P93" s="215">
        <f t="shared" si="19"/>
        <v>-523.4744801175025</v>
      </c>
      <c r="Q93" s="81"/>
      <c r="R93" s="223">
        <v>10141876</v>
      </c>
      <c r="S93" s="156">
        <v>5239821.1800997015</v>
      </c>
      <c r="T93" s="156">
        <v>891289.5269272496</v>
      </c>
      <c r="U93" s="156">
        <v>2231948.9335984304</v>
      </c>
      <c r="V93" s="156">
        <v>673289.9067435877</v>
      </c>
      <c r="W93" s="156">
        <v>512563.0810211388</v>
      </c>
      <c r="X93" s="214">
        <f t="shared" si="20"/>
        <v>-592963.3716098927</v>
      </c>
      <c r="Y93" s="215">
        <f t="shared" si="21"/>
        <v>-463.9775990687736</v>
      </c>
      <c r="Z93" s="81"/>
      <c r="AA93" s="94">
        <f t="shared" si="22"/>
        <v>-76037.01398027549</v>
      </c>
      <c r="AB93" s="153">
        <f t="shared" si="23"/>
        <v>-59.49688104872886</v>
      </c>
      <c r="AD93" s="216"/>
      <c r="AE93" s="224"/>
      <c r="AF93" s="224"/>
      <c r="AG93" s="224"/>
      <c r="AH93" s="225"/>
      <c r="AJ93" s="81">
        <f t="shared" si="24"/>
        <v>2889213.0982614304</v>
      </c>
      <c r="AK93" s="81">
        <f t="shared" si="25"/>
        <v>297096.50897574995</v>
      </c>
      <c r="AL93" s="81">
        <f t="shared" si="26"/>
        <v>2108992.3846693872</v>
      </c>
      <c r="AM93" s="81">
        <f t="shared" si="27"/>
        <v>5607785.87064766</v>
      </c>
      <c r="AN93" s="81">
        <f t="shared" si="28"/>
        <v>0</v>
      </c>
      <c r="AO93" s="81">
        <f t="shared" si="29"/>
        <v>0</v>
      </c>
      <c r="AP93" s="81">
        <f t="shared" si="30"/>
        <v>0</v>
      </c>
      <c r="AQ93" s="81">
        <f t="shared" si="31"/>
        <v>0</v>
      </c>
      <c r="AR93" s="81">
        <f t="shared" si="32"/>
        <v>0</v>
      </c>
      <c r="AS93" s="82">
        <v>955</v>
      </c>
      <c r="AT93" s="82">
        <v>10</v>
      </c>
      <c r="AU93" s="82"/>
      <c r="AV93" s="82">
        <v>10</v>
      </c>
      <c r="AW93" s="82">
        <f>2222708.17686374*(0.001)</f>
        <v>2222.708176863745</v>
      </c>
      <c r="AX93" s="82">
        <v>141.41297461576465</v>
      </c>
      <c r="AY93" s="82">
        <v>476.6521183339616</v>
      </c>
      <c r="AZ93" s="408"/>
      <c r="BA93" s="81"/>
      <c r="BB93" s="81"/>
      <c r="BC93" s="81"/>
      <c r="BD93" s="81"/>
      <c r="BE93" s="81"/>
      <c r="BF93" s="81"/>
      <c r="BG93" s="81"/>
      <c r="BO93" s="114"/>
    </row>
    <row r="94" spans="1:67" ht="12.75">
      <c r="A94" s="81">
        <v>232</v>
      </c>
      <c r="B94" s="81" t="s">
        <v>217</v>
      </c>
      <c r="C94" s="81">
        <v>14</v>
      </c>
      <c r="D94" s="81">
        <v>13007</v>
      </c>
      <c r="E94" s="100">
        <v>33705721.76423013</v>
      </c>
      <c r="F94" s="81">
        <v>18943002.637892306</v>
      </c>
      <c r="G94" s="81">
        <v>3609052.1888656756</v>
      </c>
      <c r="H94" s="81">
        <v>2932123.813991181</v>
      </c>
      <c r="I94" s="156">
        <v>8007784.671342248</v>
      </c>
      <c r="J94" s="156">
        <v>2578095.4031698545</v>
      </c>
      <c r="K94" s="81">
        <v>1629310.7338245262</v>
      </c>
      <c r="L94" s="81">
        <v>-550743</v>
      </c>
      <c r="M94" s="82">
        <v>253500</v>
      </c>
      <c r="N94" s="82">
        <v>119664.70380078674</v>
      </c>
      <c r="O94" s="214">
        <f t="shared" si="18"/>
        <v>3816069.3886564523</v>
      </c>
      <c r="P94" s="215">
        <f t="shared" si="19"/>
        <v>293.3858221462637</v>
      </c>
      <c r="Q94" s="81"/>
      <c r="R94" s="223">
        <v>89036162</v>
      </c>
      <c r="S94" s="156">
        <v>40581091.46054045</v>
      </c>
      <c r="T94" s="156">
        <v>4398185.720986771</v>
      </c>
      <c r="U94" s="156">
        <v>36653071.578252785</v>
      </c>
      <c r="V94" s="156">
        <v>8715378.63004856</v>
      </c>
      <c r="W94" s="156">
        <v>3311809.1888656756</v>
      </c>
      <c r="X94" s="214">
        <f t="shared" si="20"/>
        <v>4623374.578694239</v>
      </c>
      <c r="Y94" s="215">
        <f t="shared" si="21"/>
        <v>355.4528006991804</v>
      </c>
      <c r="Z94" s="81"/>
      <c r="AA94" s="94">
        <f t="shared" si="22"/>
        <v>-807305.190037787</v>
      </c>
      <c r="AB94" s="153">
        <f t="shared" si="23"/>
        <v>-62.06697855291666</v>
      </c>
      <c r="AD94" s="216"/>
      <c r="AE94" s="224"/>
      <c r="AF94" s="224"/>
      <c r="AG94" s="224"/>
      <c r="AH94" s="225"/>
      <c r="AJ94" s="81">
        <f t="shared" si="24"/>
        <v>21638088.822648145</v>
      </c>
      <c r="AK94" s="81">
        <f t="shared" si="25"/>
        <v>1466061.9069955903</v>
      </c>
      <c r="AL94" s="81">
        <f t="shared" si="26"/>
        <v>28645286.90691054</v>
      </c>
      <c r="AM94" s="81">
        <f t="shared" si="27"/>
        <v>55330440.23576987</v>
      </c>
      <c r="AN94" s="81">
        <f t="shared" si="28"/>
        <v>0</v>
      </c>
      <c r="AO94" s="81">
        <f t="shared" si="29"/>
        <v>0</v>
      </c>
      <c r="AP94" s="81">
        <f t="shared" si="30"/>
        <v>0</v>
      </c>
      <c r="AQ94" s="81">
        <f t="shared" si="31"/>
        <v>0</v>
      </c>
      <c r="AR94" s="81">
        <f t="shared" si="32"/>
        <v>0</v>
      </c>
      <c r="AS94" s="82">
        <v>4940</v>
      </c>
      <c r="AT94" s="82"/>
      <c r="AU94" s="82">
        <v>2</v>
      </c>
      <c r="AV94" s="82">
        <v>2</v>
      </c>
      <c r="AW94" s="82">
        <f>23359208.2218034*(0.001)</f>
        <v>23359.208221803405</v>
      </c>
      <c r="AX94" s="82">
        <v>-5570.962139599852</v>
      </c>
      <c r="AY94" s="82">
        <v>6137.283226878705</v>
      </c>
      <c r="AZ94" s="408"/>
      <c r="BA94" s="81"/>
      <c r="BB94" s="81"/>
      <c r="BC94" s="81"/>
      <c r="BD94" s="81"/>
      <c r="BE94" s="81"/>
      <c r="BF94" s="81"/>
      <c r="BG94" s="81"/>
      <c r="BO94" s="114"/>
    </row>
    <row r="95" spans="1:67" ht="12.75">
      <c r="A95" s="81">
        <v>233</v>
      </c>
      <c r="B95" s="81" t="s">
        <v>218</v>
      </c>
      <c r="C95" s="81">
        <v>14</v>
      </c>
      <c r="D95" s="81">
        <v>15514</v>
      </c>
      <c r="E95" s="100">
        <v>40442363.50242947</v>
      </c>
      <c r="F95" s="81">
        <v>22547918.956169024</v>
      </c>
      <c r="G95" s="81">
        <v>4118918.9975692015</v>
      </c>
      <c r="H95" s="81">
        <v>2335464.5184935746</v>
      </c>
      <c r="I95" s="156">
        <v>10697648.577327553</v>
      </c>
      <c r="J95" s="156">
        <v>3043906.5074632354</v>
      </c>
      <c r="K95" s="81">
        <v>1006753.3561197252</v>
      </c>
      <c r="L95" s="81">
        <v>-836111</v>
      </c>
      <c r="M95" s="82">
        <v>-178000</v>
      </c>
      <c r="N95" s="82">
        <v>144323.60246349534</v>
      </c>
      <c r="O95" s="214">
        <f t="shared" si="18"/>
        <v>2438460.013176337</v>
      </c>
      <c r="P95" s="215">
        <f t="shared" si="19"/>
        <v>157.1780335939369</v>
      </c>
      <c r="Q95" s="81"/>
      <c r="R95" s="223">
        <v>109997000</v>
      </c>
      <c r="S95" s="156">
        <v>49245331.21533332</v>
      </c>
      <c r="T95" s="156">
        <v>3503196.777740362</v>
      </c>
      <c r="U95" s="156">
        <v>46079283.13790145</v>
      </c>
      <c r="V95" s="156">
        <v>10291961.63595647</v>
      </c>
      <c r="W95" s="156">
        <v>3104807.9975692015</v>
      </c>
      <c r="X95" s="214">
        <f t="shared" si="20"/>
        <v>2227580.764500797</v>
      </c>
      <c r="Y95" s="215">
        <f t="shared" si="21"/>
        <v>143.58519817589254</v>
      </c>
      <c r="Z95" s="81"/>
      <c r="AA95" s="94">
        <f t="shared" si="22"/>
        <v>210879.2486755401</v>
      </c>
      <c r="AB95" s="153">
        <f t="shared" si="23"/>
        <v>13.592835418044352</v>
      </c>
      <c r="AD95" s="216"/>
      <c r="AE95" s="224"/>
      <c r="AF95" s="224"/>
      <c r="AG95" s="224"/>
      <c r="AH95" s="225"/>
      <c r="AJ95" s="81">
        <f t="shared" si="24"/>
        <v>26697412.259164296</v>
      </c>
      <c r="AK95" s="81">
        <f t="shared" si="25"/>
        <v>1167732.2592467875</v>
      </c>
      <c r="AL95" s="81">
        <f t="shared" si="26"/>
        <v>35381634.56057389</v>
      </c>
      <c r="AM95" s="81">
        <f t="shared" si="27"/>
        <v>69554636.49757053</v>
      </c>
      <c r="AN95" s="81">
        <f t="shared" si="28"/>
        <v>0</v>
      </c>
      <c r="AO95" s="81">
        <f t="shared" si="29"/>
        <v>0</v>
      </c>
      <c r="AP95" s="81">
        <f t="shared" si="30"/>
        <v>0</v>
      </c>
      <c r="AQ95" s="81">
        <f t="shared" si="31"/>
        <v>0</v>
      </c>
      <c r="AR95" s="81">
        <f t="shared" si="32"/>
        <v>0</v>
      </c>
      <c r="AS95" s="82">
        <v>8008</v>
      </c>
      <c r="AT95" s="82"/>
      <c r="AU95" s="82">
        <v>10</v>
      </c>
      <c r="AV95" s="82">
        <v>10</v>
      </c>
      <c r="AW95" s="82">
        <f>30136293.7948646*(0.001)</f>
        <v>30136.293794864574</v>
      </c>
      <c r="AX95" s="82">
        <v>-6134.5232934071955</v>
      </c>
      <c r="AY95" s="82">
        <v>7248.055128493234</v>
      </c>
      <c r="AZ95" s="408"/>
      <c r="BA95" s="81"/>
      <c r="BB95" s="81"/>
      <c r="BC95" s="81"/>
      <c r="BD95" s="81"/>
      <c r="BE95" s="81"/>
      <c r="BF95" s="81"/>
      <c r="BG95" s="81"/>
      <c r="BO95" s="114"/>
    </row>
    <row r="96" spans="1:67" ht="12.75">
      <c r="A96" s="81">
        <v>235</v>
      </c>
      <c r="B96" s="81" t="s">
        <v>219</v>
      </c>
      <c r="C96" s="81">
        <v>1</v>
      </c>
      <c r="D96" s="81">
        <v>10178</v>
      </c>
      <c r="E96" s="100">
        <v>43777565.589315325</v>
      </c>
      <c r="F96" s="81">
        <v>17303806.032532483</v>
      </c>
      <c r="G96" s="81">
        <v>4716040.74098227</v>
      </c>
      <c r="H96" s="81">
        <v>973278.9290552032</v>
      </c>
      <c r="I96" s="156">
        <v>5133462.291454313</v>
      </c>
      <c r="J96" s="156">
        <v>510319.3946524039</v>
      </c>
      <c r="K96" s="81">
        <v>7400464.5506657045</v>
      </c>
      <c r="L96" s="81">
        <v>2370232</v>
      </c>
      <c r="M96" s="82">
        <v>150000</v>
      </c>
      <c r="N96" s="82">
        <v>244130.3758889044</v>
      </c>
      <c r="O96" s="214">
        <f t="shared" si="18"/>
        <v>-4975831.274084039</v>
      </c>
      <c r="P96" s="215">
        <f t="shared" si="19"/>
        <v>-488.88104481077215</v>
      </c>
      <c r="Q96" s="81"/>
      <c r="R96" s="223">
        <v>77252000</v>
      </c>
      <c r="S96" s="156">
        <v>63952410.48764718</v>
      </c>
      <c r="T96" s="156">
        <v>1459918.3935828048</v>
      </c>
      <c r="U96" s="156">
        <v>-865876.6839365195</v>
      </c>
      <c r="V96" s="156">
        <v>1895743.039804978</v>
      </c>
      <c r="W96" s="156">
        <v>7236272.74098227</v>
      </c>
      <c r="X96" s="214">
        <f t="shared" si="20"/>
        <v>-3573532.0219192803</v>
      </c>
      <c r="Y96" s="215">
        <f t="shared" si="21"/>
        <v>-351.103558844496</v>
      </c>
      <c r="Z96" s="81"/>
      <c r="AA96" s="94">
        <f t="shared" si="22"/>
        <v>-1402299.2521647587</v>
      </c>
      <c r="AB96" s="153">
        <f t="shared" si="23"/>
        <v>-137.77748596627615</v>
      </c>
      <c r="AD96" s="216"/>
      <c r="AE96" s="224"/>
      <c r="AF96" s="224"/>
      <c r="AG96" s="224"/>
      <c r="AH96" s="225"/>
      <c r="AJ96" s="81">
        <f t="shared" si="24"/>
        <v>46648604.4551147</v>
      </c>
      <c r="AK96" s="81">
        <f t="shared" si="25"/>
        <v>486639.4645276016</v>
      </c>
      <c r="AL96" s="81">
        <f t="shared" si="26"/>
        <v>-5999338.975390833</v>
      </c>
      <c r="AM96" s="81">
        <f t="shared" si="27"/>
        <v>33474434.410684675</v>
      </c>
      <c r="AN96" s="81">
        <f t="shared" si="28"/>
        <v>0</v>
      </c>
      <c r="AO96" s="81">
        <f t="shared" si="29"/>
        <v>0</v>
      </c>
      <c r="AP96" s="81">
        <f t="shared" si="30"/>
        <v>0</v>
      </c>
      <c r="AQ96" s="81">
        <f t="shared" si="31"/>
        <v>0</v>
      </c>
      <c r="AR96" s="81">
        <f t="shared" si="32"/>
        <v>0</v>
      </c>
      <c r="AS96" s="82">
        <v>7799</v>
      </c>
      <c r="AT96" s="82">
        <v>259</v>
      </c>
      <c r="AU96" s="82"/>
      <c r="AV96" s="82">
        <v>259</v>
      </c>
      <c r="AW96" s="82">
        <f>7401036.25958425*(0.001)</f>
        <v>7401.036259584251</v>
      </c>
      <c r="AX96" s="82">
        <v>9864.350928149033</v>
      </c>
      <c r="AY96" s="82">
        <v>1385.4236451525742</v>
      </c>
      <c r="AZ96" s="408"/>
      <c r="BA96" s="81"/>
      <c r="BB96" s="81"/>
      <c r="BC96" s="81"/>
      <c r="BD96" s="81"/>
      <c r="BE96" s="81"/>
      <c r="BF96" s="81"/>
      <c r="BG96" s="81"/>
      <c r="BO96" s="114"/>
    </row>
    <row r="97" spans="1:67" ht="12.75">
      <c r="A97" s="81">
        <v>236</v>
      </c>
      <c r="B97" s="81" t="s">
        <v>220</v>
      </c>
      <c r="C97" s="81">
        <v>16</v>
      </c>
      <c r="D97" s="81">
        <v>4228</v>
      </c>
      <c r="E97" s="100">
        <v>12417539.949512593</v>
      </c>
      <c r="F97" s="81">
        <v>6805562.663032243</v>
      </c>
      <c r="G97" s="81">
        <v>960366.7618682485</v>
      </c>
      <c r="H97" s="81">
        <v>508805.4221842833</v>
      </c>
      <c r="I97" s="156">
        <v>4079440.3888632767</v>
      </c>
      <c r="J97" s="156">
        <v>782427.7004293529</v>
      </c>
      <c r="K97" s="81">
        <v>383149.98211214674</v>
      </c>
      <c r="L97" s="81">
        <v>777203</v>
      </c>
      <c r="M97" s="82">
        <v>-239324</v>
      </c>
      <c r="N97" s="82">
        <v>42521.60376835535</v>
      </c>
      <c r="O97" s="214">
        <f t="shared" si="18"/>
        <v>1682613.572745312</v>
      </c>
      <c r="P97" s="215">
        <f t="shared" si="19"/>
        <v>397.96915154808704</v>
      </c>
      <c r="Q97" s="81"/>
      <c r="R97" s="223">
        <v>28258913</v>
      </c>
      <c r="S97" s="156">
        <v>14760978.816872688</v>
      </c>
      <c r="T97" s="156">
        <v>763208.133276425</v>
      </c>
      <c r="U97" s="156">
        <v>10200307.629210355</v>
      </c>
      <c r="V97" s="156">
        <v>2647551.21069011</v>
      </c>
      <c r="W97" s="156">
        <v>1498245.7618682485</v>
      </c>
      <c r="X97" s="214">
        <f t="shared" si="20"/>
        <v>1611378.5519178286</v>
      </c>
      <c r="Y97" s="215">
        <f t="shared" si="21"/>
        <v>381.1207549474524</v>
      </c>
      <c r="Z97" s="81"/>
      <c r="AA97" s="94">
        <f t="shared" si="22"/>
        <v>71235.02082748339</v>
      </c>
      <c r="AB97" s="153">
        <f t="shared" si="23"/>
        <v>16.848396600634672</v>
      </c>
      <c r="AD97" s="216"/>
      <c r="AE97" s="224"/>
      <c r="AF97" s="224"/>
      <c r="AG97" s="224"/>
      <c r="AH97" s="225"/>
      <c r="AJ97" s="81">
        <f t="shared" si="24"/>
        <v>7955416.153840445</v>
      </c>
      <c r="AK97" s="81">
        <f t="shared" si="25"/>
        <v>254402.71109214163</v>
      </c>
      <c r="AL97" s="81">
        <f t="shared" si="26"/>
        <v>6120867.240347078</v>
      </c>
      <c r="AM97" s="81">
        <f t="shared" si="27"/>
        <v>15841373.050487407</v>
      </c>
      <c r="AN97" s="81">
        <f t="shared" si="28"/>
        <v>0</v>
      </c>
      <c r="AO97" s="81">
        <f t="shared" si="29"/>
        <v>0</v>
      </c>
      <c r="AP97" s="81">
        <f t="shared" si="30"/>
        <v>0</v>
      </c>
      <c r="AQ97" s="81">
        <f t="shared" si="31"/>
        <v>0</v>
      </c>
      <c r="AR97" s="81">
        <f t="shared" si="32"/>
        <v>0</v>
      </c>
      <c r="AS97" s="82">
        <v>1456</v>
      </c>
      <c r="AT97" s="82"/>
      <c r="AU97" s="82">
        <v>14</v>
      </c>
      <c r="AV97" s="82">
        <v>14</v>
      </c>
      <c r="AW97" s="82">
        <f>4844172.24764348*(0.001)</f>
        <v>4844.172247643481</v>
      </c>
      <c r="AX97" s="82">
        <v>-1605.3076521531143</v>
      </c>
      <c r="AY97" s="82">
        <v>1865.123510260757</v>
      </c>
      <c r="AZ97" s="408"/>
      <c r="BA97" s="81"/>
      <c r="BB97" s="81"/>
      <c r="BC97" s="81"/>
      <c r="BD97" s="81"/>
      <c r="BE97" s="81"/>
      <c r="BF97" s="81"/>
      <c r="BG97" s="81"/>
      <c r="BO97" s="114"/>
    </row>
    <row r="98" spans="1:67" ht="12.75">
      <c r="A98" s="81">
        <v>239</v>
      </c>
      <c r="B98" s="81" t="s">
        <v>221</v>
      </c>
      <c r="C98" s="81">
        <v>11</v>
      </c>
      <c r="D98" s="81">
        <v>2155</v>
      </c>
      <c r="E98" s="100">
        <v>5501011.524704764</v>
      </c>
      <c r="F98" s="81">
        <v>2686905.183723238</v>
      </c>
      <c r="G98" s="81">
        <v>492500.90744957945</v>
      </c>
      <c r="H98" s="81">
        <v>831507.2747248715</v>
      </c>
      <c r="I98" s="156">
        <v>1123837.6048722721</v>
      </c>
      <c r="J98" s="156">
        <v>429804.42909756466</v>
      </c>
      <c r="K98" s="81">
        <v>855293.2618426888</v>
      </c>
      <c r="L98" s="81">
        <v>-466861</v>
      </c>
      <c r="M98" s="82">
        <v>140500</v>
      </c>
      <c r="N98" s="82">
        <v>21183.755657488287</v>
      </c>
      <c r="O98" s="214">
        <f t="shared" si="18"/>
        <v>613659.8926629387</v>
      </c>
      <c r="P98" s="215">
        <f t="shared" si="19"/>
        <v>284.7609710732894</v>
      </c>
      <c r="Q98" s="81"/>
      <c r="R98" s="223">
        <v>15888713</v>
      </c>
      <c r="S98" s="156">
        <v>6361185.350692458</v>
      </c>
      <c r="T98" s="156">
        <v>1247260.9120873073</v>
      </c>
      <c r="U98" s="156">
        <v>7440443.429378035</v>
      </c>
      <c r="V98" s="156">
        <v>1452108.6730975725</v>
      </c>
      <c r="W98" s="156">
        <v>166139.90744957945</v>
      </c>
      <c r="X98" s="214">
        <f t="shared" si="20"/>
        <v>778425.2727049515</v>
      </c>
      <c r="Y98" s="215">
        <f t="shared" si="21"/>
        <v>361.2182239930169</v>
      </c>
      <c r="Z98" s="81"/>
      <c r="AA98" s="94">
        <f t="shared" si="22"/>
        <v>-164765.38004201278</v>
      </c>
      <c r="AB98" s="153">
        <f t="shared" si="23"/>
        <v>-76.45725291972751</v>
      </c>
      <c r="AD98" s="216"/>
      <c r="AE98" s="224"/>
      <c r="AF98" s="224"/>
      <c r="AG98" s="224"/>
      <c r="AH98" s="225"/>
      <c r="AJ98" s="81">
        <f t="shared" si="24"/>
        <v>3674280.1669692206</v>
      </c>
      <c r="AK98" s="81">
        <f t="shared" si="25"/>
        <v>415753.6373624358</v>
      </c>
      <c r="AL98" s="81">
        <f t="shared" si="26"/>
        <v>6316605.824505762</v>
      </c>
      <c r="AM98" s="81">
        <f t="shared" si="27"/>
        <v>10387701.475295236</v>
      </c>
      <c r="AN98" s="81">
        <f t="shared" si="28"/>
        <v>0</v>
      </c>
      <c r="AO98" s="81">
        <f t="shared" si="29"/>
        <v>0</v>
      </c>
      <c r="AP98" s="81">
        <f t="shared" si="30"/>
        <v>0</v>
      </c>
      <c r="AQ98" s="81">
        <f t="shared" si="31"/>
        <v>0</v>
      </c>
      <c r="AR98" s="81">
        <f t="shared" si="32"/>
        <v>0</v>
      </c>
      <c r="AS98" s="82">
        <v>574</v>
      </c>
      <c r="AT98" s="82">
        <v>75</v>
      </c>
      <c r="AU98" s="82">
        <v>12</v>
      </c>
      <c r="AV98" s="82">
        <v>87</v>
      </c>
      <c r="AW98" s="82">
        <f>5913928.21972676*(0.001)</f>
        <v>5913.928219726759</v>
      </c>
      <c r="AX98" s="82">
        <v>-809.0987457816017</v>
      </c>
      <c r="AY98" s="82">
        <v>1022.3042440000079</v>
      </c>
      <c r="AZ98" s="408"/>
      <c r="BA98" s="81"/>
      <c r="BB98" s="81"/>
      <c r="BC98" s="81"/>
      <c r="BD98" s="81"/>
      <c r="BE98" s="81"/>
      <c r="BF98" s="81"/>
      <c r="BG98" s="81"/>
      <c r="BO98" s="114"/>
    </row>
    <row r="99" spans="1:67" ht="12.75">
      <c r="A99" s="81">
        <v>240</v>
      </c>
      <c r="B99" s="81" t="s">
        <v>222</v>
      </c>
      <c r="C99" s="81">
        <v>19</v>
      </c>
      <c r="D99" s="81">
        <v>20437</v>
      </c>
      <c r="E99" s="100">
        <v>45139056.046020955</v>
      </c>
      <c r="F99" s="81">
        <v>34633159.80330251</v>
      </c>
      <c r="G99" s="81">
        <v>6909841.223227985</v>
      </c>
      <c r="H99" s="81">
        <v>4108500.449522462</v>
      </c>
      <c r="I99" s="156">
        <v>6785519.17209391</v>
      </c>
      <c r="J99" s="156">
        <v>2944272.617662145</v>
      </c>
      <c r="K99" s="81">
        <v>-5190578.2480275305</v>
      </c>
      <c r="L99" s="81">
        <v>757470</v>
      </c>
      <c r="M99" s="82">
        <v>869000</v>
      </c>
      <c r="N99" s="82">
        <v>234778.6763296753</v>
      </c>
      <c r="O99" s="214">
        <f t="shared" si="18"/>
        <v>6912907.648090206</v>
      </c>
      <c r="P99" s="215">
        <f t="shared" si="19"/>
        <v>338.2545211180803</v>
      </c>
      <c r="Q99" s="81"/>
      <c r="R99" s="223">
        <v>143200000</v>
      </c>
      <c r="S99" s="156">
        <v>77908582.8551102</v>
      </c>
      <c r="T99" s="156">
        <v>6162750.674283694</v>
      </c>
      <c r="U99" s="156">
        <v>44323506.92802077</v>
      </c>
      <c r="V99" s="156">
        <v>10054498.205170106</v>
      </c>
      <c r="W99" s="156">
        <v>8536311.223227985</v>
      </c>
      <c r="X99" s="214">
        <f t="shared" si="20"/>
        <v>3785649.8858127594</v>
      </c>
      <c r="Y99" s="215">
        <f t="shared" si="21"/>
        <v>185.23510719835394</v>
      </c>
      <c r="Z99" s="81"/>
      <c r="AA99" s="94">
        <f t="shared" si="22"/>
        <v>3127257.7622774467</v>
      </c>
      <c r="AB99" s="153">
        <f t="shared" si="23"/>
        <v>153.0194139197263</v>
      </c>
      <c r="AD99" s="216"/>
      <c r="AE99" s="224"/>
      <c r="AF99" s="224"/>
      <c r="AG99" s="224"/>
      <c r="AH99" s="225"/>
      <c r="AJ99" s="81">
        <f t="shared" si="24"/>
        <v>43275423.05180769</v>
      </c>
      <c r="AK99" s="81">
        <f t="shared" si="25"/>
        <v>2054250.2247612313</v>
      </c>
      <c r="AL99" s="81">
        <f t="shared" si="26"/>
        <v>37537987.755926855</v>
      </c>
      <c r="AM99" s="81">
        <f t="shared" si="27"/>
        <v>98060943.95397905</v>
      </c>
      <c r="AN99" s="81">
        <f t="shared" si="28"/>
        <v>0</v>
      </c>
      <c r="AO99" s="81">
        <f t="shared" si="29"/>
        <v>0</v>
      </c>
      <c r="AP99" s="81">
        <f t="shared" si="30"/>
        <v>0</v>
      </c>
      <c r="AQ99" s="81">
        <f t="shared" si="31"/>
        <v>0</v>
      </c>
      <c r="AR99" s="81">
        <f t="shared" si="32"/>
        <v>0</v>
      </c>
      <c r="AS99" s="82">
        <v>5087</v>
      </c>
      <c r="AT99" s="82">
        <v>56</v>
      </c>
      <c r="AU99" s="82"/>
      <c r="AV99" s="82">
        <v>56</v>
      </c>
      <c r="AW99" s="82">
        <f>35413667.2946127*(0.001)</f>
        <v>35413.66729461269</v>
      </c>
      <c r="AX99" s="82">
        <v>-1800.591024552088</v>
      </c>
      <c r="AY99" s="82">
        <v>7110.225587507961</v>
      </c>
      <c r="AZ99" s="408"/>
      <c r="BA99" s="81"/>
      <c r="BB99" s="81"/>
      <c r="BC99" s="81"/>
      <c r="BD99" s="81"/>
      <c r="BE99" s="81"/>
      <c r="BF99" s="81"/>
      <c r="BG99" s="81"/>
      <c r="BO99" s="114"/>
    </row>
    <row r="100" spans="1:67" ht="12.75">
      <c r="A100" s="81">
        <v>241</v>
      </c>
      <c r="B100" s="81" t="s">
        <v>224</v>
      </c>
      <c r="C100" s="81">
        <v>19</v>
      </c>
      <c r="D100" s="81">
        <v>7984</v>
      </c>
      <c r="E100" s="100">
        <v>18902977.78752203</v>
      </c>
      <c r="F100" s="81">
        <v>13570006.525264317</v>
      </c>
      <c r="G100" s="81">
        <v>3905823.6452038907</v>
      </c>
      <c r="H100" s="81">
        <v>1031434.9967764255</v>
      </c>
      <c r="I100" s="156">
        <v>4224443.633046289</v>
      </c>
      <c r="J100" s="156">
        <v>1053369.0034405165</v>
      </c>
      <c r="K100" s="81">
        <v>-700614.067251935</v>
      </c>
      <c r="L100" s="81">
        <v>-922223</v>
      </c>
      <c r="M100" s="82">
        <v>66000</v>
      </c>
      <c r="N100" s="82">
        <v>95710.44206915254</v>
      </c>
      <c r="O100" s="214">
        <f t="shared" si="18"/>
        <v>3420973.3910266273</v>
      </c>
      <c r="P100" s="215">
        <f t="shared" si="19"/>
        <v>428.47863114060965</v>
      </c>
      <c r="Q100" s="81"/>
      <c r="R100" s="223">
        <v>50136000</v>
      </c>
      <c r="S100" s="156">
        <v>31533493.08397082</v>
      </c>
      <c r="T100" s="156">
        <v>1547152.4951646384</v>
      </c>
      <c r="U100" s="156">
        <v>13260853.883325595</v>
      </c>
      <c r="V100" s="156">
        <v>3609172.590730266</v>
      </c>
      <c r="W100" s="156">
        <v>3049600.6452038907</v>
      </c>
      <c r="X100" s="214">
        <f t="shared" si="20"/>
        <v>2864272.6983952075</v>
      </c>
      <c r="Y100" s="215">
        <f t="shared" si="21"/>
        <v>358.75159048036164</v>
      </c>
      <c r="Z100" s="81"/>
      <c r="AA100" s="94">
        <f t="shared" si="22"/>
        <v>556700.6926314197</v>
      </c>
      <c r="AB100" s="153">
        <f t="shared" si="23"/>
        <v>69.72704066024797</v>
      </c>
      <c r="AD100" s="216"/>
      <c r="AE100" s="224"/>
      <c r="AF100" s="224"/>
      <c r="AG100" s="224"/>
      <c r="AH100" s="225"/>
      <c r="AJ100" s="81">
        <f t="shared" si="24"/>
        <v>17963486.5587065</v>
      </c>
      <c r="AK100" s="81">
        <f t="shared" si="25"/>
        <v>515717.4983882129</v>
      </c>
      <c r="AL100" s="81">
        <f t="shared" si="26"/>
        <v>9036410.250279307</v>
      </c>
      <c r="AM100" s="81">
        <f t="shared" si="27"/>
        <v>31233022.21247797</v>
      </c>
      <c r="AN100" s="81">
        <f t="shared" si="28"/>
        <v>0</v>
      </c>
      <c r="AO100" s="81">
        <f t="shared" si="29"/>
        <v>0</v>
      </c>
      <c r="AP100" s="81">
        <f t="shared" si="30"/>
        <v>0</v>
      </c>
      <c r="AQ100" s="81">
        <f t="shared" si="31"/>
        <v>0</v>
      </c>
      <c r="AR100" s="81">
        <f t="shared" si="32"/>
        <v>0</v>
      </c>
      <c r="AS100" s="82">
        <v>1688</v>
      </c>
      <c r="AT100" s="82">
        <v>100</v>
      </c>
      <c r="AU100" s="82"/>
      <c r="AV100" s="82">
        <v>100</v>
      </c>
      <c r="AW100" s="82">
        <f>9112214.72295409*(0.001)</f>
        <v>9112.214722954095</v>
      </c>
      <c r="AX100" s="82">
        <v>-17.491752377456773</v>
      </c>
      <c r="AY100" s="82">
        <v>2555.8035872897494</v>
      </c>
      <c r="AZ100" s="408"/>
      <c r="BA100" s="81"/>
      <c r="BB100" s="81"/>
      <c r="BC100" s="81"/>
      <c r="BD100" s="81"/>
      <c r="BE100" s="81"/>
      <c r="BF100" s="81"/>
      <c r="BG100" s="81"/>
      <c r="BO100" s="114"/>
    </row>
    <row r="101" spans="1:67" ht="12.75">
      <c r="A101" s="81">
        <v>244</v>
      </c>
      <c r="B101" s="81" t="s">
        <v>225</v>
      </c>
      <c r="C101" s="81">
        <v>17</v>
      </c>
      <c r="D101" s="81">
        <v>18796</v>
      </c>
      <c r="E101" s="100">
        <v>53362369.30365747</v>
      </c>
      <c r="F101" s="81">
        <v>28139756.743973557</v>
      </c>
      <c r="G101" s="81">
        <v>4118002.4423486595</v>
      </c>
      <c r="H101" s="81">
        <v>2499151.8082311563</v>
      </c>
      <c r="I101" s="156">
        <v>20783869.01452577</v>
      </c>
      <c r="J101" s="156">
        <v>1869335.2728171628</v>
      </c>
      <c r="K101" s="81">
        <v>-2639167.2070418885</v>
      </c>
      <c r="L101" s="81">
        <v>-1004372</v>
      </c>
      <c r="M101" s="82">
        <v>-635000</v>
      </c>
      <c r="N101" s="82">
        <v>216469.11571711427</v>
      </c>
      <c r="O101" s="214">
        <f t="shared" si="18"/>
        <v>-14324.11308594048</v>
      </c>
      <c r="P101" s="215">
        <f t="shared" si="19"/>
        <v>-0.762083054157293</v>
      </c>
      <c r="Q101" s="81"/>
      <c r="R101" s="223">
        <v>112637753</v>
      </c>
      <c r="S101" s="156">
        <v>68684752.8313362</v>
      </c>
      <c r="T101" s="156">
        <v>3748727.712346735</v>
      </c>
      <c r="U101" s="156">
        <v>28400817.7028877</v>
      </c>
      <c r="V101" s="156">
        <v>6432468.378120336</v>
      </c>
      <c r="W101" s="156">
        <v>2478630.4423486595</v>
      </c>
      <c r="X101" s="214">
        <f t="shared" si="20"/>
        <v>-2892355.932960376</v>
      </c>
      <c r="Y101" s="215">
        <f t="shared" si="21"/>
        <v>-153.88146057461034</v>
      </c>
      <c r="Z101" s="81"/>
      <c r="AA101" s="94">
        <f t="shared" si="22"/>
        <v>2878031.8198744357</v>
      </c>
      <c r="AB101" s="153">
        <f t="shared" si="23"/>
        <v>153.11937752045307</v>
      </c>
      <c r="AD101" s="216"/>
      <c r="AE101" s="224"/>
      <c r="AF101" s="224"/>
      <c r="AG101" s="224"/>
      <c r="AH101" s="225"/>
      <c r="AJ101" s="81">
        <f t="shared" si="24"/>
        <v>40544996.08736265</v>
      </c>
      <c r="AK101" s="81">
        <f t="shared" si="25"/>
        <v>1249575.9041155786</v>
      </c>
      <c r="AL101" s="81">
        <f t="shared" si="26"/>
        <v>7616948.688361928</v>
      </c>
      <c r="AM101" s="81">
        <f t="shared" si="27"/>
        <v>59275383.69634253</v>
      </c>
      <c r="AN101" s="81">
        <f t="shared" si="28"/>
        <v>0</v>
      </c>
      <c r="AO101" s="81">
        <f t="shared" si="29"/>
        <v>0</v>
      </c>
      <c r="AP101" s="81">
        <f t="shared" si="30"/>
        <v>0</v>
      </c>
      <c r="AQ101" s="81">
        <f t="shared" si="31"/>
        <v>0</v>
      </c>
      <c r="AR101" s="81">
        <f t="shared" si="32"/>
        <v>0</v>
      </c>
      <c r="AS101" s="82">
        <v>5241</v>
      </c>
      <c r="AT101" s="82">
        <v>82</v>
      </c>
      <c r="AU101" s="82"/>
      <c r="AV101" s="82">
        <v>82</v>
      </c>
      <c r="AW101" s="82">
        <f>7886378.4999679*(0.001)</f>
        <v>7886.378499967903</v>
      </c>
      <c r="AX101" s="82">
        <v>-857.800861651687</v>
      </c>
      <c r="AY101" s="82">
        <v>4563.133105303173</v>
      </c>
      <c r="AZ101" s="408"/>
      <c r="BA101" s="81"/>
      <c r="BB101" s="81"/>
      <c r="BC101" s="81"/>
      <c r="BD101" s="81"/>
      <c r="BE101" s="81"/>
      <c r="BF101" s="81"/>
      <c r="BG101" s="81"/>
      <c r="BO101" s="114"/>
    </row>
    <row r="102" spans="1:67" ht="12.75">
      <c r="A102" s="81">
        <v>245</v>
      </c>
      <c r="B102" s="81" t="s">
        <v>226</v>
      </c>
      <c r="C102" s="81">
        <v>1</v>
      </c>
      <c r="D102" s="81">
        <v>37105</v>
      </c>
      <c r="E102" s="100">
        <v>100682414.32331003</v>
      </c>
      <c r="F102" s="81">
        <v>58980223.0018764</v>
      </c>
      <c r="G102" s="81">
        <v>11476267.990907824</v>
      </c>
      <c r="H102" s="81">
        <v>5247761.704678065</v>
      </c>
      <c r="I102" s="156">
        <v>13746730.943438204</v>
      </c>
      <c r="J102" s="156">
        <v>4163436.6369951013</v>
      </c>
      <c r="K102" s="81">
        <v>9308245.53236609</v>
      </c>
      <c r="L102" s="81">
        <v>-3381728</v>
      </c>
      <c r="M102" s="82">
        <v>100000</v>
      </c>
      <c r="N102" s="82">
        <v>546591.9094310587</v>
      </c>
      <c r="O102" s="214">
        <f t="shared" si="18"/>
        <v>-494884.6036172956</v>
      </c>
      <c r="P102" s="215">
        <f t="shared" si="19"/>
        <v>-13.337410150041656</v>
      </c>
      <c r="Q102" s="81"/>
      <c r="R102" s="223">
        <v>213619004</v>
      </c>
      <c r="S102" s="156">
        <v>161889063.67887384</v>
      </c>
      <c r="T102" s="156">
        <v>7871642.557017097</v>
      </c>
      <c r="U102" s="156">
        <v>27783444.893972687</v>
      </c>
      <c r="V102" s="156">
        <v>14320643.43343754</v>
      </c>
      <c r="W102" s="156">
        <v>8194539.990907824</v>
      </c>
      <c r="X102" s="214">
        <f t="shared" si="20"/>
        <v>6440330.554208994</v>
      </c>
      <c r="Y102" s="215">
        <f t="shared" si="21"/>
        <v>173.57042323700293</v>
      </c>
      <c r="Z102" s="81"/>
      <c r="AA102" s="94">
        <f t="shared" si="22"/>
        <v>-6935215.15782629</v>
      </c>
      <c r="AB102" s="153">
        <f t="shared" si="23"/>
        <v>-186.9078333870446</v>
      </c>
      <c r="AD102" s="216"/>
      <c r="AE102" s="224"/>
      <c r="AF102" s="224"/>
      <c r="AG102" s="224"/>
      <c r="AH102" s="225"/>
      <c r="AJ102" s="81">
        <f t="shared" si="24"/>
        <v>102908840.67699744</v>
      </c>
      <c r="AK102" s="81">
        <f t="shared" si="25"/>
        <v>2623880.852339032</v>
      </c>
      <c r="AL102" s="81">
        <f t="shared" si="26"/>
        <v>14036713.950534483</v>
      </c>
      <c r="AM102" s="81">
        <f t="shared" si="27"/>
        <v>112936589.67668997</v>
      </c>
      <c r="AN102" s="81">
        <f t="shared" si="28"/>
        <v>0</v>
      </c>
      <c r="AO102" s="81">
        <f t="shared" si="29"/>
        <v>0</v>
      </c>
      <c r="AP102" s="81">
        <f t="shared" si="30"/>
        <v>0</v>
      </c>
      <c r="AQ102" s="81">
        <f t="shared" si="31"/>
        <v>0</v>
      </c>
      <c r="AR102" s="81">
        <f t="shared" si="32"/>
        <v>0</v>
      </c>
      <c r="AS102" s="82">
        <v>21953</v>
      </c>
      <c r="AT102" s="82">
        <v>817</v>
      </c>
      <c r="AU102" s="82"/>
      <c r="AV102" s="82">
        <v>817</v>
      </c>
      <c r="AW102" s="82">
        <f>19833669.1448128*(0.001)</f>
        <v>19833.66914481276</v>
      </c>
      <c r="AX102" s="82">
        <v>6509.609969547269</v>
      </c>
      <c r="AY102" s="82">
        <v>10157.206796442439</v>
      </c>
      <c r="AZ102" s="408"/>
      <c r="BA102" s="81"/>
      <c r="BB102" s="81"/>
      <c r="BC102" s="81"/>
      <c r="BD102" s="81"/>
      <c r="BE102" s="81"/>
      <c r="BF102" s="81"/>
      <c r="BG102" s="81"/>
      <c r="BO102" s="114"/>
    </row>
    <row r="103" spans="1:67" ht="12.75">
      <c r="A103" s="81">
        <v>249</v>
      </c>
      <c r="B103" s="81" t="s">
        <v>227</v>
      </c>
      <c r="C103" s="81">
        <v>13</v>
      </c>
      <c r="D103" s="81">
        <v>9486</v>
      </c>
      <c r="E103" s="100">
        <v>25893057.574431814</v>
      </c>
      <c r="F103" s="81">
        <v>14883564.266981246</v>
      </c>
      <c r="G103" s="81">
        <v>2413733.845219636</v>
      </c>
      <c r="H103" s="81">
        <v>2088642.7354870236</v>
      </c>
      <c r="I103" s="156">
        <v>3665139.5242138314</v>
      </c>
      <c r="J103" s="156">
        <v>1545892.7628230252</v>
      </c>
      <c r="K103" s="81">
        <v>2457780.763752218</v>
      </c>
      <c r="L103" s="81">
        <v>-110493</v>
      </c>
      <c r="M103" s="82">
        <v>300000</v>
      </c>
      <c r="N103" s="82">
        <v>103435.39064539984</v>
      </c>
      <c r="O103" s="214">
        <f t="shared" si="18"/>
        <v>1454638.714690566</v>
      </c>
      <c r="P103" s="215">
        <f t="shared" si="19"/>
        <v>153.34584805930487</v>
      </c>
      <c r="Q103" s="81"/>
      <c r="R103" s="223">
        <v>65900000</v>
      </c>
      <c r="S103" s="156">
        <v>33809934.17533303</v>
      </c>
      <c r="T103" s="156">
        <v>3132964.1032305355</v>
      </c>
      <c r="U103" s="156">
        <v>24860261.17761802</v>
      </c>
      <c r="V103" s="156">
        <v>5249831.754885989</v>
      </c>
      <c r="W103" s="156">
        <v>2603240.845219636</v>
      </c>
      <c r="X103" s="214">
        <f t="shared" si="20"/>
        <v>3756232.0562871993</v>
      </c>
      <c r="Y103" s="215">
        <f t="shared" si="21"/>
        <v>395.97639218713886</v>
      </c>
      <c r="Z103" s="81"/>
      <c r="AA103" s="94">
        <f t="shared" si="22"/>
        <v>-2301593.341596633</v>
      </c>
      <c r="AB103" s="153">
        <f t="shared" si="23"/>
        <v>-242.63054412783399</v>
      </c>
      <c r="AD103" s="216"/>
      <c r="AE103" s="224"/>
      <c r="AF103" s="224"/>
      <c r="AG103" s="224"/>
      <c r="AH103" s="225"/>
      <c r="AJ103" s="81">
        <f t="shared" si="24"/>
        <v>18926369.908351786</v>
      </c>
      <c r="AK103" s="81">
        <f t="shared" si="25"/>
        <v>1044321.3677435119</v>
      </c>
      <c r="AL103" s="81">
        <f t="shared" si="26"/>
        <v>21195121.653404187</v>
      </c>
      <c r="AM103" s="81">
        <f t="shared" si="27"/>
        <v>40006942.425568186</v>
      </c>
      <c r="AN103" s="81">
        <f t="shared" si="28"/>
        <v>0</v>
      </c>
      <c r="AO103" s="81">
        <f t="shared" si="29"/>
        <v>0</v>
      </c>
      <c r="AP103" s="81">
        <f t="shared" si="30"/>
        <v>0</v>
      </c>
      <c r="AQ103" s="81">
        <f t="shared" si="31"/>
        <v>0</v>
      </c>
      <c r="AR103" s="81">
        <f t="shared" si="32"/>
        <v>0</v>
      </c>
      <c r="AS103" s="82">
        <v>5031</v>
      </c>
      <c r="AT103" s="82">
        <v>21</v>
      </c>
      <c r="AU103" s="82">
        <v>6</v>
      </c>
      <c r="AV103" s="82">
        <v>27</v>
      </c>
      <c r="AW103" s="82">
        <f>18088748.3963553*(0.001)</f>
        <v>18088.74839635526</v>
      </c>
      <c r="AX103" s="82">
        <v>-2447.6627219457264</v>
      </c>
      <c r="AY103" s="82">
        <v>3703.938992062964</v>
      </c>
      <c r="AZ103" s="408"/>
      <c r="BA103" s="81"/>
      <c r="BB103" s="81"/>
      <c r="BC103" s="81"/>
      <c r="BD103" s="81"/>
      <c r="BE103" s="81"/>
      <c r="BF103" s="81"/>
      <c r="BG103" s="81"/>
      <c r="BO103" s="114"/>
    </row>
    <row r="104" spans="1:67" ht="12.75">
      <c r="A104" s="81">
        <v>250</v>
      </c>
      <c r="B104" s="81" t="s">
        <v>228</v>
      </c>
      <c r="C104" s="81">
        <v>6</v>
      </c>
      <c r="D104" s="81">
        <v>1822</v>
      </c>
      <c r="E104" s="100">
        <v>4382992.732604295</v>
      </c>
      <c r="F104" s="81">
        <v>2228375.788531976</v>
      </c>
      <c r="G104" s="81">
        <v>540609.0219860338</v>
      </c>
      <c r="H104" s="81">
        <v>546317.6236642319</v>
      </c>
      <c r="I104" s="156">
        <v>978881.5546342452</v>
      </c>
      <c r="J104" s="156">
        <v>412144.16984566057</v>
      </c>
      <c r="K104" s="81">
        <v>310853.1478112102</v>
      </c>
      <c r="L104" s="81">
        <v>-398119</v>
      </c>
      <c r="M104" s="82">
        <v>-60400</v>
      </c>
      <c r="N104" s="82">
        <v>14819.72704820412</v>
      </c>
      <c r="O104" s="214">
        <f t="shared" si="18"/>
        <v>190489.30091726594</v>
      </c>
      <c r="P104" s="215">
        <f t="shared" si="19"/>
        <v>104.54956142550272</v>
      </c>
      <c r="Q104" s="81"/>
      <c r="R104" s="223">
        <v>12998742</v>
      </c>
      <c r="S104" s="156">
        <v>4816521.911393854</v>
      </c>
      <c r="T104" s="156">
        <v>819476.4354963478</v>
      </c>
      <c r="U104" s="156">
        <v>6231061.799358694</v>
      </c>
      <c r="V104" s="156">
        <v>1389181.621333622</v>
      </c>
      <c r="W104" s="156">
        <v>82090.02198603377</v>
      </c>
      <c r="X104" s="214">
        <f t="shared" si="20"/>
        <v>339589.7895685509</v>
      </c>
      <c r="Y104" s="215">
        <f t="shared" si="21"/>
        <v>186.38298000469314</v>
      </c>
      <c r="Z104" s="81"/>
      <c r="AA104" s="94">
        <f t="shared" si="22"/>
        <v>-149100.48865128495</v>
      </c>
      <c r="AB104" s="153">
        <f t="shared" si="23"/>
        <v>-81.83341857919042</v>
      </c>
      <c r="AD104" s="216"/>
      <c r="AE104" s="224"/>
      <c r="AF104" s="224"/>
      <c r="AG104" s="224"/>
      <c r="AH104" s="225"/>
      <c r="AJ104" s="81">
        <f t="shared" si="24"/>
        <v>2588146.122861878</v>
      </c>
      <c r="AK104" s="81">
        <f t="shared" si="25"/>
        <v>273158.811832116</v>
      </c>
      <c r="AL104" s="81">
        <f t="shared" si="26"/>
        <v>5252180.244724449</v>
      </c>
      <c r="AM104" s="81">
        <f t="shared" si="27"/>
        <v>8615749.267395705</v>
      </c>
      <c r="AN104" s="81">
        <f t="shared" si="28"/>
        <v>0</v>
      </c>
      <c r="AO104" s="81">
        <f t="shared" si="29"/>
        <v>0</v>
      </c>
      <c r="AP104" s="81">
        <f t="shared" si="30"/>
        <v>0</v>
      </c>
      <c r="AQ104" s="81">
        <f t="shared" si="31"/>
        <v>0</v>
      </c>
      <c r="AR104" s="81">
        <f t="shared" si="32"/>
        <v>0</v>
      </c>
      <c r="AS104" s="82">
        <v>599</v>
      </c>
      <c r="AT104" s="82">
        <v>15</v>
      </c>
      <c r="AU104" s="82"/>
      <c r="AV104" s="82">
        <v>15</v>
      </c>
      <c r="AW104" s="82">
        <f>4256489.57479853*(0.001)</f>
        <v>4256.489574798535</v>
      </c>
      <c r="AX104" s="82">
        <v>-1054.6634906236477</v>
      </c>
      <c r="AY104" s="82">
        <v>977.0374514879613</v>
      </c>
      <c r="AZ104" s="408"/>
      <c r="BA104" s="81"/>
      <c r="BB104" s="81"/>
      <c r="BC104" s="81"/>
      <c r="BD104" s="81"/>
      <c r="BE104" s="81"/>
      <c r="BF104" s="81"/>
      <c r="BG104" s="81"/>
      <c r="BO104" s="114"/>
    </row>
    <row r="105" spans="1:67" ht="12.75">
      <c r="A105" s="81">
        <v>256</v>
      </c>
      <c r="B105" s="81" t="s">
        <v>229</v>
      </c>
      <c r="C105" s="81">
        <v>13</v>
      </c>
      <c r="D105" s="81">
        <v>1597</v>
      </c>
      <c r="E105" s="100">
        <v>5226134.545190487</v>
      </c>
      <c r="F105" s="81">
        <v>1731316.158508851</v>
      </c>
      <c r="G105" s="81">
        <v>446478.657200219</v>
      </c>
      <c r="H105" s="81">
        <v>496249.3983818114</v>
      </c>
      <c r="I105" s="156">
        <v>2141724.6864678734</v>
      </c>
      <c r="J105" s="156">
        <v>309009.64213825285</v>
      </c>
      <c r="K105" s="81">
        <v>77161.20485464069</v>
      </c>
      <c r="L105" s="81">
        <v>296473</v>
      </c>
      <c r="M105" s="82">
        <v>34162</v>
      </c>
      <c r="N105" s="82">
        <v>12082.13000544039</v>
      </c>
      <c r="O105" s="214">
        <f t="shared" si="18"/>
        <v>318522.33236660156</v>
      </c>
      <c r="P105" s="215">
        <f t="shared" si="19"/>
        <v>199.4504272802765</v>
      </c>
      <c r="Q105" s="81"/>
      <c r="R105" s="223">
        <v>12789550.28</v>
      </c>
      <c r="S105" s="156">
        <v>3815937.4062394365</v>
      </c>
      <c r="T105" s="156">
        <v>744374.0975727171</v>
      </c>
      <c r="U105" s="156">
        <v>6560754.196417813</v>
      </c>
      <c r="V105" s="156">
        <v>1042849.203940842</v>
      </c>
      <c r="W105" s="156">
        <v>777113.657200219</v>
      </c>
      <c r="X105" s="214">
        <f t="shared" si="20"/>
        <v>151478.2813710291</v>
      </c>
      <c r="Y105" s="215">
        <f t="shared" si="21"/>
        <v>94.85177293113907</v>
      </c>
      <c r="Z105" s="81"/>
      <c r="AA105" s="94">
        <f t="shared" si="22"/>
        <v>167044.05099557247</v>
      </c>
      <c r="AB105" s="153">
        <f t="shared" si="23"/>
        <v>104.59865434913743</v>
      </c>
      <c r="AD105" s="216"/>
      <c r="AE105" s="224"/>
      <c r="AF105" s="224"/>
      <c r="AG105" s="224"/>
      <c r="AH105" s="225"/>
      <c r="AJ105" s="81">
        <f t="shared" si="24"/>
        <v>2084621.2477305855</v>
      </c>
      <c r="AK105" s="81">
        <f t="shared" si="25"/>
        <v>248124.69919090573</v>
      </c>
      <c r="AL105" s="81">
        <f t="shared" si="26"/>
        <v>4419029.509949939</v>
      </c>
      <c r="AM105" s="81">
        <f t="shared" si="27"/>
        <v>7563415.734809512</v>
      </c>
      <c r="AN105" s="81">
        <f t="shared" si="28"/>
        <v>0</v>
      </c>
      <c r="AO105" s="81">
        <f t="shared" si="29"/>
        <v>0</v>
      </c>
      <c r="AP105" s="81">
        <f t="shared" si="30"/>
        <v>0</v>
      </c>
      <c r="AQ105" s="81">
        <f t="shared" si="31"/>
        <v>0</v>
      </c>
      <c r="AR105" s="81">
        <f t="shared" si="32"/>
        <v>0</v>
      </c>
      <c r="AS105" s="82">
        <v>927</v>
      </c>
      <c r="AT105" s="82">
        <v>8</v>
      </c>
      <c r="AU105" s="82">
        <v>12</v>
      </c>
      <c r="AV105" s="82">
        <v>20</v>
      </c>
      <c r="AW105" s="82">
        <f>3626678.24288929*(0.001)</f>
        <v>3626.67824288929</v>
      </c>
      <c r="AX105" s="82">
        <v>-1011.5705287171185</v>
      </c>
      <c r="AY105" s="82">
        <v>733.8395618025891</v>
      </c>
      <c r="AZ105" s="408"/>
      <c r="BA105" s="81"/>
      <c r="BB105" s="81"/>
      <c r="BC105" s="81"/>
      <c r="BD105" s="81"/>
      <c r="BE105" s="81"/>
      <c r="BF105" s="81"/>
      <c r="BG105" s="81"/>
      <c r="BO105" s="114"/>
    </row>
    <row r="106" spans="1:67" ht="12.75">
      <c r="A106" s="81">
        <v>257</v>
      </c>
      <c r="B106" s="81" t="s">
        <v>230</v>
      </c>
      <c r="C106" s="81">
        <v>1</v>
      </c>
      <c r="D106" s="81">
        <v>40082</v>
      </c>
      <c r="E106" s="100">
        <v>116311716.94419204</v>
      </c>
      <c r="F106" s="81">
        <v>69750185.17000015</v>
      </c>
      <c r="G106" s="81">
        <v>12354858.755745808</v>
      </c>
      <c r="H106" s="81">
        <v>3844471.489471246</v>
      </c>
      <c r="I106" s="156">
        <v>26180650.21992456</v>
      </c>
      <c r="J106" s="156">
        <v>3775060.068460753</v>
      </c>
      <c r="K106" s="81">
        <v>-2549409.9523822274</v>
      </c>
      <c r="L106" s="81">
        <v>-2567717</v>
      </c>
      <c r="M106" s="82">
        <v>-1119029</v>
      </c>
      <c r="N106" s="82">
        <v>599179.4934878327</v>
      </c>
      <c r="O106" s="214">
        <f t="shared" si="18"/>
        <v>-6043467.699483916</v>
      </c>
      <c r="P106" s="215">
        <f t="shared" si="19"/>
        <v>-150.77759841035666</v>
      </c>
      <c r="Q106" s="81"/>
      <c r="R106" s="223">
        <v>242502088</v>
      </c>
      <c r="S106" s="156">
        <v>183513969.54612374</v>
      </c>
      <c r="T106" s="156">
        <v>5766707.234206869</v>
      </c>
      <c r="U106" s="156">
        <v>23888967.71204742</v>
      </c>
      <c r="V106" s="156">
        <v>13131695.051555714</v>
      </c>
      <c r="W106" s="156">
        <v>8668112.755745808</v>
      </c>
      <c r="X106" s="214">
        <f t="shared" si="20"/>
        <v>-7532635.700320452</v>
      </c>
      <c r="Y106" s="215">
        <f t="shared" si="21"/>
        <v>-187.93063470686224</v>
      </c>
      <c r="Z106" s="81"/>
      <c r="AA106" s="94">
        <f t="shared" si="22"/>
        <v>1489168.0008365363</v>
      </c>
      <c r="AB106" s="153">
        <f t="shared" si="23"/>
        <v>37.15303629650557</v>
      </c>
      <c r="AD106" s="216"/>
      <c r="AE106" s="224"/>
      <c r="AF106" s="224"/>
      <c r="AG106" s="224"/>
      <c r="AH106" s="225"/>
      <c r="AJ106" s="81">
        <f t="shared" si="24"/>
        <v>113763784.37612359</v>
      </c>
      <c r="AK106" s="81">
        <f t="shared" si="25"/>
        <v>1922235.7447356232</v>
      </c>
      <c r="AL106" s="81">
        <f t="shared" si="26"/>
        <v>-2291682.5078771412</v>
      </c>
      <c r="AM106" s="81">
        <f t="shared" si="27"/>
        <v>126190371.05580796</v>
      </c>
      <c r="AN106" s="81">
        <f t="shared" si="28"/>
        <v>0</v>
      </c>
      <c r="AO106" s="81">
        <f t="shared" si="29"/>
        <v>0</v>
      </c>
      <c r="AP106" s="81">
        <f t="shared" si="30"/>
        <v>0</v>
      </c>
      <c r="AQ106" s="81">
        <f t="shared" si="31"/>
        <v>0</v>
      </c>
      <c r="AR106" s="81">
        <f t="shared" si="32"/>
        <v>0</v>
      </c>
      <c r="AS106" s="82">
        <v>17602</v>
      </c>
      <c r="AT106" s="82">
        <v>380</v>
      </c>
      <c r="AU106" s="82"/>
      <c r="AV106" s="82">
        <v>380</v>
      </c>
      <c r="AW106" s="82">
        <f>8461690.1803703*(0.001)</f>
        <v>8461.690180370297</v>
      </c>
      <c r="AX106" s="82">
        <v>10945.378937618862</v>
      </c>
      <c r="AY106" s="82">
        <v>9356.63498309496</v>
      </c>
      <c r="AZ106" s="408"/>
      <c r="BA106" s="81"/>
      <c r="BB106" s="81"/>
      <c r="BC106" s="81"/>
      <c r="BD106" s="81"/>
      <c r="BE106" s="81"/>
      <c r="BF106" s="81"/>
      <c r="BG106" s="81"/>
      <c r="BO106" s="114"/>
    </row>
    <row r="107" spans="1:67" ht="12.75">
      <c r="A107" s="154">
        <v>260</v>
      </c>
      <c r="B107" s="154" t="s">
        <v>231</v>
      </c>
      <c r="C107" s="81">
        <v>12</v>
      </c>
      <c r="D107" s="154">
        <v>9933</v>
      </c>
      <c r="E107" s="155">
        <v>27719064.63366191</v>
      </c>
      <c r="F107" s="81">
        <v>12958279.401509946</v>
      </c>
      <c r="G107" s="81">
        <v>2857177.573967536</v>
      </c>
      <c r="H107" s="154">
        <v>1717358.6805624699</v>
      </c>
      <c r="I107" s="156">
        <v>5413743.486104405</v>
      </c>
      <c r="J107" s="156">
        <v>1962482.6180352056</v>
      </c>
      <c r="K107" s="81">
        <v>5474408.286165891</v>
      </c>
      <c r="L107" s="154">
        <v>-953792</v>
      </c>
      <c r="M107" s="82">
        <v>365900</v>
      </c>
      <c r="N107" s="82">
        <v>95835.75852353292</v>
      </c>
      <c r="O107" s="214">
        <f t="shared" si="18"/>
        <v>2172329.171207078</v>
      </c>
      <c r="P107" s="215">
        <f t="shared" si="19"/>
        <v>218.6981950273913</v>
      </c>
      <c r="Q107" s="154"/>
      <c r="R107" s="226">
        <v>73085016</v>
      </c>
      <c r="S107" s="156">
        <v>30602999.475508515</v>
      </c>
      <c r="T107" s="227">
        <v>2576038.020843705</v>
      </c>
      <c r="U107" s="227">
        <v>36869185.02444295</v>
      </c>
      <c r="V107" s="227">
        <v>6630743.809597113</v>
      </c>
      <c r="W107" s="227">
        <v>2269285.573967536</v>
      </c>
      <c r="X107" s="214">
        <f t="shared" si="20"/>
        <v>5863235.9043598175</v>
      </c>
      <c r="Y107" s="215">
        <f t="shared" si="21"/>
        <v>590.2784560917968</v>
      </c>
      <c r="Z107" s="154"/>
      <c r="AA107" s="94">
        <f t="shared" si="22"/>
        <v>-3690906.7331527397</v>
      </c>
      <c r="AB107" s="153">
        <f t="shared" si="23"/>
        <v>-371.5802610644055</v>
      </c>
      <c r="AD107" s="216"/>
      <c r="AE107" s="224"/>
      <c r="AF107" s="224"/>
      <c r="AG107" s="224"/>
      <c r="AH107" s="225"/>
      <c r="AJ107" s="81">
        <f t="shared" si="24"/>
        <v>17644720.07399857</v>
      </c>
      <c r="AK107" s="81">
        <f t="shared" si="25"/>
        <v>858679.3402812353</v>
      </c>
      <c r="AL107" s="81">
        <f t="shared" si="26"/>
        <v>31455441.538338542</v>
      </c>
      <c r="AM107" s="81">
        <f t="shared" si="27"/>
        <v>45365951.36633809</v>
      </c>
      <c r="AN107" s="81">
        <f t="shared" si="28"/>
        <v>0</v>
      </c>
      <c r="AO107" s="81">
        <f t="shared" si="29"/>
        <v>0</v>
      </c>
      <c r="AP107" s="81">
        <f t="shared" si="30"/>
        <v>0</v>
      </c>
      <c r="AQ107" s="81">
        <f t="shared" si="31"/>
        <v>0</v>
      </c>
      <c r="AR107" s="81">
        <f t="shared" si="32"/>
        <v>0</v>
      </c>
      <c r="AS107" s="82">
        <v>2871</v>
      </c>
      <c r="AT107" s="82"/>
      <c r="AU107" s="82"/>
      <c r="AV107" s="82">
        <v>0</v>
      </c>
      <c r="AW107" s="82">
        <f>27092806.7078759*(0.001)</f>
        <v>27092.806707875883</v>
      </c>
      <c r="AX107" s="82">
        <v>-4325.901479245964</v>
      </c>
      <c r="AY107" s="82">
        <v>4668.261191561907</v>
      </c>
      <c r="AZ107" s="408"/>
      <c r="BA107" s="81"/>
      <c r="BB107" s="81"/>
      <c r="BC107" s="81"/>
      <c r="BD107" s="81"/>
      <c r="BE107" s="81"/>
      <c r="BF107" s="81"/>
      <c r="BG107" s="81"/>
      <c r="BO107" s="114"/>
    </row>
    <row r="108" spans="1:67" ht="12.75">
      <c r="A108" s="81">
        <v>261</v>
      </c>
      <c r="B108" s="81" t="s">
        <v>232</v>
      </c>
      <c r="C108" s="81">
        <v>19</v>
      </c>
      <c r="D108" s="81">
        <v>6436</v>
      </c>
      <c r="E108" s="100">
        <v>25922054.56170175</v>
      </c>
      <c r="F108" s="81">
        <v>9107744.02619744</v>
      </c>
      <c r="G108" s="81">
        <v>8103979.884665246</v>
      </c>
      <c r="H108" s="81">
        <v>1645062.5406755554</v>
      </c>
      <c r="I108" s="156">
        <v>7977949.749574868</v>
      </c>
      <c r="J108" s="156">
        <v>1118244.1057729432</v>
      </c>
      <c r="K108" s="81">
        <v>-1061266.8169639264</v>
      </c>
      <c r="L108" s="81">
        <v>230848</v>
      </c>
      <c r="M108" s="82">
        <v>1102630</v>
      </c>
      <c r="N108" s="82">
        <v>70849.54346645449</v>
      </c>
      <c r="O108" s="214">
        <f t="shared" si="18"/>
        <v>2373986.4716868326</v>
      </c>
      <c r="P108" s="215">
        <f t="shared" si="19"/>
        <v>368.8605456318882</v>
      </c>
      <c r="Q108" s="81"/>
      <c r="R108" s="223">
        <v>55472640</v>
      </c>
      <c r="S108" s="156">
        <v>21964422.074762</v>
      </c>
      <c r="T108" s="156">
        <v>2467593.811013333</v>
      </c>
      <c r="U108" s="156">
        <v>20922849.75974751</v>
      </c>
      <c r="V108" s="156">
        <v>3806559.6635885555</v>
      </c>
      <c r="W108" s="156">
        <v>9437457.884665247</v>
      </c>
      <c r="X108" s="214">
        <f t="shared" si="20"/>
        <v>3126243.1937766448</v>
      </c>
      <c r="Y108" s="215">
        <f t="shared" si="21"/>
        <v>485.74319356380437</v>
      </c>
      <c r="Z108" s="81"/>
      <c r="AA108" s="94">
        <f t="shared" si="22"/>
        <v>-752256.7220898122</v>
      </c>
      <c r="AB108" s="153">
        <f t="shared" si="23"/>
        <v>-116.88264793191613</v>
      </c>
      <c r="AD108" s="216"/>
      <c r="AE108" s="224"/>
      <c r="AF108" s="224"/>
      <c r="AG108" s="224"/>
      <c r="AH108" s="225"/>
      <c r="AJ108" s="81">
        <f t="shared" si="24"/>
        <v>12856678.04856456</v>
      </c>
      <c r="AK108" s="81">
        <f t="shared" si="25"/>
        <v>822531.2703377777</v>
      </c>
      <c r="AL108" s="81">
        <f t="shared" si="26"/>
        <v>12944900.01017264</v>
      </c>
      <c r="AM108" s="81">
        <f t="shared" si="27"/>
        <v>29550585.43829825</v>
      </c>
      <c r="AN108" s="81">
        <f t="shared" si="28"/>
        <v>0</v>
      </c>
      <c r="AO108" s="81">
        <f t="shared" si="29"/>
        <v>0</v>
      </c>
      <c r="AP108" s="81">
        <f t="shared" si="30"/>
        <v>0</v>
      </c>
      <c r="AQ108" s="81">
        <f t="shared" si="31"/>
        <v>0</v>
      </c>
      <c r="AR108" s="81">
        <f t="shared" si="32"/>
        <v>0</v>
      </c>
      <c r="AS108" s="82">
        <v>2799</v>
      </c>
      <c r="AT108" s="82">
        <v>67</v>
      </c>
      <c r="AU108" s="82"/>
      <c r="AV108" s="82">
        <v>67</v>
      </c>
      <c r="AW108" s="82">
        <f>10992810.566861*(0.001)</f>
        <v>10992.810566861037</v>
      </c>
      <c r="AX108" s="82">
        <v>-495.2812132211322</v>
      </c>
      <c r="AY108" s="82">
        <v>2688.3155578156125</v>
      </c>
      <c r="AZ108" s="408"/>
      <c r="BA108" s="81"/>
      <c r="BB108" s="81"/>
      <c r="BC108" s="81"/>
      <c r="BD108" s="81"/>
      <c r="BE108" s="81"/>
      <c r="BF108" s="81"/>
      <c r="BG108" s="81"/>
      <c r="BO108" s="114"/>
    </row>
    <row r="109" spans="1:67" ht="12.75">
      <c r="A109" s="81">
        <v>263</v>
      </c>
      <c r="B109" s="81" t="s">
        <v>233</v>
      </c>
      <c r="C109" s="81">
        <v>11</v>
      </c>
      <c r="D109" s="81">
        <v>7854</v>
      </c>
      <c r="E109" s="100">
        <v>18321303.219735757</v>
      </c>
      <c r="F109" s="81">
        <v>10656599.522577222</v>
      </c>
      <c r="G109" s="81">
        <v>1686058.042433432</v>
      </c>
      <c r="H109" s="81">
        <v>1565058.6598425116</v>
      </c>
      <c r="I109" s="156">
        <v>6289739.580671628</v>
      </c>
      <c r="J109" s="156">
        <v>1595715.3498093826</v>
      </c>
      <c r="K109" s="81">
        <v>19747.654087452385</v>
      </c>
      <c r="L109" s="81">
        <v>-288085</v>
      </c>
      <c r="M109" s="82">
        <v>565177</v>
      </c>
      <c r="N109" s="82">
        <v>69320.9425040905</v>
      </c>
      <c r="O109" s="214">
        <f t="shared" si="18"/>
        <v>3838028.5321899652</v>
      </c>
      <c r="P109" s="215">
        <f t="shared" si="19"/>
        <v>488.67182737330853</v>
      </c>
      <c r="Q109" s="81"/>
      <c r="R109" s="223">
        <v>57616194</v>
      </c>
      <c r="S109" s="156">
        <v>23258146.310888454</v>
      </c>
      <c r="T109" s="156">
        <v>2347587.9897637675</v>
      </c>
      <c r="U109" s="156">
        <v>28441236.601416383</v>
      </c>
      <c r="V109" s="156">
        <v>5386173.401635663</v>
      </c>
      <c r="W109" s="156">
        <v>1963150.042433432</v>
      </c>
      <c r="X109" s="214">
        <f t="shared" si="20"/>
        <v>3780100.3461377025</v>
      </c>
      <c r="Y109" s="215">
        <f t="shared" si="21"/>
        <v>481.2961988970846</v>
      </c>
      <c r="Z109" s="81"/>
      <c r="AA109" s="94">
        <f t="shared" si="22"/>
        <v>57928.18605226278</v>
      </c>
      <c r="AB109" s="153">
        <f t="shared" si="23"/>
        <v>7.375628476223935</v>
      </c>
      <c r="AD109" s="216"/>
      <c r="AE109" s="224"/>
      <c r="AF109" s="224"/>
      <c r="AG109" s="224"/>
      <c r="AH109" s="225"/>
      <c r="AJ109" s="81">
        <f t="shared" si="24"/>
        <v>12601546.788311232</v>
      </c>
      <c r="AK109" s="81">
        <f t="shared" si="25"/>
        <v>782529.3299212558</v>
      </c>
      <c r="AL109" s="81">
        <f t="shared" si="26"/>
        <v>22151497.020744756</v>
      </c>
      <c r="AM109" s="81">
        <f t="shared" si="27"/>
        <v>39294890.78026424</v>
      </c>
      <c r="AN109" s="81">
        <f t="shared" si="28"/>
        <v>0</v>
      </c>
      <c r="AO109" s="81">
        <f t="shared" si="29"/>
        <v>0</v>
      </c>
      <c r="AP109" s="81">
        <f t="shared" si="30"/>
        <v>0</v>
      </c>
      <c r="AQ109" s="81">
        <f t="shared" si="31"/>
        <v>0</v>
      </c>
      <c r="AR109" s="81">
        <f t="shared" si="32"/>
        <v>0</v>
      </c>
      <c r="AS109" s="82">
        <v>3639</v>
      </c>
      <c r="AT109" s="82">
        <v>67</v>
      </c>
      <c r="AU109" s="82"/>
      <c r="AV109" s="82">
        <v>67</v>
      </c>
      <c r="AW109" s="82">
        <f>18169923.9835939*(0.001)</f>
        <v>18169.923983593904</v>
      </c>
      <c r="AX109" s="82">
        <v>-4056.2781204877424</v>
      </c>
      <c r="AY109" s="82">
        <v>3790.45805182628</v>
      </c>
      <c r="AZ109" s="408"/>
      <c r="BA109" s="81"/>
      <c r="BB109" s="81"/>
      <c r="BC109" s="81"/>
      <c r="BD109" s="81"/>
      <c r="BE109" s="81"/>
      <c r="BF109" s="81"/>
      <c r="BG109" s="81"/>
      <c r="BO109" s="114"/>
    </row>
    <row r="110" spans="1:67" ht="12.75">
      <c r="A110" s="81">
        <v>265</v>
      </c>
      <c r="B110" s="81" t="s">
        <v>234</v>
      </c>
      <c r="C110" s="81">
        <v>13</v>
      </c>
      <c r="D110" s="81">
        <v>1107</v>
      </c>
      <c r="E110" s="100">
        <v>3117089.114683831</v>
      </c>
      <c r="F110" s="81">
        <v>1216722.9493992373</v>
      </c>
      <c r="G110" s="81">
        <v>506246.55292613787</v>
      </c>
      <c r="H110" s="81">
        <v>513813.7548709921</v>
      </c>
      <c r="I110" s="156">
        <v>1055760.3157872746</v>
      </c>
      <c r="J110" s="156">
        <v>230705.7677163945</v>
      </c>
      <c r="K110" s="81">
        <v>191319.22233924665</v>
      </c>
      <c r="L110" s="81">
        <v>-278514</v>
      </c>
      <c r="M110" s="82">
        <v>-32490</v>
      </c>
      <c r="N110" s="82">
        <v>8568.89288266614</v>
      </c>
      <c r="O110" s="214">
        <f t="shared" si="18"/>
        <v>295044.3412381178</v>
      </c>
      <c r="P110" s="215">
        <f t="shared" si="19"/>
        <v>266.52605351230153</v>
      </c>
      <c r="Q110" s="81"/>
      <c r="R110" s="223">
        <v>9001250</v>
      </c>
      <c r="S110" s="156">
        <v>2614247.048343163</v>
      </c>
      <c r="T110" s="156">
        <v>770720.6323064882</v>
      </c>
      <c r="U110" s="156">
        <v>4981628.762718271</v>
      </c>
      <c r="V110" s="156">
        <v>778183.3928187458</v>
      </c>
      <c r="W110" s="156">
        <v>195242.55292613787</v>
      </c>
      <c r="X110" s="214">
        <f t="shared" si="20"/>
        <v>338772.38911280595</v>
      </c>
      <c r="Y110" s="215">
        <f t="shared" si="21"/>
        <v>306.0274517730858</v>
      </c>
      <c r="Z110" s="81"/>
      <c r="AA110" s="94">
        <f t="shared" si="22"/>
        <v>-43728.04787468817</v>
      </c>
      <c r="AB110" s="153">
        <f t="shared" si="23"/>
        <v>-39.501398260784256</v>
      </c>
      <c r="AD110" s="216"/>
      <c r="AE110" s="224"/>
      <c r="AF110" s="224"/>
      <c r="AG110" s="224"/>
      <c r="AH110" s="225"/>
      <c r="AJ110" s="81">
        <f t="shared" si="24"/>
        <v>1397524.0989439257</v>
      </c>
      <c r="AK110" s="81">
        <f t="shared" si="25"/>
        <v>256906.87743549614</v>
      </c>
      <c r="AL110" s="81">
        <f t="shared" si="26"/>
        <v>3925868.446930997</v>
      </c>
      <c r="AM110" s="81">
        <f t="shared" si="27"/>
        <v>5884160.885316169</v>
      </c>
      <c r="AN110" s="81">
        <f t="shared" si="28"/>
        <v>0</v>
      </c>
      <c r="AO110" s="81">
        <f t="shared" si="29"/>
        <v>0</v>
      </c>
      <c r="AP110" s="81">
        <f t="shared" si="30"/>
        <v>0</v>
      </c>
      <c r="AQ110" s="81">
        <f t="shared" si="31"/>
        <v>0</v>
      </c>
      <c r="AR110" s="81">
        <f t="shared" si="32"/>
        <v>0</v>
      </c>
      <c r="AS110" s="82">
        <v>620</v>
      </c>
      <c r="AT110" s="82"/>
      <c r="AU110" s="82"/>
      <c r="AV110" s="82">
        <v>0</v>
      </c>
      <c r="AW110" s="82">
        <f>3404753.35902777*(0.001)</f>
        <v>3404.753359027774</v>
      </c>
      <c r="AX110" s="82">
        <v>-605.4422609027176</v>
      </c>
      <c r="AY110" s="82">
        <v>547.4776251023513</v>
      </c>
      <c r="AZ110" s="408"/>
      <c r="BA110" s="81"/>
      <c r="BB110" s="81"/>
      <c r="BC110" s="81"/>
      <c r="BD110" s="81"/>
      <c r="BE110" s="81"/>
      <c r="BF110" s="81"/>
      <c r="BG110" s="81"/>
      <c r="BO110" s="114"/>
    </row>
    <row r="111" spans="1:67" ht="12.75">
      <c r="A111" s="81">
        <v>271</v>
      </c>
      <c r="B111" s="81" t="s">
        <v>235</v>
      </c>
      <c r="C111" s="81">
        <v>4</v>
      </c>
      <c r="D111" s="81">
        <v>7013</v>
      </c>
      <c r="E111" s="100">
        <v>16703200.065260645</v>
      </c>
      <c r="F111" s="81">
        <v>9864590.602779333</v>
      </c>
      <c r="G111" s="81">
        <v>2605100.2242852827</v>
      </c>
      <c r="H111" s="81">
        <v>897019.97154869</v>
      </c>
      <c r="I111" s="156">
        <v>3217236.5452546272</v>
      </c>
      <c r="J111" s="156">
        <v>1275361.9826546032</v>
      </c>
      <c r="K111" s="81">
        <v>-740695.346574908</v>
      </c>
      <c r="L111" s="81">
        <v>-897325</v>
      </c>
      <c r="M111" s="82">
        <v>-28000</v>
      </c>
      <c r="N111" s="82">
        <v>62129.289394808635</v>
      </c>
      <c r="O111" s="214">
        <f t="shared" si="18"/>
        <v>-447781.7959182076</v>
      </c>
      <c r="P111" s="215">
        <f t="shared" si="19"/>
        <v>-63.85024895454265</v>
      </c>
      <c r="Q111" s="81"/>
      <c r="R111" s="223">
        <v>46893000</v>
      </c>
      <c r="S111" s="156">
        <v>21411635.039577145</v>
      </c>
      <c r="T111" s="156">
        <v>1345529.957323035</v>
      </c>
      <c r="U111" s="156">
        <v>17164829.85277043</v>
      </c>
      <c r="V111" s="156">
        <v>4323421.999108362</v>
      </c>
      <c r="W111" s="156">
        <v>1679775.2242852827</v>
      </c>
      <c r="X111" s="214">
        <f t="shared" si="20"/>
        <v>-967807.9269357473</v>
      </c>
      <c r="Y111" s="215">
        <f t="shared" si="21"/>
        <v>-138.00198587419752</v>
      </c>
      <c r="Z111" s="81"/>
      <c r="AA111" s="94">
        <f t="shared" si="22"/>
        <v>520026.13101753965</v>
      </c>
      <c r="AB111" s="153">
        <f t="shared" si="23"/>
        <v>74.15173691965488</v>
      </c>
      <c r="AD111" s="216"/>
      <c r="AE111" s="224"/>
      <c r="AF111" s="224"/>
      <c r="AG111" s="224"/>
      <c r="AH111" s="225"/>
      <c r="AJ111" s="81">
        <f t="shared" si="24"/>
        <v>11547044.436797813</v>
      </c>
      <c r="AK111" s="81">
        <f t="shared" si="25"/>
        <v>448509.985774345</v>
      </c>
      <c r="AL111" s="81">
        <f t="shared" si="26"/>
        <v>13947593.307515802</v>
      </c>
      <c r="AM111" s="81">
        <f t="shared" si="27"/>
        <v>30189799.934739355</v>
      </c>
      <c r="AN111" s="81">
        <f t="shared" si="28"/>
        <v>0</v>
      </c>
      <c r="AO111" s="81">
        <f t="shared" si="29"/>
        <v>0</v>
      </c>
      <c r="AP111" s="81">
        <f t="shared" si="30"/>
        <v>0</v>
      </c>
      <c r="AQ111" s="81">
        <f t="shared" si="31"/>
        <v>0</v>
      </c>
      <c r="AR111" s="81">
        <f t="shared" si="32"/>
        <v>0</v>
      </c>
      <c r="AS111" s="82">
        <v>1658</v>
      </c>
      <c r="AT111" s="82">
        <v>63</v>
      </c>
      <c r="AU111" s="82">
        <v>25</v>
      </c>
      <c r="AV111" s="82">
        <v>88</v>
      </c>
      <c r="AW111" s="82">
        <f>11389137.1808028*(0.001)</f>
        <v>11389.137180802789</v>
      </c>
      <c r="AX111" s="82">
        <v>-2587.910406518512</v>
      </c>
      <c r="AY111" s="82">
        <v>3048.0600164537586</v>
      </c>
      <c r="AZ111" s="408"/>
      <c r="BA111" s="81"/>
      <c r="BB111" s="81"/>
      <c r="BC111" s="81"/>
      <c r="BD111" s="81"/>
      <c r="BE111" s="81"/>
      <c r="BF111" s="81"/>
      <c r="BG111" s="81"/>
      <c r="BO111" s="114"/>
    </row>
    <row r="112" spans="1:67" ht="12.75">
      <c r="A112" s="81">
        <v>272</v>
      </c>
      <c r="B112" s="81" t="s">
        <v>236</v>
      </c>
      <c r="C112" s="81">
        <v>16</v>
      </c>
      <c r="D112" s="81">
        <v>47772</v>
      </c>
      <c r="E112" s="100">
        <v>123782734.64018989</v>
      </c>
      <c r="F112" s="81">
        <v>75136465.8472195</v>
      </c>
      <c r="G112" s="81">
        <v>15761737.82636042</v>
      </c>
      <c r="H112" s="81">
        <v>11334956.049649043</v>
      </c>
      <c r="I112" s="156">
        <v>32503984.06476908</v>
      </c>
      <c r="J112" s="156">
        <v>6834885.284790028</v>
      </c>
      <c r="K112" s="81">
        <v>-9288609.28855963</v>
      </c>
      <c r="L112" s="81">
        <v>-889141</v>
      </c>
      <c r="M112" s="82">
        <v>1570000</v>
      </c>
      <c r="N112" s="82">
        <v>517526.84878134803</v>
      </c>
      <c r="O112" s="214">
        <f t="shared" si="18"/>
        <v>9699070.992819905</v>
      </c>
      <c r="P112" s="215">
        <f t="shared" si="19"/>
        <v>203.0283637448695</v>
      </c>
      <c r="Q112" s="81"/>
      <c r="R112" s="223">
        <v>309201000</v>
      </c>
      <c r="S112" s="156">
        <v>169389999.95966977</v>
      </c>
      <c r="T112" s="156">
        <v>17002434.074473564</v>
      </c>
      <c r="U112" s="156">
        <v>87903226.97375822</v>
      </c>
      <c r="V112" s="156">
        <v>23309963.407530483</v>
      </c>
      <c r="W112" s="156">
        <v>16442596.82636042</v>
      </c>
      <c r="X112" s="214">
        <f t="shared" si="20"/>
        <v>4847221.24179244</v>
      </c>
      <c r="Y112" s="215">
        <f t="shared" si="21"/>
        <v>101.46573812677804</v>
      </c>
      <c r="Z112" s="81"/>
      <c r="AA112" s="94">
        <f t="shared" si="22"/>
        <v>4851849.751027465</v>
      </c>
      <c r="AB112" s="153">
        <f t="shared" si="23"/>
        <v>101.56262561809146</v>
      </c>
      <c r="AD112" s="216"/>
      <c r="AE112" s="224"/>
      <c r="AF112" s="224"/>
      <c r="AG112" s="224"/>
      <c r="AH112" s="225"/>
      <c r="AJ112" s="81">
        <f t="shared" si="24"/>
        <v>94253534.11245027</v>
      </c>
      <c r="AK112" s="81">
        <f t="shared" si="25"/>
        <v>5667478.024824521</v>
      </c>
      <c r="AL112" s="81">
        <f t="shared" si="26"/>
        <v>55399242.90898914</v>
      </c>
      <c r="AM112" s="81">
        <f t="shared" si="27"/>
        <v>185418265.3598101</v>
      </c>
      <c r="AN112" s="81">
        <f t="shared" si="28"/>
        <v>0</v>
      </c>
      <c r="AO112" s="81">
        <f t="shared" si="29"/>
        <v>0</v>
      </c>
      <c r="AP112" s="81">
        <f t="shared" si="30"/>
        <v>0</v>
      </c>
      <c r="AQ112" s="81">
        <f t="shared" si="31"/>
        <v>0</v>
      </c>
      <c r="AR112" s="81">
        <f t="shared" si="32"/>
        <v>0</v>
      </c>
      <c r="AS112" s="82">
        <v>15059</v>
      </c>
      <c r="AT112" s="82">
        <v>10</v>
      </c>
      <c r="AU112" s="82">
        <v>221</v>
      </c>
      <c r="AV112" s="82">
        <v>231</v>
      </c>
      <c r="AW112" s="82">
        <f>47746509.2598686*(0.001)</f>
        <v>47746.50925986863</v>
      </c>
      <c r="AX112" s="82">
        <v>-6334.145968877988</v>
      </c>
      <c r="AY112" s="82">
        <v>16475.078122740455</v>
      </c>
      <c r="AZ112" s="408"/>
      <c r="BA112" s="81"/>
      <c r="BB112" s="81"/>
      <c r="BC112" s="81"/>
      <c r="BD112" s="81"/>
      <c r="BE112" s="81"/>
      <c r="BF112" s="81"/>
      <c r="BG112" s="81"/>
      <c r="BO112" s="114"/>
    </row>
    <row r="113" spans="1:67" ht="12.75">
      <c r="A113" s="81">
        <v>273</v>
      </c>
      <c r="B113" s="81" t="s">
        <v>237</v>
      </c>
      <c r="C113" s="81">
        <v>19</v>
      </c>
      <c r="D113" s="81">
        <v>3925</v>
      </c>
      <c r="E113" s="100">
        <v>12264238.140718948</v>
      </c>
      <c r="F113" s="81">
        <v>4880278.680976617</v>
      </c>
      <c r="G113" s="81">
        <v>3740439.6565506295</v>
      </c>
      <c r="H113" s="81">
        <v>691077.2343896063</v>
      </c>
      <c r="I113" s="156">
        <v>3966131.798031496</v>
      </c>
      <c r="J113" s="156">
        <v>702687.5219991361</v>
      </c>
      <c r="K113" s="81">
        <v>-271085.70433999196</v>
      </c>
      <c r="L113" s="81">
        <v>-387682</v>
      </c>
      <c r="M113" s="82">
        <v>-52000</v>
      </c>
      <c r="N113" s="82">
        <v>38652.35544756769</v>
      </c>
      <c r="O113" s="214">
        <f t="shared" si="18"/>
        <v>1044261.4023361132</v>
      </c>
      <c r="P113" s="215">
        <f t="shared" si="19"/>
        <v>266.05386046779955</v>
      </c>
      <c r="Q113" s="81"/>
      <c r="R113" s="223">
        <v>31285961</v>
      </c>
      <c r="S113" s="156">
        <v>11997507.429195195</v>
      </c>
      <c r="T113" s="156">
        <v>1036615.8515844095</v>
      </c>
      <c r="U113" s="156">
        <v>14919687.773098987</v>
      </c>
      <c r="V113" s="156">
        <v>2383830.5982085722</v>
      </c>
      <c r="W113" s="156">
        <v>3300757.6565506295</v>
      </c>
      <c r="X113" s="214">
        <f t="shared" si="20"/>
        <v>2352438.308637798</v>
      </c>
      <c r="Y113" s="215">
        <f t="shared" si="21"/>
        <v>599.3473397803307</v>
      </c>
      <c r="Z113" s="81"/>
      <c r="AA113" s="94">
        <f t="shared" si="22"/>
        <v>-1308176.9063016847</v>
      </c>
      <c r="AB113" s="153">
        <f t="shared" si="23"/>
        <v>-333.29347931253113</v>
      </c>
      <c r="AD113" s="216"/>
      <c r="AE113" s="224"/>
      <c r="AF113" s="224"/>
      <c r="AG113" s="224"/>
      <c r="AH113" s="225"/>
      <c r="AJ113" s="81">
        <f t="shared" si="24"/>
        <v>7117228.748218578</v>
      </c>
      <c r="AK113" s="81">
        <f t="shared" si="25"/>
        <v>345538.6171948032</v>
      </c>
      <c r="AL113" s="81">
        <f t="shared" si="26"/>
        <v>10953555.97506749</v>
      </c>
      <c r="AM113" s="81">
        <f t="shared" si="27"/>
        <v>19021722.859281052</v>
      </c>
      <c r="AN113" s="81">
        <f t="shared" si="28"/>
        <v>0</v>
      </c>
      <c r="AO113" s="81">
        <f t="shared" si="29"/>
        <v>0</v>
      </c>
      <c r="AP113" s="81">
        <f t="shared" si="30"/>
        <v>0</v>
      </c>
      <c r="AQ113" s="81">
        <f t="shared" si="31"/>
        <v>0</v>
      </c>
      <c r="AR113" s="81">
        <f t="shared" si="32"/>
        <v>0</v>
      </c>
      <c r="AS113" s="82">
        <v>1551</v>
      </c>
      <c r="AT113" s="82">
        <v>86</v>
      </c>
      <c r="AU113" s="82"/>
      <c r="AV113" s="82">
        <v>86</v>
      </c>
      <c r="AW113" s="82">
        <f>8165779.83563665*(0.001)</f>
        <v>8165.779835636651</v>
      </c>
      <c r="AX113" s="82">
        <v>-1300.68040778188</v>
      </c>
      <c r="AY113" s="82">
        <v>1681.1430762094362</v>
      </c>
      <c r="AZ113" s="408"/>
      <c r="BA113" s="81"/>
      <c r="BB113" s="81"/>
      <c r="BC113" s="81"/>
      <c r="BD113" s="81"/>
      <c r="BE113" s="81"/>
      <c r="BF113" s="81"/>
      <c r="BG113" s="81"/>
      <c r="BO113" s="114"/>
    </row>
    <row r="114" spans="1:67" ht="12.75">
      <c r="A114" s="81">
        <v>275</v>
      </c>
      <c r="B114" s="81" t="s">
        <v>238</v>
      </c>
      <c r="C114" s="81">
        <v>13</v>
      </c>
      <c r="D114" s="81">
        <v>2593</v>
      </c>
      <c r="E114" s="100">
        <v>5861845.564170426</v>
      </c>
      <c r="F114" s="81">
        <v>3630679.9657653575</v>
      </c>
      <c r="G114" s="81">
        <v>797898.3738178674</v>
      </c>
      <c r="H114" s="81">
        <v>623510.047873041</v>
      </c>
      <c r="I114" s="156">
        <v>1470546.0997811453</v>
      </c>
      <c r="J114" s="156">
        <v>499197.88802059577</v>
      </c>
      <c r="K114" s="81">
        <v>691392.1709573366</v>
      </c>
      <c r="L114" s="81">
        <v>10437</v>
      </c>
      <c r="M114" s="82">
        <v>43000</v>
      </c>
      <c r="N114" s="82">
        <v>23485.170853024934</v>
      </c>
      <c r="O114" s="214">
        <f t="shared" si="18"/>
        <v>1928301.1528979428</v>
      </c>
      <c r="P114" s="215">
        <f t="shared" si="19"/>
        <v>743.6564415341082</v>
      </c>
      <c r="Q114" s="81"/>
      <c r="R114" s="223">
        <v>17190000</v>
      </c>
      <c r="S114" s="156">
        <v>7853302.331865517</v>
      </c>
      <c r="T114" s="156">
        <v>935265.0718095617</v>
      </c>
      <c r="U114" s="156">
        <v>8420589.948690478</v>
      </c>
      <c r="V114" s="156">
        <v>1688357.730685566</v>
      </c>
      <c r="W114" s="156">
        <v>851335.3738178674</v>
      </c>
      <c r="X114" s="214">
        <f t="shared" si="20"/>
        <v>2558850.4568689913</v>
      </c>
      <c r="Y114" s="215">
        <f t="shared" si="21"/>
        <v>986.8301029190094</v>
      </c>
      <c r="Z114" s="81"/>
      <c r="AA114" s="94">
        <f t="shared" si="22"/>
        <v>-630549.3039710484</v>
      </c>
      <c r="AB114" s="153">
        <f t="shared" si="23"/>
        <v>-243.17366138490107</v>
      </c>
      <c r="AD114" s="216"/>
      <c r="AE114" s="224"/>
      <c r="AF114" s="224"/>
      <c r="AG114" s="224"/>
      <c r="AH114" s="225"/>
      <c r="AJ114" s="81">
        <f t="shared" si="24"/>
        <v>4222622.36610016</v>
      </c>
      <c r="AK114" s="81">
        <f t="shared" si="25"/>
        <v>311755.0239365207</v>
      </c>
      <c r="AL114" s="81">
        <f t="shared" si="26"/>
        <v>6950043.848909332</v>
      </c>
      <c r="AM114" s="81">
        <f t="shared" si="27"/>
        <v>11328154.435829574</v>
      </c>
      <c r="AN114" s="81">
        <f t="shared" si="28"/>
        <v>0</v>
      </c>
      <c r="AO114" s="81">
        <f t="shared" si="29"/>
        <v>0</v>
      </c>
      <c r="AP114" s="81">
        <f t="shared" si="30"/>
        <v>0</v>
      </c>
      <c r="AQ114" s="81">
        <f t="shared" si="31"/>
        <v>0</v>
      </c>
      <c r="AR114" s="81">
        <f t="shared" si="32"/>
        <v>0</v>
      </c>
      <c r="AS114" s="82">
        <v>1232</v>
      </c>
      <c r="AT114" s="82">
        <v>7</v>
      </c>
      <c r="AU114" s="82"/>
      <c r="AV114" s="82">
        <v>7</v>
      </c>
      <c r="AW114" s="82">
        <f>5585414.21165732*(0.001)</f>
        <v>5585.414211657322</v>
      </c>
      <c r="AX114" s="82">
        <v>-1196.200882100137</v>
      </c>
      <c r="AY114" s="82">
        <v>1189.1598426649703</v>
      </c>
      <c r="AZ114" s="408"/>
      <c r="BA114" s="81"/>
      <c r="BB114" s="81"/>
      <c r="BC114" s="81"/>
      <c r="BD114" s="81"/>
      <c r="BE114" s="81"/>
      <c r="BF114" s="81"/>
      <c r="BG114" s="81"/>
      <c r="BO114" s="114"/>
    </row>
    <row r="115" spans="1:67" ht="12.75">
      <c r="A115" s="81">
        <v>276</v>
      </c>
      <c r="B115" s="81" t="s">
        <v>239</v>
      </c>
      <c r="C115" s="81">
        <v>12</v>
      </c>
      <c r="D115" s="81">
        <v>14857</v>
      </c>
      <c r="E115" s="100">
        <v>41541015.91186764</v>
      </c>
      <c r="F115" s="81">
        <v>21011876.251092486</v>
      </c>
      <c r="G115" s="81">
        <v>3055997.952393072</v>
      </c>
      <c r="H115" s="81">
        <v>1546448.518615066</v>
      </c>
      <c r="I115" s="156">
        <v>15567693.036300417</v>
      </c>
      <c r="J115" s="156">
        <v>1851354.8208171008</v>
      </c>
      <c r="K115" s="81">
        <v>547637.2018922702</v>
      </c>
      <c r="L115" s="81">
        <v>-2324001</v>
      </c>
      <c r="M115" s="82">
        <v>-800000</v>
      </c>
      <c r="N115" s="82">
        <v>156308.71603565756</v>
      </c>
      <c r="O115" s="214">
        <f t="shared" si="18"/>
        <v>-927700.4147215709</v>
      </c>
      <c r="P115" s="215">
        <f t="shared" si="19"/>
        <v>-62.44197447139873</v>
      </c>
      <c r="Q115" s="81"/>
      <c r="R115" s="223">
        <v>83454188</v>
      </c>
      <c r="S115" s="156">
        <v>50417811.10002962</v>
      </c>
      <c r="T115" s="156">
        <v>2319672.7779225996</v>
      </c>
      <c r="U115" s="156">
        <v>23133492.06430829</v>
      </c>
      <c r="V115" s="156">
        <v>6317503.763276347</v>
      </c>
      <c r="W115" s="156">
        <v>-68003.04760692781</v>
      </c>
      <c r="X115" s="214">
        <f t="shared" si="20"/>
        <v>-1333711.342070073</v>
      </c>
      <c r="Y115" s="215">
        <f t="shared" si="21"/>
        <v>-89.76989581140694</v>
      </c>
      <c r="Z115" s="81"/>
      <c r="AA115" s="94">
        <f t="shared" si="22"/>
        <v>406010.927348502</v>
      </c>
      <c r="AB115" s="153">
        <f t="shared" si="23"/>
        <v>27.32792134000821</v>
      </c>
      <c r="AD115" s="216"/>
      <c r="AE115" s="224"/>
      <c r="AF115" s="224"/>
      <c r="AG115" s="224"/>
      <c r="AH115" s="225"/>
      <c r="AJ115" s="81">
        <f t="shared" si="24"/>
        <v>29405934.84893713</v>
      </c>
      <c r="AK115" s="81">
        <f t="shared" si="25"/>
        <v>773224.2593075335</v>
      </c>
      <c r="AL115" s="81">
        <f t="shared" si="26"/>
        <v>7565799.028007872</v>
      </c>
      <c r="AM115" s="81">
        <f t="shared" si="27"/>
        <v>41913172.08813236</v>
      </c>
      <c r="AN115" s="81">
        <f t="shared" si="28"/>
        <v>0</v>
      </c>
      <c r="AO115" s="81">
        <f t="shared" si="29"/>
        <v>0</v>
      </c>
      <c r="AP115" s="81">
        <f t="shared" si="30"/>
        <v>0</v>
      </c>
      <c r="AQ115" s="81">
        <f t="shared" si="31"/>
        <v>0</v>
      </c>
      <c r="AR115" s="81">
        <f t="shared" si="32"/>
        <v>0</v>
      </c>
      <c r="AS115" s="82">
        <v>5134</v>
      </c>
      <c r="AT115" s="82"/>
      <c r="AU115" s="82"/>
      <c r="AV115" s="82">
        <v>0</v>
      </c>
      <c r="AW115" s="82">
        <f>5317298.33320097*(0.001)</f>
        <v>5317.298333200965</v>
      </c>
      <c r="AX115" s="82">
        <v>-3026.4353324789004</v>
      </c>
      <c r="AY115" s="82">
        <v>4466.148942459246</v>
      </c>
      <c r="AZ115" s="408"/>
      <c r="BA115" s="81"/>
      <c r="BB115" s="81"/>
      <c r="BC115" s="81"/>
      <c r="BD115" s="81"/>
      <c r="BE115" s="81"/>
      <c r="BF115" s="81"/>
      <c r="BG115" s="81"/>
      <c r="BO115" s="114"/>
    </row>
    <row r="116" spans="1:67" ht="12.75">
      <c r="A116" s="81">
        <v>280</v>
      </c>
      <c r="B116" s="81" t="s">
        <v>240</v>
      </c>
      <c r="C116" s="81">
        <v>15</v>
      </c>
      <c r="D116" s="81">
        <v>2068</v>
      </c>
      <c r="E116" s="100">
        <v>6506182.171227401</v>
      </c>
      <c r="F116" s="81">
        <v>2877485.409579516</v>
      </c>
      <c r="G116" s="81">
        <v>740642.610402187</v>
      </c>
      <c r="H116" s="81">
        <v>413350.05835981696</v>
      </c>
      <c r="I116" s="156">
        <v>2101056.9548346815</v>
      </c>
      <c r="J116" s="156">
        <v>479045.1380773771</v>
      </c>
      <c r="K116" s="81">
        <v>-175022.04711297585</v>
      </c>
      <c r="L116" s="81">
        <v>-431124</v>
      </c>
      <c r="M116" s="82">
        <v>-28600</v>
      </c>
      <c r="N116" s="82">
        <v>18674.693816737366</v>
      </c>
      <c r="O116" s="214">
        <f t="shared" si="18"/>
        <v>-510673.3532700613</v>
      </c>
      <c r="P116" s="215">
        <f t="shared" si="19"/>
        <v>-246.94069307062927</v>
      </c>
      <c r="Q116" s="81"/>
      <c r="R116" s="223">
        <v>15348910</v>
      </c>
      <c r="S116" s="156">
        <v>6276409.417272912</v>
      </c>
      <c r="T116" s="156">
        <v>620025.0875397255</v>
      </c>
      <c r="U116" s="156">
        <v>6179224.262285061</v>
      </c>
      <c r="V116" s="156">
        <v>1614894.22073946</v>
      </c>
      <c r="W116" s="156">
        <v>280918.610402187</v>
      </c>
      <c r="X116" s="214">
        <f t="shared" si="20"/>
        <v>-377438.4017606545</v>
      </c>
      <c r="Y116" s="215">
        <f t="shared" si="21"/>
        <v>-182.51373392681555</v>
      </c>
      <c r="Z116" s="81"/>
      <c r="AA116" s="94">
        <f t="shared" si="22"/>
        <v>-133234.9515094068</v>
      </c>
      <c r="AB116" s="153">
        <f t="shared" si="23"/>
        <v>-64.42695914381373</v>
      </c>
      <c r="AD116" s="216"/>
      <c r="AE116" s="224"/>
      <c r="AF116" s="224"/>
      <c r="AG116" s="224"/>
      <c r="AH116" s="225"/>
      <c r="AJ116" s="81">
        <f t="shared" si="24"/>
        <v>3398924.0076933964</v>
      </c>
      <c r="AK116" s="81">
        <f t="shared" si="25"/>
        <v>206675.0291799085</v>
      </c>
      <c r="AL116" s="81">
        <f t="shared" si="26"/>
        <v>4078167.3074503797</v>
      </c>
      <c r="AM116" s="81">
        <f t="shared" si="27"/>
        <v>8842727.828772599</v>
      </c>
      <c r="AN116" s="81">
        <f t="shared" si="28"/>
        <v>0</v>
      </c>
      <c r="AO116" s="81">
        <f t="shared" si="29"/>
        <v>0</v>
      </c>
      <c r="AP116" s="81">
        <f t="shared" si="30"/>
        <v>0</v>
      </c>
      <c r="AQ116" s="81">
        <f t="shared" si="31"/>
        <v>0</v>
      </c>
      <c r="AR116" s="81">
        <f t="shared" si="32"/>
        <v>0</v>
      </c>
      <c r="AS116" s="82">
        <v>1277</v>
      </c>
      <c r="AT116" s="82">
        <v>137</v>
      </c>
      <c r="AU116" s="82"/>
      <c r="AV116" s="82">
        <v>137</v>
      </c>
      <c r="AW116" s="82">
        <f>2780423.06118572*(0.001)</f>
        <v>2780.4230611857224</v>
      </c>
      <c r="AX116" s="82">
        <v>-1048.7789347432595</v>
      </c>
      <c r="AY116" s="82">
        <v>1135.849082662083</v>
      </c>
      <c r="AZ116" s="408"/>
      <c r="BA116" s="81"/>
      <c r="BB116" s="81"/>
      <c r="BC116" s="81"/>
      <c r="BD116" s="81"/>
      <c r="BE116" s="81"/>
      <c r="BF116" s="81"/>
      <c r="BG116" s="81"/>
      <c r="BO116" s="114"/>
    </row>
    <row r="117" spans="1:67" ht="12.75">
      <c r="A117" s="81">
        <v>284</v>
      </c>
      <c r="B117" s="81" t="s">
        <v>510</v>
      </c>
      <c r="C117" s="81">
        <v>2</v>
      </c>
      <c r="D117" s="81">
        <v>2292</v>
      </c>
      <c r="E117" s="100">
        <v>6648673.662032476</v>
      </c>
      <c r="F117" s="81">
        <v>2725430.296648943</v>
      </c>
      <c r="G117" s="81">
        <v>487400.90768197825</v>
      </c>
      <c r="H117" s="81">
        <v>470681.4716896998</v>
      </c>
      <c r="I117" s="156">
        <v>1139700.404346833</v>
      </c>
      <c r="J117" s="156">
        <v>441724.38671064074</v>
      </c>
      <c r="K117" s="81">
        <v>955023.8677298352</v>
      </c>
      <c r="L117" s="81">
        <v>469939</v>
      </c>
      <c r="M117" s="82">
        <v>12620</v>
      </c>
      <c r="N117" s="82">
        <v>21954.314588447494</v>
      </c>
      <c r="O117" s="214">
        <f t="shared" si="18"/>
        <v>75800.98736390099</v>
      </c>
      <c r="P117" s="215">
        <f t="shared" si="19"/>
        <v>33.07198401566361</v>
      </c>
      <c r="Q117" s="81"/>
      <c r="R117" s="223">
        <v>15919370</v>
      </c>
      <c r="S117" s="156">
        <v>6728898.30980609</v>
      </c>
      <c r="T117" s="156">
        <v>706022.2075345498</v>
      </c>
      <c r="U117" s="156">
        <v>6878315.970952332</v>
      </c>
      <c r="V117" s="156">
        <v>1492123.3192681374</v>
      </c>
      <c r="W117" s="156">
        <v>969959.9076819783</v>
      </c>
      <c r="X117" s="214">
        <f t="shared" si="20"/>
        <v>855949.7152430881</v>
      </c>
      <c r="Y117" s="215">
        <f t="shared" si="21"/>
        <v>373.4510101409634</v>
      </c>
      <c r="Z117" s="81"/>
      <c r="AA117" s="94">
        <f t="shared" si="22"/>
        <v>-780148.7278791871</v>
      </c>
      <c r="AB117" s="153">
        <f t="shared" si="23"/>
        <v>-340.3790261252998</v>
      </c>
      <c r="AD117" s="216"/>
      <c r="AE117" s="224"/>
      <c r="AF117" s="224"/>
      <c r="AG117" s="224"/>
      <c r="AH117" s="225"/>
      <c r="AJ117" s="81">
        <f t="shared" si="24"/>
        <v>4003468.013157147</v>
      </c>
      <c r="AK117" s="81">
        <f t="shared" si="25"/>
        <v>235340.73584484996</v>
      </c>
      <c r="AL117" s="81">
        <f t="shared" si="26"/>
        <v>5738615.566605499</v>
      </c>
      <c r="AM117" s="81">
        <f t="shared" si="27"/>
        <v>9270696.337967524</v>
      </c>
      <c r="AN117" s="81">
        <f t="shared" si="28"/>
        <v>0</v>
      </c>
      <c r="AO117" s="81">
        <f t="shared" si="29"/>
        <v>0</v>
      </c>
      <c r="AP117" s="81">
        <f t="shared" si="30"/>
        <v>0</v>
      </c>
      <c r="AQ117" s="81">
        <f t="shared" si="31"/>
        <v>0</v>
      </c>
      <c r="AR117" s="81">
        <f t="shared" si="32"/>
        <v>0</v>
      </c>
      <c r="AS117" s="82">
        <v>817</v>
      </c>
      <c r="AT117" s="82">
        <v>95</v>
      </c>
      <c r="AU117" s="82"/>
      <c r="AV117" s="82">
        <v>95</v>
      </c>
      <c r="AW117" s="82">
        <f>4751287.62105899*(0.001)</f>
        <v>4751.287621058993</v>
      </c>
      <c r="AX117" s="82">
        <v>-844.9158110673894</v>
      </c>
      <c r="AY117" s="82">
        <v>1050.3989325574967</v>
      </c>
      <c r="AZ117" s="408"/>
      <c r="BA117" s="81"/>
      <c r="BB117" s="81"/>
      <c r="BC117" s="81"/>
      <c r="BD117" s="81"/>
      <c r="BE117" s="81"/>
      <c r="BF117" s="81"/>
      <c r="BG117" s="81"/>
      <c r="BO117" s="114"/>
    </row>
    <row r="118" spans="1:67" ht="12.75">
      <c r="A118" s="81">
        <v>285</v>
      </c>
      <c r="B118" s="81" t="s">
        <v>242</v>
      </c>
      <c r="C118" s="81">
        <v>8</v>
      </c>
      <c r="D118" s="81">
        <v>51668</v>
      </c>
      <c r="E118" s="100">
        <v>131691516.5985857</v>
      </c>
      <c r="F118" s="81">
        <v>90457554.50976849</v>
      </c>
      <c r="G118" s="81">
        <v>16150291.7480768</v>
      </c>
      <c r="H118" s="81">
        <v>8109668.273714585</v>
      </c>
      <c r="I118" s="156">
        <v>13558023.708322378</v>
      </c>
      <c r="J118" s="156">
        <v>6996180.71011455</v>
      </c>
      <c r="K118" s="81">
        <v>-1551987.4132154265</v>
      </c>
      <c r="L118" s="81">
        <v>-3141990</v>
      </c>
      <c r="M118" s="82">
        <v>1500691</v>
      </c>
      <c r="N118" s="82">
        <v>627261.9957275676</v>
      </c>
      <c r="O118" s="214">
        <f t="shared" si="18"/>
        <v>1014177.9339232445</v>
      </c>
      <c r="P118" s="215">
        <f t="shared" si="19"/>
        <v>19.62874378577155</v>
      </c>
      <c r="Q118" s="81"/>
      <c r="R118" s="223">
        <v>362924423.11999995</v>
      </c>
      <c r="S118" s="156">
        <v>207510743.34009448</v>
      </c>
      <c r="T118" s="156">
        <v>12164502.410571879</v>
      </c>
      <c r="U118" s="156">
        <v>108142986.02875154</v>
      </c>
      <c r="V118" s="156">
        <v>23929202.38014142</v>
      </c>
      <c r="W118" s="156">
        <v>14508992.7480768</v>
      </c>
      <c r="X118" s="214">
        <f t="shared" si="20"/>
        <v>3332003.787636161</v>
      </c>
      <c r="Y118" s="215">
        <f t="shared" si="21"/>
        <v>64.48873166439887</v>
      </c>
      <c r="Z118" s="81"/>
      <c r="AA118" s="94">
        <f t="shared" si="22"/>
        <v>-2317825.8537129164</v>
      </c>
      <c r="AB118" s="153">
        <f t="shared" si="23"/>
        <v>-44.85998787862732</v>
      </c>
      <c r="AD118" s="216"/>
      <c r="AE118" s="224"/>
      <c r="AF118" s="224"/>
      <c r="AG118" s="224"/>
      <c r="AH118" s="225"/>
      <c r="AJ118" s="81">
        <f t="shared" si="24"/>
        <v>117053188.83032599</v>
      </c>
      <c r="AK118" s="81">
        <f t="shared" si="25"/>
        <v>4054834.1368572935</v>
      </c>
      <c r="AL118" s="81">
        <f t="shared" si="26"/>
        <v>94584962.32042916</v>
      </c>
      <c r="AM118" s="81">
        <f t="shared" si="27"/>
        <v>231232906.52141425</v>
      </c>
      <c r="AN118" s="81">
        <f t="shared" si="28"/>
        <v>0</v>
      </c>
      <c r="AO118" s="81">
        <f t="shared" si="29"/>
        <v>0</v>
      </c>
      <c r="AP118" s="81">
        <f t="shared" si="30"/>
        <v>0</v>
      </c>
      <c r="AQ118" s="81">
        <f t="shared" si="31"/>
        <v>0</v>
      </c>
      <c r="AR118" s="81">
        <f t="shared" si="32"/>
        <v>0</v>
      </c>
      <c r="AS118" s="82">
        <v>21647</v>
      </c>
      <c r="AT118" s="82">
        <v>206</v>
      </c>
      <c r="AU118" s="82">
        <v>863</v>
      </c>
      <c r="AV118" s="82">
        <v>1069</v>
      </c>
      <c r="AW118" s="82">
        <f>90468391.9408346*(0.001)</f>
        <v>90468.39194083461</v>
      </c>
      <c r="AX118" s="82">
        <v>-787.8466529139998</v>
      </c>
      <c r="AY118" s="82">
        <v>16933.02167002687</v>
      </c>
      <c r="AZ118" s="408"/>
      <c r="BA118" s="81"/>
      <c r="BB118" s="81"/>
      <c r="BC118" s="81"/>
      <c r="BD118" s="81"/>
      <c r="BE118" s="81"/>
      <c r="BF118" s="81"/>
      <c r="BG118" s="81"/>
      <c r="BO118" s="114"/>
    </row>
    <row r="119" spans="1:67" ht="12.75">
      <c r="A119" s="81">
        <v>286</v>
      </c>
      <c r="B119" s="81" t="s">
        <v>243</v>
      </c>
      <c r="C119" s="81">
        <v>8</v>
      </c>
      <c r="D119" s="81">
        <v>81187</v>
      </c>
      <c r="E119" s="100">
        <v>207623990.17820305</v>
      </c>
      <c r="F119" s="81">
        <v>136819496.9138224</v>
      </c>
      <c r="G119" s="81">
        <v>28835866.32864065</v>
      </c>
      <c r="H119" s="81">
        <v>16756367.23586484</v>
      </c>
      <c r="I119" s="156">
        <v>13759229.96790589</v>
      </c>
      <c r="J119" s="156">
        <v>11825040.973114014</v>
      </c>
      <c r="K119" s="81">
        <v>-3481331.415582186</v>
      </c>
      <c r="L119" s="81">
        <v>15692007</v>
      </c>
      <c r="M119" s="82">
        <v>8811000</v>
      </c>
      <c r="N119" s="82">
        <v>977067.3307974047</v>
      </c>
      <c r="O119" s="214">
        <f t="shared" si="18"/>
        <v>22370754.15635997</v>
      </c>
      <c r="P119" s="215">
        <f t="shared" si="19"/>
        <v>275.54601298680785</v>
      </c>
      <c r="Q119" s="81"/>
      <c r="R119" s="223">
        <v>553591865</v>
      </c>
      <c r="S119" s="156">
        <v>317087674.05849856</v>
      </c>
      <c r="T119" s="156">
        <v>25134550.853797264</v>
      </c>
      <c r="U119" s="156">
        <v>140368241.9644851</v>
      </c>
      <c r="V119" s="156">
        <v>40374196.73734923</v>
      </c>
      <c r="W119" s="156">
        <v>53338873.328640655</v>
      </c>
      <c r="X119" s="214">
        <f t="shared" si="20"/>
        <v>22711671.94277084</v>
      </c>
      <c r="Y119" s="215">
        <f t="shared" si="21"/>
        <v>279.7451801738066</v>
      </c>
      <c r="Z119" s="81"/>
      <c r="AA119" s="94">
        <f t="shared" si="22"/>
        <v>-340917.78641086817</v>
      </c>
      <c r="AB119" s="153">
        <f t="shared" si="23"/>
        <v>-4.199167186998758</v>
      </c>
      <c r="AD119" s="216"/>
      <c r="AE119" s="224"/>
      <c r="AF119" s="224"/>
      <c r="AG119" s="224"/>
      <c r="AH119" s="225"/>
      <c r="AJ119" s="81">
        <f t="shared" si="24"/>
        <v>180268177.14467615</v>
      </c>
      <c r="AK119" s="81">
        <f t="shared" si="25"/>
        <v>8378183.617932424</v>
      </c>
      <c r="AL119" s="81">
        <f t="shared" si="26"/>
        <v>126609011.99657921</v>
      </c>
      <c r="AM119" s="81">
        <f t="shared" si="27"/>
        <v>345967874.82179695</v>
      </c>
      <c r="AN119" s="81">
        <f t="shared" si="28"/>
        <v>0</v>
      </c>
      <c r="AO119" s="81">
        <f t="shared" si="29"/>
        <v>0</v>
      </c>
      <c r="AP119" s="81">
        <f t="shared" si="30"/>
        <v>0</v>
      </c>
      <c r="AQ119" s="81">
        <f t="shared" si="31"/>
        <v>0</v>
      </c>
      <c r="AR119" s="81">
        <f t="shared" si="32"/>
        <v>0</v>
      </c>
      <c r="AS119" s="82">
        <v>22575</v>
      </c>
      <c r="AT119" s="82"/>
      <c r="AU119" s="82"/>
      <c r="AV119" s="82">
        <v>0</v>
      </c>
      <c r="AW119" s="82">
        <f>122834295.389366*(0.001)</f>
        <v>122834.29538936562</v>
      </c>
      <c r="AX119" s="82">
        <v>-1150.2464236709227</v>
      </c>
      <c r="AY119" s="82">
        <v>28549.155764235213</v>
      </c>
      <c r="AZ119" s="408"/>
      <c r="BA119" s="81"/>
      <c r="BB119" s="81"/>
      <c r="BC119" s="81"/>
      <c r="BD119" s="81"/>
      <c r="BE119" s="81"/>
      <c r="BF119" s="81"/>
      <c r="BG119" s="81"/>
      <c r="BO119" s="114"/>
    </row>
    <row r="120" spans="1:67" ht="12.75">
      <c r="A120" s="81">
        <v>287</v>
      </c>
      <c r="B120" s="81" t="s">
        <v>589</v>
      </c>
      <c r="C120" s="81">
        <v>15</v>
      </c>
      <c r="D120" s="81">
        <v>6404</v>
      </c>
      <c r="E120" s="100">
        <v>19206664.458690576</v>
      </c>
      <c r="F120" s="81">
        <v>9915665.116252247</v>
      </c>
      <c r="G120" s="81">
        <v>2928582.146554293</v>
      </c>
      <c r="H120" s="81">
        <v>1041316.28723014</v>
      </c>
      <c r="I120" s="156">
        <v>3279061.284639278</v>
      </c>
      <c r="J120" s="156">
        <v>1305498.8173351642</v>
      </c>
      <c r="K120" s="81">
        <v>2272207.6086624204</v>
      </c>
      <c r="L120" s="81">
        <v>-541169</v>
      </c>
      <c r="M120" s="82">
        <v>-354500</v>
      </c>
      <c r="N120" s="82">
        <v>66171.61908383662</v>
      </c>
      <c r="O120" s="214">
        <f t="shared" si="18"/>
        <v>706169.421066802</v>
      </c>
      <c r="P120" s="215">
        <f t="shared" si="19"/>
        <v>110.2700532584013</v>
      </c>
      <c r="Q120" s="81"/>
      <c r="R120" s="223">
        <v>46958961</v>
      </c>
      <c r="S120" s="156">
        <v>22171030.41796893</v>
      </c>
      <c r="T120" s="156">
        <v>1561974.4308452099</v>
      </c>
      <c r="U120" s="156">
        <v>18979447.01982955</v>
      </c>
      <c r="V120" s="156">
        <v>4418743.092566541</v>
      </c>
      <c r="W120" s="156">
        <v>2032913.146554293</v>
      </c>
      <c r="X120" s="214">
        <f t="shared" si="20"/>
        <v>2205147.1077645198</v>
      </c>
      <c r="Y120" s="215">
        <f t="shared" si="21"/>
        <v>344.3390236983947</v>
      </c>
      <c r="Z120" s="81"/>
      <c r="AA120" s="94">
        <f t="shared" si="22"/>
        <v>-1498977.6866977178</v>
      </c>
      <c r="AB120" s="153">
        <f t="shared" si="23"/>
        <v>-234.0689704399934</v>
      </c>
      <c r="AD120" s="216"/>
      <c r="AE120" s="224"/>
      <c r="AF120" s="224"/>
      <c r="AG120" s="224"/>
      <c r="AH120" s="225"/>
      <c r="AJ120" s="81">
        <f t="shared" si="24"/>
        <v>12255365.301716682</v>
      </c>
      <c r="AK120" s="81">
        <f t="shared" si="25"/>
        <v>520658.1436150699</v>
      </c>
      <c r="AL120" s="81">
        <f t="shared" si="26"/>
        <v>15700385.73519027</v>
      </c>
      <c r="AM120" s="81">
        <f t="shared" si="27"/>
        <v>27752296.541309424</v>
      </c>
      <c r="AN120" s="81">
        <f t="shared" si="28"/>
        <v>0</v>
      </c>
      <c r="AO120" s="81">
        <f t="shared" si="29"/>
        <v>0</v>
      </c>
      <c r="AP120" s="81">
        <f t="shared" si="30"/>
        <v>0</v>
      </c>
      <c r="AQ120" s="81">
        <f t="shared" si="31"/>
        <v>0</v>
      </c>
      <c r="AR120" s="81">
        <f t="shared" si="32"/>
        <v>0</v>
      </c>
      <c r="AS120" s="82">
        <v>3095</v>
      </c>
      <c r="AT120" s="82">
        <v>221</v>
      </c>
      <c r="AU120" s="82"/>
      <c r="AV120" s="82">
        <v>221</v>
      </c>
      <c r="AW120" s="82">
        <f>13886489.386358*(0.001)</f>
        <v>13886.489386358</v>
      </c>
      <c r="AX120" s="82">
        <v>-1832.6687221442885</v>
      </c>
      <c r="AY120" s="82">
        <v>3113.2442752313773</v>
      </c>
      <c r="AZ120" s="408"/>
      <c r="BA120" s="81"/>
      <c r="BB120" s="81"/>
      <c r="BC120" s="81"/>
      <c r="BD120" s="81"/>
      <c r="BE120" s="81"/>
      <c r="BF120" s="81"/>
      <c r="BG120" s="81"/>
      <c r="BO120" s="114"/>
    </row>
    <row r="121" spans="1:67" ht="12.75">
      <c r="A121" s="81">
        <v>288</v>
      </c>
      <c r="B121" s="81" t="s">
        <v>245</v>
      </c>
      <c r="C121" s="81">
        <v>15</v>
      </c>
      <c r="D121" s="81">
        <v>6416</v>
      </c>
      <c r="E121" s="100">
        <v>16636408.209958736</v>
      </c>
      <c r="F121" s="81">
        <v>9932073.53481452</v>
      </c>
      <c r="G121" s="81">
        <v>2009548.1641343008</v>
      </c>
      <c r="H121" s="81">
        <v>1586453.9647566003</v>
      </c>
      <c r="I121" s="156">
        <v>6022240.743468605</v>
      </c>
      <c r="J121" s="156">
        <v>1189317.8382074041</v>
      </c>
      <c r="K121" s="81">
        <v>-189123.85329400498</v>
      </c>
      <c r="L121" s="81">
        <v>-132219</v>
      </c>
      <c r="M121" s="82">
        <v>-184300</v>
      </c>
      <c r="N121" s="82">
        <v>63588.740049322674</v>
      </c>
      <c r="O121" s="214">
        <f t="shared" si="18"/>
        <v>3661171.9221780114</v>
      </c>
      <c r="P121" s="215">
        <f t="shared" si="19"/>
        <v>570.631534005301</v>
      </c>
      <c r="Q121" s="81"/>
      <c r="R121" s="223">
        <v>41535722</v>
      </c>
      <c r="S121" s="156">
        <v>21416183.044686202</v>
      </c>
      <c r="T121" s="156">
        <v>2379680.9471349004</v>
      </c>
      <c r="U121" s="156">
        <v>15252905.903844541</v>
      </c>
      <c r="V121" s="156">
        <v>4028693.943370934</v>
      </c>
      <c r="W121" s="156">
        <v>1693029.1641343008</v>
      </c>
      <c r="X121" s="214">
        <f t="shared" si="20"/>
        <v>3234771.0031708777</v>
      </c>
      <c r="Y121" s="215">
        <f t="shared" si="21"/>
        <v>504.1725379006979</v>
      </c>
      <c r="Z121" s="81"/>
      <c r="AA121" s="94">
        <f t="shared" si="22"/>
        <v>426400.9190071337</v>
      </c>
      <c r="AB121" s="153">
        <f t="shared" si="23"/>
        <v>66.45899610460313</v>
      </c>
      <c r="AD121" s="216"/>
      <c r="AE121" s="224"/>
      <c r="AF121" s="224"/>
      <c r="AG121" s="224"/>
      <c r="AH121" s="225"/>
      <c r="AJ121" s="81">
        <f t="shared" si="24"/>
        <v>11484109.509871682</v>
      </c>
      <c r="AK121" s="81">
        <f t="shared" si="25"/>
        <v>793226.9823783</v>
      </c>
      <c r="AL121" s="81">
        <f t="shared" si="26"/>
        <v>9230665.160375936</v>
      </c>
      <c r="AM121" s="81">
        <f t="shared" si="27"/>
        <v>24899313.790041264</v>
      </c>
      <c r="AN121" s="81">
        <f t="shared" si="28"/>
        <v>0</v>
      </c>
      <c r="AO121" s="81">
        <f t="shared" si="29"/>
        <v>0</v>
      </c>
      <c r="AP121" s="81">
        <f t="shared" si="30"/>
        <v>0</v>
      </c>
      <c r="AQ121" s="81">
        <f t="shared" si="31"/>
        <v>0</v>
      </c>
      <c r="AR121" s="81">
        <f t="shared" si="32"/>
        <v>0</v>
      </c>
      <c r="AS121" s="82">
        <v>1192</v>
      </c>
      <c r="AT121" s="82">
        <v>1</v>
      </c>
      <c r="AU121" s="82">
        <v>54</v>
      </c>
      <c r="AV121" s="82">
        <v>55</v>
      </c>
      <c r="AW121" s="82">
        <f>7648192.04694775*(0.001)</f>
        <v>7648.192046947745</v>
      </c>
      <c r="AX121" s="82">
        <v>-1885.7419695434653</v>
      </c>
      <c r="AY121" s="82">
        <v>2839.37610516353</v>
      </c>
      <c r="AZ121" s="408"/>
      <c r="BA121" s="81"/>
      <c r="BB121" s="81"/>
      <c r="BC121" s="81"/>
      <c r="BD121" s="81"/>
      <c r="BE121" s="81"/>
      <c r="BF121" s="81"/>
      <c r="BG121" s="81"/>
      <c r="BO121" s="114"/>
    </row>
    <row r="122" spans="1:67" ht="12.75">
      <c r="A122" s="81">
        <v>290</v>
      </c>
      <c r="B122" s="81" t="s">
        <v>246</v>
      </c>
      <c r="C122" s="81">
        <v>18</v>
      </c>
      <c r="D122" s="81">
        <v>8042</v>
      </c>
      <c r="E122" s="100">
        <v>23079590.49185484</v>
      </c>
      <c r="F122" s="81">
        <v>11687486.226065787</v>
      </c>
      <c r="G122" s="81">
        <v>2223550.019093082</v>
      </c>
      <c r="H122" s="81">
        <v>2417682.3995074215</v>
      </c>
      <c r="I122" s="156">
        <v>5787876.131534214</v>
      </c>
      <c r="J122" s="156">
        <v>1557122.633322524</v>
      </c>
      <c r="K122" s="81">
        <v>12791.247735664156</v>
      </c>
      <c r="L122" s="81">
        <v>-547383</v>
      </c>
      <c r="M122" s="82">
        <v>830000</v>
      </c>
      <c r="N122" s="82">
        <v>77434.00240235073</v>
      </c>
      <c r="O122" s="214">
        <f t="shared" si="18"/>
        <v>966969.1678062044</v>
      </c>
      <c r="P122" s="215">
        <f t="shared" si="19"/>
        <v>120.23988657127634</v>
      </c>
      <c r="Q122" s="81"/>
      <c r="R122" s="223">
        <v>66307120</v>
      </c>
      <c r="S122" s="156">
        <v>25429142.593931045</v>
      </c>
      <c r="T122" s="156">
        <v>3626523.5992611325</v>
      </c>
      <c r="U122" s="156">
        <v>31076043.473936796</v>
      </c>
      <c r="V122" s="156">
        <v>5268429.742381999</v>
      </c>
      <c r="W122" s="156">
        <v>2506167.019093082</v>
      </c>
      <c r="X122" s="214">
        <f t="shared" si="20"/>
        <v>1599186.4286040515</v>
      </c>
      <c r="Y122" s="215">
        <f t="shared" si="21"/>
        <v>198.85431840388603</v>
      </c>
      <c r="Z122" s="81"/>
      <c r="AA122" s="94">
        <f t="shared" si="22"/>
        <v>-632217.2607978471</v>
      </c>
      <c r="AB122" s="153">
        <f t="shared" si="23"/>
        <v>-78.61443183260968</v>
      </c>
      <c r="AD122" s="216"/>
      <c r="AE122" s="224"/>
      <c r="AF122" s="224"/>
      <c r="AG122" s="224"/>
      <c r="AH122" s="225"/>
      <c r="AJ122" s="81">
        <f t="shared" si="24"/>
        <v>13741656.367865259</v>
      </c>
      <c r="AK122" s="81">
        <f t="shared" si="25"/>
        <v>1208841.199753711</v>
      </c>
      <c r="AL122" s="81">
        <f t="shared" si="26"/>
        <v>25288167.34240258</v>
      </c>
      <c r="AM122" s="81">
        <f t="shared" si="27"/>
        <v>43227529.50814516</v>
      </c>
      <c r="AN122" s="81">
        <f t="shared" si="28"/>
        <v>0</v>
      </c>
      <c r="AO122" s="81">
        <f t="shared" si="29"/>
        <v>0</v>
      </c>
      <c r="AP122" s="81">
        <f t="shared" si="30"/>
        <v>0</v>
      </c>
      <c r="AQ122" s="81">
        <f t="shared" si="31"/>
        <v>0</v>
      </c>
      <c r="AR122" s="81">
        <f t="shared" si="32"/>
        <v>0</v>
      </c>
      <c r="AS122" s="82">
        <v>2939</v>
      </c>
      <c r="AT122" s="82"/>
      <c r="AU122" s="82"/>
      <c r="AV122" s="82">
        <v>0</v>
      </c>
      <c r="AW122" s="82">
        <f>21567082.8877407*(0.001)</f>
        <v>21567.082887740668</v>
      </c>
      <c r="AX122" s="82">
        <v>-3101.092941889617</v>
      </c>
      <c r="AY122" s="82">
        <v>3711.3071090594754</v>
      </c>
      <c r="AZ122" s="408"/>
      <c r="BA122" s="81"/>
      <c r="BB122" s="81"/>
      <c r="BC122" s="81"/>
      <c r="BD122" s="81"/>
      <c r="BE122" s="81"/>
      <c r="BF122" s="81"/>
      <c r="BG122" s="81"/>
      <c r="BO122" s="114"/>
    </row>
    <row r="123" spans="1:67" ht="12.75">
      <c r="A123" s="81">
        <v>291</v>
      </c>
      <c r="B123" s="81" t="s">
        <v>247</v>
      </c>
      <c r="C123" s="81">
        <v>6</v>
      </c>
      <c r="D123" s="81">
        <v>2161</v>
      </c>
      <c r="E123" s="100">
        <v>7374637.308272729</v>
      </c>
      <c r="F123" s="81">
        <v>2774917.9712335085</v>
      </c>
      <c r="G123" s="81">
        <v>1545827.1937187205</v>
      </c>
      <c r="H123" s="81">
        <v>812012.746945301</v>
      </c>
      <c r="I123" s="156">
        <v>38486.60112024391</v>
      </c>
      <c r="J123" s="156">
        <v>411975.32776770706</v>
      </c>
      <c r="K123" s="81">
        <v>938374.7746616731</v>
      </c>
      <c r="L123" s="81">
        <v>-76250</v>
      </c>
      <c r="M123" s="82">
        <v>47000</v>
      </c>
      <c r="N123" s="82">
        <v>19395.525300462876</v>
      </c>
      <c r="O123" s="214">
        <f t="shared" si="18"/>
        <v>-862897.1675251117</v>
      </c>
      <c r="P123" s="215">
        <f t="shared" si="19"/>
        <v>-399.30456618468844</v>
      </c>
      <c r="Q123" s="81"/>
      <c r="R123" s="223">
        <v>18260000</v>
      </c>
      <c r="S123" s="156">
        <v>6113684.49895419</v>
      </c>
      <c r="T123" s="156">
        <v>1218019.1204179514</v>
      </c>
      <c r="U123" s="156">
        <v>8047496.182373919</v>
      </c>
      <c r="V123" s="156">
        <v>1396021.521137838</v>
      </c>
      <c r="W123" s="156">
        <v>1516577.1937187205</v>
      </c>
      <c r="X123" s="214">
        <f t="shared" si="20"/>
        <v>31798.516602616757</v>
      </c>
      <c r="Y123" s="215">
        <f t="shared" si="21"/>
        <v>14.7147230923724</v>
      </c>
      <c r="Z123" s="81"/>
      <c r="AA123" s="94">
        <f t="shared" si="22"/>
        <v>-894695.6841277285</v>
      </c>
      <c r="AB123" s="153">
        <f t="shared" si="23"/>
        <v>-414.0192892770608</v>
      </c>
      <c r="AD123" s="216"/>
      <c r="AE123" s="224"/>
      <c r="AF123" s="224"/>
      <c r="AG123" s="224"/>
      <c r="AH123" s="225"/>
      <c r="AJ123" s="81">
        <f t="shared" si="24"/>
        <v>3338766.5277206814</v>
      </c>
      <c r="AK123" s="81">
        <f t="shared" si="25"/>
        <v>406006.3734726504</v>
      </c>
      <c r="AL123" s="81">
        <f t="shared" si="26"/>
        <v>8009009.581253675</v>
      </c>
      <c r="AM123" s="81">
        <f t="shared" si="27"/>
        <v>10885362.691727271</v>
      </c>
      <c r="AN123" s="81">
        <f t="shared" si="28"/>
        <v>0</v>
      </c>
      <c r="AO123" s="81">
        <f t="shared" si="29"/>
        <v>0</v>
      </c>
      <c r="AP123" s="81">
        <f t="shared" si="30"/>
        <v>0</v>
      </c>
      <c r="AQ123" s="81">
        <f t="shared" si="31"/>
        <v>0</v>
      </c>
      <c r="AR123" s="81">
        <f t="shared" si="32"/>
        <v>0</v>
      </c>
      <c r="AS123" s="82">
        <v>1203</v>
      </c>
      <c r="AT123" s="82"/>
      <c r="AU123" s="82">
        <v>16</v>
      </c>
      <c r="AV123" s="82">
        <v>16</v>
      </c>
      <c r="AW123" s="82">
        <f>6836507.72926521*(0.001)</f>
        <v>6836.507729265207</v>
      </c>
      <c r="AX123" s="82">
        <v>-904.3831233193508</v>
      </c>
      <c r="AY123" s="82">
        <v>984.0461933701309</v>
      </c>
      <c r="AZ123" s="408"/>
      <c r="BA123" s="81"/>
      <c r="BB123" s="81"/>
      <c r="BC123" s="81"/>
      <c r="BD123" s="81"/>
      <c r="BE123" s="81"/>
      <c r="BF123" s="81"/>
      <c r="BG123" s="81"/>
      <c r="BO123" s="114"/>
    </row>
    <row r="124" spans="1:67" ht="12.75">
      <c r="A124" s="81">
        <v>297</v>
      </c>
      <c r="B124" s="81" t="s">
        <v>248</v>
      </c>
      <c r="C124" s="81">
        <v>11</v>
      </c>
      <c r="D124" s="81">
        <v>120210</v>
      </c>
      <c r="E124" s="100">
        <v>302136700.4887552</v>
      </c>
      <c r="F124" s="81">
        <v>187146903.9978066</v>
      </c>
      <c r="G124" s="81">
        <v>45587434.956733085</v>
      </c>
      <c r="H124" s="81">
        <v>19917296.642353546</v>
      </c>
      <c r="I124" s="156">
        <v>35579277.537509866</v>
      </c>
      <c r="J124" s="156">
        <v>17255723.42857749</v>
      </c>
      <c r="K124" s="81">
        <v>-7003027.882842362</v>
      </c>
      <c r="L124" s="81">
        <v>-2777479</v>
      </c>
      <c r="M124" s="82">
        <v>10000000</v>
      </c>
      <c r="N124" s="82">
        <v>1395970.8357145218</v>
      </c>
      <c r="O124" s="214">
        <f t="shared" si="18"/>
        <v>4965400.027097523</v>
      </c>
      <c r="P124" s="215">
        <f t="shared" si="19"/>
        <v>41.30604797518944</v>
      </c>
      <c r="Q124" s="81"/>
      <c r="R124" s="223">
        <v>770600000</v>
      </c>
      <c r="S124" s="156">
        <v>446714018.73060566</v>
      </c>
      <c r="T124" s="156">
        <v>29875944.96353032</v>
      </c>
      <c r="U124" s="156">
        <v>185525397.22672814</v>
      </c>
      <c r="V124" s="156">
        <v>58813754.6197293</v>
      </c>
      <c r="W124" s="156">
        <v>52809955.956733085</v>
      </c>
      <c r="X124" s="214">
        <f t="shared" si="20"/>
        <v>3139071.4973264933</v>
      </c>
      <c r="Y124" s="215">
        <f t="shared" si="21"/>
        <v>26.113230990154673</v>
      </c>
      <c r="Z124" s="81"/>
      <c r="AA124" s="94">
        <f t="shared" si="22"/>
        <v>1826328.52977103</v>
      </c>
      <c r="AB124" s="153">
        <f t="shared" si="23"/>
        <v>15.192816985034773</v>
      </c>
      <c r="AD124" s="216"/>
      <c r="AE124" s="224"/>
      <c r="AF124" s="224"/>
      <c r="AG124" s="224"/>
      <c r="AH124" s="225"/>
      <c r="AJ124" s="81">
        <f t="shared" si="24"/>
        <v>259567114.73279905</v>
      </c>
      <c r="AK124" s="81">
        <f t="shared" si="25"/>
        <v>9958648.321176775</v>
      </c>
      <c r="AL124" s="81">
        <f t="shared" si="26"/>
        <v>149946119.68921828</v>
      </c>
      <c r="AM124" s="81">
        <f t="shared" si="27"/>
        <v>468463299.5112448</v>
      </c>
      <c r="AN124" s="81">
        <f t="shared" si="28"/>
        <v>0</v>
      </c>
      <c r="AO124" s="81">
        <f t="shared" si="29"/>
        <v>0</v>
      </c>
      <c r="AP124" s="81">
        <f t="shared" si="30"/>
        <v>0</v>
      </c>
      <c r="AQ124" s="81">
        <f t="shared" si="31"/>
        <v>0</v>
      </c>
      <c r="AR124" s="81">
        <f t="shared" si="32"/>
        <v>0</v>
      </c>
      <c r="AS124" s="82">
        <v>54646</v>
      </c>
      <c r="AT124" s="82">
        <v>752</v>
      </c>
      <c r="AU124" s="82">
        <v>838</v>
      </c>
      <c r="AV124" s="82">
        <v>1590</v>
      </c>
      <c r="AW124" s="82">
        <f>136636538.353709*(0.001)</f>
        <v>136636.53835370945</v>
      </c>
      <c r="AX124" s="82">
        <v>-10522.505208984163</v>
      </c>
      <c r="AY124" s="82">
        <v>41558.031191151815</v>
      </c>
      <c r="AZ124" s="408"/>
      <c r="BA124" s="81"/>
      <c r="BB124" s="81"/>
      <c r="BC124" s="81"/>
      <c r="BD124" s="81"/>
      <c r="BE124" s="81"/>
      <c r="BF124" s="81"/>
      <c r="BG124" s="81"/>
      <c r="BO124" s="114"/>
    </row>
    <row r="125" spans="1:67" ht="12.75">
      <c r="A125" s="81">
        <v>300</v>
      </c>
      <c r="B125" s="81" t="s">
        <v>249</v>
      </c>
      <c r="C125" s="81">
        <v>14</v>
      </c>
      <c r="D125" s="81">
        <v>3534</v>
      </c>
      <c r="E125" s="100">
        <v>10677572.289098587</v>
      </c>
      <c r="F125" s="81">
        <v>4772782.4643550515</v>
      </c>
      <c r="G125" s="81">
        <v>948624.9000366635</v>
      </c>
      <c r="H125" s="81">
        <v>540597.6288000394</v>
      </c>
      <c r="I125" s="156">
        <v>2144364.3599597076</v>
      </c>
      <c r="J125" s="156">
        <v>694371.1243309812</v>
      </c>
      <c r="K125" s="81">
        <v>1806676.7277014265</v>
      </c>
      <c r="L125" s="81">
        <v>773266</v>
      </c>
      <c r="M125" s="82">
        <v>-6000</v>
      </c>
      <c r="N125" s="82">
        <v>33727.316580516934</v>
      </c>
      <c r="O125" s="214">
        <f t="shared" si="18"/>
        <v>1030838.2326657996</v>
      </c>
      <c r="P125" s="215">
        <f t="shared" si="19"/>
        <v>291.6916334651385</v>
      </c>
      <c r="Q125" s="81"/>
      <c r="R125" s="223">
        <v>25924421</v>
      </c>
      <c r="S125" s="156">
        <v>11014353.74391295</v>
      </c>
      <c r="T125" s="156">
        <v>810896.4432000591</v>
      </c>
      <c r="U125" s="156">
        <v>12140394.136631187</v>
      </c>
      <c r="V125" s="156">
        <v>2344346.529424441</v>
      </c>
      <c r="W125" s="156">
        <v>1715890.9000366635</v>
      </c>
      <c r="X125" s="214">
        <f t="shared" si="20"/>
        <v>2101460.7532052994</v>
      </c>
      <c r="Y125" s="215">
        <f t="shared" si="21"/>
        <v>594.6408469737689</v>
      </c>
      <c r="Z125" s="81"/>
      <c r="AA125" s="94">
        <f t="shared" si="22"/>
        <v>-1070622.5205394998</v>
      </c>
      <c r="AB125" s="153">
        <f t="shared" si="23"/>
        <v>-302.9492135086304</v>
      </c>
      <c r="AD125" s="216"/>
      <c r="AE125" s="224"/>
      <c r="AF125" s="224"/>
      <c r="AG125" s="224"/>
      <c r="AH125" s="225"/>
      <c r="AJ125" s="81">
        <f t="shared" si="24"/>
        <v>6241571.279557899</v>
      </c>
      <c r="AK125" s="81">
        <f t="shared" si="25"/>
        <v>270298.8144000197</v>
      </c>
      <c r="AL125" s="81">
        <f t="shared" si="26"/>
        <v>9996029.77667148</v>
      </c>
      <c r="AM125" s="81">
        <f t="shared" si="27"/>
        <v>15246848.710901413</v>
      </c>
      <c r="AN125" s="81">
        <f t="shared" si="28"/>
        <v>0</v>
      </c>
      <c r="AO125" s="81">
        <f t="shared" si="29"/>
        <v>0</v>
      </c>
      <c r="AP125" s="81">
        <f t="shared" si="30"/>
        <v>0</v>
      </c>
      <c r="AQ125" s="81">
        <f t="shared" si="31"/>
        <v>0</v>
      </c>
      <c r="AR125" s="81">
        <f t="shared" si="32"/>
        <v>0</v>
      </c>
      <c r="AS125" s="82">
        <v>1268</v>
      </c>
      <c r="AT125" s="82"/>
      <c r="AU125" s="82"/>
      <c r="AV125" s="82">
        <v>0</v>
      </c>
      <c r="AW125" s="82">
        <f>8638879.23491479*(0.001)</f>
        <v>8638.879234914786</v>
      </c>
      <c r="AX125" s="82">
        <v>-1492.604342609923</v>
      </c>
      <c r="AY125" s="82">
        <v>1649.9754050934598</v>
      </c>
      <c r="AZ125" s="408"/>
      <c r="BA125" s="81"/>
      <c r="BB125" s="81"/>
      <c r="BC125" s="81"/>
      <c r="BD125" s="81"/>
      <c r="BE125" s="81"/>
      <c r="BF125" s="81"/>
      <c r="BG125" s="81"/>
      <c r="BO125" s="114"/>
    </row>
    <row r="126" spans="1:67" ht="12.75">
      <c r="A126" s="81">
        <v>301</v>
      </c>
      <c r="B126" s="81" t="s">
        <v>250</v>
      </c>
      <c r="C126" s="81">
        <v>14</v>
      </c>
      <c r="D126" s="81">
        <v>20456</v>
      </c>
      <c r="E126" s="100">
        <v>55168795.43011096</v>
      </c>
      <c r="F126" s="81">
        <v>26632526.37831362</v>
      </c>
      <c r="G126" s="81">
        <v>4901844.180426871</v>
      </c>
      <c r="H126" s="81">
        <v>2833660.4032706404</v>
      </c>
      <c r="I126" s="156">
        <v>13752782.581909355</v>
      </c>
      <c r="J126" s="156">
        <v>3921534.2459621243</v>
      </c>
      <c r="K126" s="81">
        <v>972117.7487195064</v>
      </c>
      <c r="L126" s="81">
        <v>-2589186</v>
      </c>
      <c r="M126" s="82">
        <v>6543000</v>
      </c>
      <c r="N126" s="82">
        <v>182474.2333933764</v>
      </c>
      <c r="O126" s="214">
        <f t="shared" si="18"/>
        <v>1981958.3418845385</v>
      </c>
      <c r="P126" s="215">
        <f t="shared" si="19"/>
        <v>96.88885128493051</v>
      </c>
      <c r="Q126" s="81"/>
      <c r="R126" s="223">
        <v>145816747</v>
      </c>
      <c r="S126" s="156">
        <v>60446738.068657145</v>
      </c>
      <c r="T126" s="156">
        <v>4250490.604905961</v>
      </c>
      <c r="U126" s="156">
        <v>60583583.70760082</v>
      </c>
      <c r="V126" s="156">
        <v>13250463.347729908</v>
      </c>
      <c r="W126" s="156">
        <v>8855658.180426871</v>
      </c>
      <c r="X126" s="214">
        <f t="shared" si="20"/>
        <v>1570186.909320712</v>
      </c>
      <c r="Y126" s="215">
        <f t="shared" si="21"/>
        <v>76.75923491008565</v>
      </c>
      <c r="Z126" s="81"/>
      <c r="AA126" s="94">
        <f t="shared" si="22"/>
        <v>411771.43256382644</v>
      </c>
      <c r="AB126" s="153">
        <f t="shared" si="23"/>
        <v>20.129616374844858</v>
      </c>
      <c r="AD126" s="216"/>
      <c r="AE126" s="224"/>
      <c r="AF126" s="224"/>
      <c r="AG126" s="224"/>
      <c r="AH126" s="225"/>
      <c r="AJ126" s="81">
        <f t="shared" si="24"/>
        <v>33814211.69034353</v>
      </c>
      <c r="AK126" s="81">
        <f t="shared" si="25"/>
        <v>1416830.2016353207</v>
      </c>
      <c r="AL126" s="81">
        <f t="shared" si="26"/>
        <v>46830801.12569146</v>
      </c>
      <c r="AM126" s="81">
        <f t="shared" si="27"/>
        <v>90647951.56988904</v>
      </c>
      <c r="AN126" s="81">
        <f t="shared" si="28"/>
        <v>0</v>
      </c>
      <c r="AO126" s="81">
        <f t="shared" si="29"/>
        <v>0</v>
      </c>
      <c r="AP126" s="81">
        <f t="shared" si="30"/>
        <v>0</v>
      </c>
      <c r="AQ126" s="81">
        <f t="shared" si="31"/>
        <v>0</v>
      </c>
      <c r="AR126" s="81">
        <f t="shared" si="32"/>
        <v>0</v>
      </c>
      <c r="AS126" s="82">
        <v>14932</v>
      </c>
      <c r="AT126" s="82"/>
      <c r="AU126" s="82"/>
      <c r="AV126" s="82">
        <v>0</v>
      </c>
      <c r="AW126" s="82">
        <f>38975227.3402849*(0.001)</f>
        <v>38975.22734028487</v>
      </c>
      <c r="AX126" s="82">
        <v>-8924.830754233173</v>
      </c>
      <c r="AY126" s="82">
        <v>9328.929101767784</v>
      </c>
      <c r="AZ126" s="408"/>
      <c r="BA126" s="81"/>
      <c r="BB126" s="81"/>
      <c r="BC126" s="81"/>
      <c r="BD126" s="81"/>
      <c r="BE126" s="81"/>
      <c r="BF126" s="81"/>
      <c r="BG126" s="81"/>
      <c r="BO126" s="114"/>
    </row>
    <row r="127" spans="1:67" ht="12.75">
      <c r="A127" s="81">
        <v>304</v>
      </c>
      <c r="B127" s="81" t="s">
        <v>251</v>
      </c>
      <c r="C127" s="81">
        <v>2</v>
      </c>
      <c r="D127" s="81">
        <v>962</v>
      </c>
      <c r="E127" s="100">
        <v>2562957.989502836</v>
      </c>
      <c r="F127" s="81">
        <v>1013082.5531993511</v>
      </c>
      <c r="G127" s="81">
        <v>1549992.1279255233</v>
      </c>
      <c r="H127" s="81">
        <v>179276.9791958332</v>
      </c>
      <c r="I127" s="156">
        <v>201195.86162721115</v>
      </c>
      <c r="J127" s="156">
        <v>160950.61802290264</v>
      </c>
      <c r="K127" s="81">
        <v>-320500.08120836696</v>
      </c>
      <c r="L127" s="81">
        <v>-230743</v>
      </c>
      <c r="M127" s="82">
        <v>-21400</v>
      </c>
      <c r="N127" s="82">
        <v>10754.050201219941</v>
      </c>
      <c r="O127" s="214">
        <f t="shared" si="18"/>
        <v>-20348.88053916162</v>
      </c>
      <c r="P127" s="215">
        <f t="shared" si="19"/>
        <v>-21.152682473140977</v>
      </c>
      <c r="Q127" s="81"/>
      <c r="R127" s="223">
        <v>7219191</v>
      </c>
      <c r="S127" s="156">
        <v>2999772.244856729</v>
      </c>
      <c r="T127" s="156">
        <v>268915.4687937498</v>
      </c>
      <c r="U127" s="156">
        <v>2060400.205305869</v>
      </c>
      <c r="V127" s="156">
        <v>548351.3286015501</v>
      </c>
      <c r="W127" s="156">
        <v>1297849.1279255233</v>
      </c>
      <c r="X127" s="214">
        <f t="shared" si="20"/>
        <v>-43902.62451657839</v>
      </c>
      <c r="Y127" s="215">
        <f t="shared" si="21"/>
        <v>-45.63682382180706</v>
      </c>
      <c r="Z127" s="81"/>
      <c r="AA127" s="94">
        <f t="shared" si="22"/>
        <v>23553.743977416772</v>
      </c>
      <c r="AB127" s="153">
        <f t="shared" si="23"/>
        <v>24.484141348666082</v>
      </c>
      <c r="AD127" s="216"/>
      <c r="AE127" s="224"/>
      <c r="AF127" s="224"/>
      <c r="AG127" s="224"/>
      <c r="AH127" s="225"/>
      <c r="AJ127" s="81">
        <f t="shared" si="24"/>
        <v>1986689.691657378</v>
      </c>
      <c r="AK127" s="81">
        <f t="shared" si="25"/>
        <v>89638.4895979166</v>
      </c>
      <c r="AL127" s="81">
        <f t="shared" si="26"/>
        <v>1859204.343678658</v>
      </c>
      <c r="AM127" s="81">
        <f t="shared" si="27"/>
        <v>4656233.010497164</v>
      </c>
      <c r="AN127" s="81">
        <f t="shared" si="28"/>
        <v>0</v>
      </c>
      <c r="AO127" s="81">
        <f t="shared" si="29"/>
        <v>0</v>
      </c>
      <c r="AP127" s="81">
        <f t="shared" si="30"/>
        <v>0</v>
      </c>
      <c r="AQ127" s="81">
        <f t="shared" si="31"/>
        <v>0</v>
      </c>
      <c r="AR127" s="81">
        <f t="shared" si="32"/>
        <v>0</v>
      </c>
      <c r="AS127" s="82">
        <v>392</v>
      </c>
      <c r="AT127" s="82">
        <v>6</v>
      </c>
      <c r="AU127" s="82"/>
      <c r="AV127" s="82">
        <v>6</v>
      </c>
      <c r="AW127" s="82">
        <f>1605108.43300646*(0.001)</f>
        <v>1605.1084330064584</v>
      </c>
      <c r="AX127" s="82">
        <v>-64.4253257929038</v>
      </c>
      <c r="AY127" s="82">
        <v>387.4007105786474</v>
      </c>
      <c r="AZ127" s="408"/>
      <c r="BA127" s="81"/>
      <c r="BB127" s="81"/>
      <c r="BC127" s="81"/>
      <c r="BD127" s="81"/>
      <c r="BE127" s="81"/>
      <c r="BF127" s="81"/>
      <c r="BG127" s="81"/>
      <c r="BO127" s="114"/>
    </row>
    <row r="128" spans="1:67" ht="12.75">
      <c r="A128" s="81">
        <v>305</v>
      </c>
      <c r="B128" s="81" t="s">
        <v>252</v>
      </c>
      <c r="C128" s="81">
        <v>17</v>
      </c>
      <c r="D128" s="81">
        <v>15213</v>
      </c>
      <c r="E128" s="100">
        <v>40502817.643228896</v>
      </c>
      <c r="F128" s="81">
        <v>19773228.83673943</v>
      </c>
      <c r="G128" s="81">
        <v>7734615.065587353</v>
      </c>
      <c r="H128" s="81">
        <v>3177417.9099058625</v>
      </c>
      <c r="I128" s="156">
        <v>10415903.05056245</v>
      </c>
      <c r="J128" s="156">
        <v>2572991.415772413</v>
      </c>
      <c r="K128" s="81">
        <v>3981226.7288985103</v>
      </c>
      <c r="L128" s="81">
        <v>-1165076</v>
      </c>
      <c r="M128" s="82">
        <v>-650000</v>
      </c>
      <c r="N128" s="82">
        <v>162016.38783890754</v>
      </c>
      <c r="O128" s="214">
        <f t="shared" si="18"/>
        <v>5499505.75207603</v>
      </c>
      <c r="P128" s="215">
        <f t="shared" si="19"/>
        <v>361.50041096930454</v>
      </c>
      <c r="Q128" s="81"/>
      <c r="R128" s="223">
        <v>104400000</v>
      </c>
      <c r="S128" s="156">
        <v>49465682.383422405</v>
      </c>
      <c r="T128" s="156">
        <v>4766126.864858794</v>
      </c>
      <c r="U128" s="156">
        <v>44798460.6451396</v>
      </c>
      <c r="V128" s="156">
        <v>8719737.85335181</v>
      </c>
      <c r="W128" s="156">
        <v>5919539.065587353</v>
      </c>
      <c r="X128" s="214">
        <f t="shared" si="20"/>
        <v>9269546.812359959</v>
      </c>
      <c r="Y128" s="215">
        <f t="shared" si="21"/>
        <v>609.3174792848195</v>
      </c>
      <c r="Z128" s="81"/>
      <c r="AA128" s="94">
        <f t="shared" si="22"/>
        <v>-3770041.060283929</v>
      </c>
      <c r="AB128" s="153">
        <f t="shared" si="23"/>
        <v>-247.81706831551497</v>
      </c>
      <c r="AD128" s="216"/>
      <c r="AE128" s="224"/>
      <c r="AF128" s="224"/>
      <c r="AG128" s="224"/>
      <c r="AH128" s="225"/>
      <c r="AJ128" s="81">
        <f t="shared" si="24"/>
        <v>29692453.546682976</v>
      </c>
      <c r="AK128" s="81">
        <f t="shared" si="25"/>
        <v>1588708.9549529315</v>
      </c>
      <c r="AL128" s="81">
        <f t="shared" si="26"/>
        <v>34382557.59457715</v>
      </c>
      <c r="AM128" s="81">
        <f t="shared" si="27"/>
        <v>63897182.356771104</v>
      </c>
      <c r="AN128" s="81">
        <f t="shared" si="28"/>
        <v>0</v>
      </c>
      <c r="AO128" s="81">
        <f t="shared" si="29"/>
        <v>0</v>
      </c>
      <c r="AP128" s="81">
        <f t="shared" si="30"/>
        <v>0</v>
      </c>
      <c r="AQ128" s="81">
        <f t="shared" si="31"/>
        <v>0</v>
      </c>
      <c r="AR128" s="81">
        <f t="shared" si="32"/>
        <v>0</v>
      </c>
      <c r="AS128" s="82">
        <v>6023</v>
      </c>
      <c r="AT128" s="82">
        <v>206</v>
      </c>
      <c r="AU128" s="82"/>
      <c r="AV128" s="82">
        <v>206</v>
      </c>
      <c r="AW128" s="82">
        <f>28612048.5729904*(0.001)</f>
        <v>28612.048572990425</v>
      </c>
      <c r="AX128" s="82">
        <v>-4661.615068910207</v>
      </c>
      <c r="AY128" s="82">
        <v>6146.746437579396</v>
      </c>
      <c r="AZ128" s="408"/>
      <c r="BA128" s="81"/>
      <c r="BB128" s="81"/>
      <c r="BC128" s="81"/>
      <c r="BD128" s="81"/>
      <c r="BE128" s="81"/>
      <c r="BF128" s="81"/>
      <c r="BG128" s="81"/>
      <c r="BO128" s="114"/>
    </row>
    <row r="129" spans="1:67" ht="12.75">
      <c r="A129" s="81">
        <v>309</v>
      </c>
      <c r="B129" s="81" t="s">
        <v>312</v>
      </c>
      <c r="C129" s="81">
        <v>12</v>
      </c>
      <c r="D129" s="81">
        <v>6552</v>
      </c>
      <c r="E129" s="100">
        <v>15677301.145841599</v>
      </c>
      <c r="F129" s="81">
        <v>9478981.936452536</v>
      </c>
      <c r="G129" s="81">
        <v>1671404.3097317663</v>
      </c>
      <c r="H129" s="81">
        <v>900037.0524284499</v>
      </c>
      <c r="I129" s="156">
        <v>4214382.453109308</v>
      </c>
      <c r="J129" s="156">
        <v>1153746.636140597</v>
      </c>
      <c r="K129" s="81">
        <v>459195.05611444736</v>
      </c>
      <c r="L129" s="81">
        <v>-1046633</v>
      </c>
      <c r="M129" s="82">
        <v>953963</v>
      </c>
      <c r="N129" s="82">
        <v>64465.23121829414</v>
      </c>
      <c r="O129" s="214">
        <f t="shared" si="18"/>
        <v>2172241.529353801</v>
      </c>
      <c r="P129" s="215">
        <f t="shared" si="19"/>
        <v>331.53869495631886</v>
      </c>
      <c r="Q129" s="81"/>
      <c r="R129" s="223">
        <v>45982621</v>
      </c>
      <c r="S129" s="156">
        <v>21475527.61490407</v>
      </c>
      <c r="T129" s="156">
        <v>1350055.5786426747</v>
      </c>
      <c r="U129" s="156">
        <v>19986986.888165426</v>
      </c>
      <c r="V129" s="156">
        <v>3905561.8541695555</v>
      </c>
      <c r="W129" s="156">
        <v>1578734.3097317663</v>
      </c>
      <c r="X129" s="214">
        <f t="shared" si="20"/>
        <v>2314245.2456134856</v>
      </c>
      <c r="Y129" s="215">
        <f t="shared" si="21"/>
        <v>353.21203382379207</v>
      </c>
      <c r="Z129" s="81"/>
      <c r="AA129" s="94">
        <f t="shared" si="22"/>
        <v>-142003.7162596844</v>
      </c>
      <c r="AB129" s="153">
        <f t="shared" si="23"/>
        <v>-21.673338867473202</v>
      </c>
      <c r="AD129" s="216"/>
      <c r="AE129" s="224"/>
      <c r="AF129" s="224"/>
      <c r="AG129" s="224"/>
      <c r="AH129" s="225"/>
      <c r="AJ129" s="81">
        <f t="shared" si="24"/>
        <v>11996545.678451532</v>
      </c>
      <c r="AK129" s="81">
        <f t="shared" si="25"/>
        <v>450018.52621422487</v>
      </c>
      <c r="AL129" s="81">
        <f t="shared" si="26"/>
        <v>15772604.435056116</v>
      </c>
      <c r="AM129" s="81">
        <f t="shared" si="27"/>
        <v>30305319.8541584</v>
      </c>
      <c r="AN129" s="81">
        <f t="shared" si="28"/>
        <v>0</v>
      </c>
      <c r="AO129" s="81">
        <f t="shared" si="29"/>
        <v>0</v>
      </c>
      <c r="AP129" s="81">
        <f t="shared" si="30"/>
        <v>0</v>
      </c>
      <c r="AQ129" s="81">
        <f t="shared" si="31"/>
        <v>0</v>
      </c>
      <c r="AR129" s="81">
        <f t="shared" si="32"/>
        <v>0</v>
      </c>
      <c r="AS129" s="82">
        <v>2223</v>
      </c>
      <c r="AT129" s="82">
        <v>32</v>
      </c>
      <c r="AU129" s="82"/>
      <c r="AV129" s="82">
        <v>32</v>
      </c>
      <c r="AW129" s="82">
        <f>13097311.4111668*(0.001)</f>
        <v>13097.311411166827</v>
      </c>
      <c r="AX129" s="82">
        <v>-2842.4323929071816</v>
      </c>
      <c r="AY129" s="82">
        <v>2751.8152180289585</v>
      </c>
      <c r="AZ129" s="408"/>
      <c r="BA129" s="81"/>
      <c r="BB129" s="81"/>
      <c r="BC129" s="81"/>
      <c r="BD129" s="81"/>
      <c r="BE129" s="81"/>
      <c r="BF129" s="81"/>
      <c r="BG129" s="81"/>
      <c r="BO129" s="114"/>
    </row>
    <row r="130" spans="1:67" ht="12.75">
      <c r="A130" s="81">
        <v>312</v>
      </c>
      <c r="B130" s="81" t="s">
        <v>253</v>
      </c>
      <c r="C130" s="81">
        <v>13</v>
      </c>
      <c r="D130" s="81">
        <v>1288</v>
      </c>
      <c r="E130" s="100">
        <v>2672954.6173598347</v>
      </c>
      <c r="F130" s="81">
        <v>1757364.8992289722</v>
      </c>
      <c r="G130" s="81">
        <v>451028.2723280878</v>
      </c>
      <c r="H130" s="81">
        <v>711577.6355765333</v>
      </c>
      <c r="I130" s="156">
        <v>1007035.877417186</v>
      </c>
      <c r="J130" s="156">
        <v>263553.42863550293</v>
      </c>
      <c r="K130" s="81">
        <v>-77786.57614680272</v>
      </c>
      <c r="L130" s="81">
        <v>-341179</v>
      </c>
      <c r="M130" s="82">
        <v>50000</v>
      </c>
      <c r="N130" s="82">
        <v>11597.667879218025</v>
      </c>
      <c r="O130" s="214">
        <f t="shared" si="18"/>
        <v>1160237.5875588628</v>
      </c>
      <c r="P130" s="215">
        <f t="shared" si="19"/>
        <v>900.8055804028437</v>
      </c>
      <c r="Q130" s="81"/>
      <c r="R130" s="223">
        <v>8962000</v>
      </c>
      <c r="S130" s="156">
        <v>3640784.9565980863</v>
      </c>
      <c r="T130" s="156">
        <v>1067366.4533648</v>
      </c>
      <c r="U130" s="156">
        <v>4237390.170504882</v>
      </c>
      <c r="V130" s="156">
        <v>891083.1866336371</v>
      </c>
      <c r="W130" s="156">
        <v>159849.27232808783</v>
      </c>
      <c r="X130" s="214">
        <f t="shared" si="20"/>
        <v>1034474.0394294932</v>
      </c>
      <c r="Y130" s="215">
        <f t="shared" si="21"/>
        <v>803.1630740912215</v>
      </c>
      <c r="Z130" s="81"/>
      <c r="AA130" s="94">
        <f t="shared" si="22"/>
        <v>125763.5481293695</v>
      </c>
      <c r="AB130" s="153">
        <f t="shared" si="23"/>
        <v>97.64250631162228</v>
      </c>
      <c r="AD130" s="216"/>
      <c r="AE130" s="224"/>
      <c r="AF130" s="224"/>
      <c r="AG130" s="224"/>
      <c r="AH130" s="225"/>
      <c r="AJ130" s="81">
        <f t="shared" si="24"/>
        <v>1883420.0573691141</v>
      </c>
      <c r="AK130" s="81">
        <f t="shared" si="25"/>
        <v>355788.8177882667</v>
      </c>
      <c r="AL130" s="81">
        <f t="shared" si="26"/>
        <v>3230354.2930876957</v>
      </c>
      <c r="AM130" s="81">
        <f t="shared" si="27"/>
        <v>6289045.382640165</v>
      </c>
      <c r="AN130" s="81">
        <f t="shared" si="28"/>
        <v>0</v>
      </c>
      <c r="AO130" s="81">
        <f t="shared" si="29"/>
        <v>0</v>
      </c>
      <c r="AP130" s="81">
        <f t="shared" si="30"/>
        <v>0</v>
      </c>
      <c r="AQ130" s="81">
        <f t="shared" si="31"/>
        <v>0</v>
      </c>
      <c r="AR130" s="81">
        <f t="shared" si="32"/>
        <v>0</v>
      </c>
      <c r="AS130" s="82">
        <v>2662</v>
      </c>
      <c r="AT130" s="82"/>
      <c r="AU130" s="82"/>
      <c r="AV130" s="82">
        <v>0</v>
      </c>
      <c r="AW130" s="82">
        <f>2725558.05650536*(0.001)</f>
        <v>2725.558056505355</v>
      </c>
      <c r="AX130" s="82">
        <v>-579.2943758357467</v>
      </c>
      <c r="AY130" s="82">
        <v>627.5297579981341</v>
      </c>
      <c r="AZ130" s="408"/>
      <c r="BA130" s="81"/>
      <c r="BB130" s="81"/>
      <c r="BC130" s="81"/>
      <c r="BD130" s="81"/>
      <c r="BE130" s="81"/>
      <c r="BF130" s="81"/>
      <c r="BG130" s="81"/>
      <c r="BO130" s="114"/>
    </row>
    <row r="131" spans="1:67" ht="12.75">
      <c r="A131" s="81">
        <v>316</v>
      </c>
      <c r="B131" s="81" t="s">
        <v>254</v>
      </c>
      <c r="C131" s="81">
        <v>7</v>
      </c>
      <c r="D131" s="81">
        <v>4326</v>
      </c>
      <c r="E131" s="100">
        <v>9448426.202058163</v>
      </c>
      <c r="F131" s="81">
        <v>7074863.528902649</v>
      </c>
      <c r="G131" s="81">
        <v>1049822.400387381</v>
      </c>
      <c r="H131" s="81">
        <v>515652.6424754864</v>
      </c>
      <c r="I131" s="156">
        <v>1920662.9171935786</v>
      </c>
      <c r="J131" s="156">
        <v>742106.3900646574</v>
      </c>
      <c r="K131" s="81">
        <v>-941542.6639972198</v>
      </c>
      <c r="L131" s="81">
        <v>-1059425</v>
      </c>
      <c r="M131" s="82">
        <v>-66000</v>
      </c>
      <c r="N131" s="82">
        <v>44492.29463979882</v>
      </c>
      <c r="O131" s="214">
        <f t="shared" si="18"/>
        <v>-167793.69239183143</v>
      </c>
      <c r="P131" s="215">
        <f t="shared" si="19"/>
        <v>-38.787261301856546</v>
      </c>
      <c r="Q131" s="81"/>
      <c r="R131" s="223">
        <v>26919090</v>
      </c>
      <c r="S131" s="156">
        <v>15407345.36884947</v>
      </c>
      <c r="T131" s="156">
        <v>773478.9637132296</v>
      </c>
      <c r="U131" s="156">
        <v>7439435.220629593</v>
      </c>
      <c r="V131" s="156">
        <v>2518427.7269269307</v>
      </c>
      <c r="W131" s="156">
        <v>-75602.59961261903</v>
      </c>
      <c r="X131" s="214">
        <f t="shared" si="20"/>
        <v>-856005.3194933981</v>
      </c>
      <c r="Y131" s="215">
        <f t="shared" si="21"/>
        <v>-197.8745537432728</v>
      </c>
      <c r="Z131" s="81"/>
      <c r="AA131" s="94">
        <f t="shared" si="22"/>
        <v>688211.6271015666</v>
      </c>
      <c r="AB131" s="153">
        <f t="shared" si="23"/>
        <v>159.08729244141622</v>
      </c>
      <c r="AD131" s="216"/>
      <c r="AE131" s="224"/>
      <c r="AF131" s="224"/>
      <c r="AG131" s="224"/>
      <c r="AH131" s="225"/>
      <c r="AJ131" s="81">
        <f t="shared" si="24"/>
        <v>8332481.83994682</v>
      </c>
      <c r="AK131" s="81">
        <f t="shared" si="25"/>
        <v>257826.32123774325</v>
      </c>
      <c r="AL131" s="81">
        <f t="shared" si="26"/>
        <v>5518772.303436015</v>
      </c>
      <c r="AM131" s="81">
        <f t="shared" si="27"/>
        <v>17470663.797941837</v>
      </c>
      <c r="AN131" s="81">
        <f t="shared" si="28"/>
        <v>0</v>
      </c>
      <c r="AO131" s="81">
        <f t="shared" si="29"/>
        <v>0</v>
      </c>
      <c r="AP131" s="81">
        <f t="shared" si="30"/>
        <v>0</v>
      </c>
      <c r="AQ131" s="81">
        <f t="shared" si="31"/>
        <v>0</v>
      </c>
      <c r="AR131" s="81">
        <f t="shared" si="32"/>
        <v>0</v>
      </c>
      <c r="AS131" s="82">
        <v>956</v>
      </c>
      <c r="AT131" s="82"/>
      <c r="AU131" s="82"/>
      <c r="AV131" s="82">
        <v>0</v>
      </c>
      <c r="AW131" s="82">
        <f>4606497.33828139*(0.001)</f>
        <v>4606.497338281387</v>
      </c>
      <c r="AX131" s="82">
        <v>-974.7808670939363</v>
      </c>
      <c r="AY131" s="82">
        <v>1776.3213368622733</v>
      </c>
      <c r="AZ131" s="408"/>
      <c r="BA131" s="81"/>
      <c r="BB131" s="81"/>
      <c r="BC131" s="81"/>
      <c r="BD131" s="81"/>
      <c r="BE131" s="81"/>
      <c r="BF131" s="81"/>
      <c r="BG131" s="81"/>
      <c r="BO131" s="114"/>
    </row>
    <row r="132" spans="1:67" ht="12.75">
      <c r="A132" s="81">
        <v>317</v>
      </c>
      <c r="B132" s="81" t="s">
        <v>255</v>
      </c>
      <c r="C132" s="81">
        <v>17</v>
      </c>
      <c r="D132" s="81">
        <v>2538</v>
      </c>
      <c r="E132" s="100">
        <v>8642770.417551477</v>
      </c>
      <c r="F132" s="81">
        <v>2921552.8320515407</v>
      </c>
      <c r="G132" s="81">
        <v>601413.7666488843</v>
      </c>
      <c r="H132" s="81">
        <v>548213.2770468089</v>
      </c>
      <c r="I132" s="156">
        <v>3216158.0484103244</v>
      </c>
      <c r="J132" s="156">
        <v>536529.9693083046</v>
      </c>
      <c r="K132" s="81">
        <v>1018925.22501887</v>
      </c>
      <c r="L132" s="81">
        <v>-1640</v>
      </c>
      <c r="M132" s="82">
        <v>226000</v>
      </c>
      <c r="N132" s="82">
        <v>19114.364769342137</v>
      </c>
      <c r="O132" s="214">
        <f t="shared" si="18"/>
        <v>443497.06570259854</v>
      </c>
      <c r="P132" s="215">
        <f t="shared" si="19"/>
        <v>174.74273668345097</v>
      </c>
      <c r="Q132" s="81"/>
      <c r="R132" s="223">
        <v>19326680</v>
      </c>
      <c r="S132" s="156">
        <v>6337934.2882253565</v>
      </c>
      <c r="T132" s="156">
        <v>822319.9155702132</v>
      </c>
      <c r="U132" s="156">
        <v>10523455.95545247</v>
      </c>
      <c r="V132" s="156">
        <v>1808139.1253082808</v>
      </c>
      <c r="W132" s="156">
        <v>825773.7666488843</v>
      </c>
      <c r="X132" s="214">
        <f t="shared" si="20"/>
        <v>990943.0512052029</v>
      </c>
      <c r="Y132" s="215">
        <f t="shared" si="21"/>
        <v>390.44249456469777</v>
      </c>
      <c r="Z132" s="81"/>
      <c r="AA132" s="94">
        <f t="shared" si="22"/>
        <v>-547445.9855026044</v>
      </c>
      <c r="AB132" s="153">
        <f t="shared" si="23"/>
        <v>-215.6997578812468</v>
      </c>
      <c r="AD132" s="216"/>
      <c r="AE132" s="224"/>
      <c r="AF132" s="224"/>
      <c r="AG132" s="224"/>
      <c r="AH132" s="225"/>
      <c r="AJ132" s="81">
        <f t="shared" si="24"/>
        <v>3416381.4561738158</v>
      </c>
      <c r="AK132" s="81">
        <f t="shared" si="25"/>
        <v>274106.63852340437</v>
      </c>
      <c r="AL132" s="81">
        <f t="shared" si="26"/>
        <v>7307297.907042146</v>
      </c>
      <c r="AM132" s="81">
        <f t="shared" si="27"/>
        <v>10683909.582448523</v>
      </c>
      <c r="AN132" s="81">
        <f t="shared" si="28"/>
        <v>0</v>
      </c>
      <c r="AO132" s="81">
        <f t="shared" si="29"/>
        <v>0</v>
      </c>
      <c r="AP132" s="81">
        <f t="shared" si="30"/>
        <v>0</v>
      </c>
      <c r="AQ132" s="81">
        <f t="shared" si="31"/>
        <v>0</v>
      </c>
      <c r="AR132" s="81">
        <f t="shared" si="32"/>
        <v>0</v>
      </c>
      <c r="AS132" s="82">
        <v>638</v>
      </c>
      <c r="AT132" s="82"/>
      <c r="AU132" s="82"/>
      <c r="AV132" s="82">
        <v>0</v>
      </c>
      <c r="AW132" s="82">
        <f>5729689.36813753*(0.001)</f>
        <v>5729.689368137531</v>
      </c>
      <c r="AX132" s="82">
        <v>-1710.6131789165506</v>
      </c>
      <c r="AY132" s="82">
        <v>1271.609155999976</v>
      </c>
      <c r="AZ132" s="408"/>
      <c r="BA132" s="81"/>
      <c r="BB132" s="81"/>
      <c r="BC132" s="81"/>
      <c r="BD132" s="81"/>
      <c r="BE132" s="81"/>
      <c r="BF132" s="81"/>
      <c r="BG132" s="81"/>
      <c r="BO132" s="114"/>
    </row>
    <row r="133" spans="1:67" ht="12.75">
      <c r="A133" s="81">
        <v>320</v>
      </c>
      <c r="B133" s="81" t="s">
        <v>223</v>
      </c>
      <c r="C133" s="81">
        <v>19</v>
      </c>
      <c r="D133" s="81">
        <v>7191</v>
      </c>
      <c r="E133" s="100">
        <v>18647074.83141891</v>
      </c>
      <c r="F133" s="81">
        <v>11010865.374652434</v>
      </c>
      <c r="G133" s="81">
        <v>4295964.956542379</v>
      </c>
      <c r="H133" s="81">
        <v>1035220.7752829063</v>
      </c>
      <c r="I133" s="156">
        <v>3484466.107456287</v>
      </c>
      <c r="J133" s="156">
        <v>1221203.733998455</v>
      </c>
      <c r="K133" s="81">
        <v>1382733.807820606</v>
      </c>
      <c r="L133" s="81">
        <v>-474707</v>
      </c>
      <c r="M133" s="82">
        <v>1200000</v>
      </c>
      <c r="N133" s="82">
        <v>74379.03670104283</v>
      </c>
      <c r="O133" s="214">
        <f t="shared" si="18"/>
        <v>4583051.961035203</v>
      </c>
      <c r="P133" s="215">
        <f t="shared" si="19"/>
        <v>637.3316591621754</v>
      </c>
      <c r="Q133" s="81"/>
      <c r="R133" s="223">
        <v>55667080</v>
      </c>
      <c r="S133" s="156">
        <v>24853917.910034895</v>
      </c>
      <c r="T133" s="156">
        <v>1552831.1629243596</v>
      </c>
      <c r="U133" s="156">
        <v>26164747.170171205</v>
      </c>
      <c r="V133" s="156">
        <v>4153390.1258992394</v>
      </c>
      <c r="W133" s="156">
        <v>5021257.956542379</v>
      </c>
      <c r="X133" s="214">
        <f t="shared" si="20"/>
        <v>6079064.325572073</v>
      </c>
      <c r="Y133" s="215">
        <f t="shared" si="21"/>
        <v>845.3712036673722</v>
      </c>
      <c r="Z133" s="81"/>
      <c r="AA133" s="94">
        <f t="shared" si="22"/>
        <v>-1496012.3645368703</v>
      </c>
      <c r="AB133" s="153">
        <f t="shared" si="23"/>
        <v>-208.0395445051968</v>
      </c>
      <c r="AD133" s="216"/>
      <c r="AE133" s="224"/>
      <c r="AF133" s="224"/>
      <c r="AG133" s="224"/>
      <c r="AH133" s="225"/>
      <c r="AJ133" s="81">
        <f t="shared" si="24"/>
        <v>13843052.53538246</v>
      </c>
      <c r="AK133" s="81">
        <f t="shared" si="25"/>
        <v>517610.3876414533</v>
      </c>
      <c r="AL133" s="81">
        <f t="shared" si="26"/>
        <v>22680281.06271492</v>
      </c>
      <c r="AM133" s="81">
        <f t="shared" si="27"/>
        <v>37020005.16858109</v>
      </c>
      <c r="AN133" s="81">
        <f t="shared" si="28"/>
        <v>0</v>
      </c>
      <c r="AO133" s="81">
        <f t="shared" si="29"/>
        <v>0</v>
      </c>
      <c r="AP133" s="81">
        <f t="shared" si="30"/>
        <v>0</v>
      </c>
      <c r="AQ133" s="81">
        <f t="shared" si="31"/>
        <v>0</v>
      </c>
      <c r="AR133" s="81">
        <f t="shared" si="32"/>
        <v>0</v>
      </c>
      <c r="AS133" s="82">
        <v>2449</v>
      </c>
      <c r="AT133" s="82">
        <v>36</v>
      </c>
      <c r="AU133" s="82">
        <v>27</v>
      </c>
      <c r="AV133" s="82">
        <v>63</v>
      </c>
      <c r="AW133" s="82">
        <f>20169197.518773*(0.001)</f>
        <v>20169.19751877296</v>
      </c>
      <c r="AX133" s="82">
        <v>-1940.2006207632655</v>
      </c>
      <c r="AY133" s="82">
        <v>2932.186391900784</v>
      </c>
      <c r="AZ133" s="408"/>
      <c r="BA133" s="81"/>
      <c r="BB133" s="81"/>
      <c r="BC133" s="81"/>
      <c r="BD133" s="81"/>
      <c r="BE133" s="81"/>
      <c r="BF133" s="81"/>
      <c r="BG133" s="81"/>
      <c r="BO133" s="114"/>
    </row>
    <row r="134" spans="1:67" ht="12.75">
      <c r="A134" s="81">
        <v>322</v>
      </c>
      <c r="B134" s="81" t="s">
        <v>129</v>
      </c>
      <c r="C134" s="81">
        <v>2</v>
      </c>
      <c r="D134" s="81">
        <v>6609</v>
      </c>
      <c r="E134" s="100">
        <v>18506520.68348216</v>
      </c>
      <c r="F134" s="81">
        <v>7875894.560741811</v>
      </c>
      <c r="G134" s="81">
        <v>3431799.2387112393</v>
      </c>
      <c r="H134" s="81">
        <v>928996.3635631659</v>
      </c>
      <c r="I134" s="156">
        <v>6525752.462710796</v>
      </c>
      <c r="J134" s="156">
        <v>1143866.1317326175</v>
      </c>
      <c r="K134" s="81">
        <v>1198739.7370319255</v>
      </c>
      <c r="L134" s="81">
        <v>-999697</v>
      </c>
      <c r="M134" s="82">
        <v>-142600</v>
      </c>
      <c r="N134" s="82">
        <v>65028.044897600186</v>
      </c>
      <c r="O134" s="214">
        <f t="shared" si="18"/>
        <v>1521258.8559069969</v>
      </c>
      <c r="P134" s="215">
        <f t="shared" si="19"/>
        <v>230.17988438598832</v>
      </c>
      <c r="Q134" s="81"/>
      <c r="R134" s="223">
        <v>46258666</v>
      </c>
      <c r="S134" s="156">
        <v>19966625.308197066</v>
      </c>
      <c r="T134" s="156">
        <v>1393494.5453447488</v>
      </c>
      <c r="U134" s="156">
        <v>21446849.72262354</v>
      </c>
      <c r="V134" s="156">
        <v>3876972.059739062</v>
      </c>
      <c r="W134" s="156">
        <v>2289502.2387112393</v>
      </c>
      <c r="X134" s="214">
        <f t="shared" si="20"/>
        <v>2714777.8746156543</v>
      </c>
      <c r="Y134" s="215">
        <f t="shared" si="21"/>
        <v>410.76984031103865</v>
      </c>
      <c r="Z134" s="81"/>
      <c r="AA134" s="94">
        <f t="shared" si="22"/>
        <v>-1193519.0187086575</v>
      </c>
      <c r="AB134" s="153">
        <f t="shared" si="23"/>
        <v>-180.5899559250503</v>
      </c>
      <c r="AD134" s="216"/>
      <c r="AE134" s="224"/>
      <c r="AF134" s="224"/>
      <c r="AG134" s="224"/>
      <c r="AH134" s="225"/>
      <c r="AJ134" s="81">
        <f t="shared" si="24"/>
        <v>12090730.747455254</v>
      </c>
      <c r="AK134" s="81">
        <f t="shared" si="25"/>
        <v>464498.1817815829</v>
      </c>
      <c r="AL134" s="81">
        <f t="shared" si="26"/>
        <v>14921097.259912742</v>
      </c>
      <c r="AM134" s="81">
        <f t="shared" si="27"/>
        <v>27752145.31651784</v>
      </c>
      <c r="AN134" s="81">
        <f t="shared" si="28"/>
        <v>0</v>
      </c>
      <c r="AO134" s="81">
        <f t="shared" si="29"/>
        <v>0</v>
      </c>
      <c r="AP134" s="81">
        <f t="shared" si="30"/>
        <v>0</v>
      </c>
      <c r="AQ134" s="81">
        <f t="shared" si="31"/>
        <v>0</v>
      </c>
      <c r="AR134" s="81">
        <f t="shared" si="32"/>
        <v>0</v>
      </c>
      <c r="AS134" s="82">
        <v>3673</v>
      </c>
      <c r="AT134" s="82">
        <v>197</v>
      </c>
      <c r="AU134" s="82">
        <v>1</v>
      </c>
      <c r="AV134" s="82">
        <v>198</v>
      </c>
      <c r="AW134" s="82">
        <f>12142585.3978919*(0.001)</f>
        <v>12142.585397891857</v>
      </c>
      <c r="AX134" s="82">
        <v>-2387.191928280898</v>
      </c>
      <c r="AY134" s="82">
        <v>2733.1059280064446</v>
      </c>
      <c r="AZ134" s="408"/>
      <c r="BA134" s="81"/>
      <c r="BB134" s="81"/>
      <c r="BC134" s="81"/>
      <c r="BD134" s="81"/>
      <c r="BE134" s="81"/>
      <c r="BF134" s="81"/>
      <c r="BG134" s="81"/>
      <c r="BO134" s="114"/>
    </row>
    <row r="135" spans="1:67" ht="12.75">
      <c r="A135" s="81">
        <v>398</v>
      </c>
      <c r="B135" s="81" t="s">
        <v>256</v>
      </c>
      <c r="C135" s="81">
        <v>7</v>
      </c>
      <c r="D135" s="81">
        <v>119984</v>
      </c>
      <c r="E135" s="100">
        <v>331898271.9078904</v>
      </c>
      <c r="F135" s="81">
        <v>193162350.49599367</v>
      </c>
      <c r="G135" s="81">
        <v>42949373.792674884</v>
      </c>
      <c r="H135" s="81">
        <v>21469390.052416194</v>
      </c>
      <c r="I135" s="156">
        <v>35341841.472520016</v>
      </c>
      <c r="J135" s="156">
        <v>16443202.206366837</v>
      </c>
      <c r="K135" s="81">
        <v>20786573.074131854</v>
      </c>
      <c r="L135" s="81">
        <v>-5821904</v>
      </c>
      <c r="M135" s="82">
        <v>9370400</v>
      </c>
      <c r="N135" s="82">
        <v>1460249.1784102013</v>
      </c>
      <c r="O135" s="214">
        <f t="shared" si="18"/>
        <v>3263204.3646232486</v>
      </c>
      <c r="P135" s="215">
        <f t="shared" si="19"/>
        <v>27.196995971323247</v>
      </c>
      <c r="Q135" s="81"/>
      <c r="R135" s="223">
        <v>755412600</v>
      </c>
      <c r="S135" s="156">
        <v>464363899.4017737</v>
      </c>
      <c r="T135" s="156">
        <v>32204085.078624297</v>
      </c>
      <c r="U135" s="156">
        <v>183753578.78640974</v>
      </c>
      <c r="V135" s="156">
        <v>56152411.28530911</v>
      </c>
      <c r="W135" s="156">
        <v>46497869.792674884</v>
      </c>
      <c r="X135" s="214">
        <f t="shared" si="20"/>
        <v>27559244.34479165</v>
      </c>
      <c r="Y135" s="215">
        <f t="shared" si="21"/>
        <v>229.69099500593123</v>
      </c>
      <c r="Z135" s="81"/>
      <c r="AA135" s="94">
        <f t="shared" si="22"/>
        <v>-24296039.980168402</v>
      </c>
      <c r="AB135" s="153">
        <f t="shared" si="23"/>
        <v>-202.49399903460795</v>
      </c>
      <c r="AD135" s="216"/>
      <c r="AE135" s="224"/>
      <c r="AF135" s="224"/>
      <c r="AG135" s="224"/>
      <c r="AH135" s="225"/>
      <c r="AJ135" s="81">
        <f t="shared" si="24"/>
        <v>271201548.90578</v>
      </c>
      <c r="AK135" s="81">
        <f t="shared" si="25"/>
        <v>10734695.026208103</v>
      </c>
      <c r="AL135" s="81">
        <f t="shared" si="26"/>
        <v>148411737.3138897</v>
      </c>
      <c r="AM135" s="81">
        <f t="shared" si="27"/>
        <v>423514328.0921096</v>
      </c>
      <c r="AN135" s="81">
        <f t="shared" si="28"/>
        <v>0</v>
      </c>
      <c r="AO135" s="81">
        <f t="shared" si="29"/>
        <v>0</v>
      </c>
      <c r="AP135" s="81">
        <f t="shared" si="30"/>
        <v>0</v>
      </c>
      <c r="AQ135" s="81">
        <f t="shared" si="31"/>
        <v>0</v>
      </c>
      <c r="AR135" s="81">
        <f t="shared" si="32"/>
        <v>0</v>
      </c>
      <c r="AS135" s="82">
        <v>47927</v>
      </c>
      <c r="AT135" s="82"/>
      <c r="AU135" s="82"/>
      <c r="AV135" s="82">
        <v>0</v>
      </c>
      <c r="AW135" s="82">
        <f>133768619.57684*(0.001)</f>
        <v>133768.6195768399</v>
      </c>
      <c r="AX135" s="82">
        <v>-4259.969808651182</v>
      </c>
      <c r="AY135" s="82">
        <v>39709.20907894228</v>
      </c>
      <c r="AZ135" s="408"/>
      <c r="BA135" s="81"/>
      <c r="BB135" s="81"/>
      <c r="BC135" s="81"/>
      <c r="BD135" s="81"/>
      <c r="BE135" s="81"/>
      <c r="BF135" s="81"/>
      <c r="BG135" s="81"/>
      <c r="BO135" s="114"/>
    </row>
    <row r="136" spans="1:67" ht="12.75">
      <c r="A136" s="81">
        <v>399</v>
      </c>
      <c r="B136" s="81" t="s">
        <v>257</v>
      </c>
      <c r="C136" s="81">
        <v>15</v>
      </c>
      <c r="D136" s="81">
        <v>7996</v>
      </c>
      <c r="E136" s="100">
        <v>19462568.23139139</v>
      </c>
      <c r="F136" s="81">
        <v>14131404.790976586</v>
      </c>
      <c r="G136" s="81">
        <v>1531015.5326084371</v>
      </c>
      <c r="H136" s="81">
        <v>670841.7851122579</v>
      </c>
      <c r="I136" s="156">
        <v>7018763.572767698</v>
      </c>
      <c r="J136" s="156">
        <v>1188654.548762525</v>
      </c>
      <c r="K136" s="81">
        <v>-158023.15216032587</v>
      </c>
      <c r="L136" s="81">
        <v>-497058</v>
      </c>
      <c r="M136" s="82">
        <v>-100000</v>
      </c>
      <c r="N136" s="82">
        <v>92900.89765754115</v>
      </c>
      <c r="O136" s="214">
        <f t="shared" si="18"/>
        <v>4415931.744333331</v>
      </c>
      <c r="P136" s="215">
        <f t="shared" si="19"/>
        <v>552.2676018425876</v>
      </c>
      <c r="Q136" s="81"/>
      <c r="R136" s="223">
        <v>49082135</v>
      </c>
      <c r="S136" s="156">
        <v>31732737.7968154</v>
      </c>
      <c r="T136" s="156">
        <v>1006262.6776683868</v>
      </c>
      <c r="U136" s="156">
        <v>14982621.42183308</v>
      </c>
      <c r="V136" s="156">
        <v>4048715.2601276943</v>
      </c>
      <c r="W136" s="156">
        <v>933957.5326084371</v>
      </c>
      <c r="X136" s="214">
        <f t="shared" si="20"/>
        <v>3622159.689052999</v>
      </c>
      <c r="Y136" s="215">
        <f t="shared" si="21"/>
        <v>452.99645936130554</v>
      </c>
      <c r="Z136" s="81"/>
      <c r="AA136" s="94">
        <f t="shared" si="22"/>
        <v>793772.0552803315</v>
      </c>
      <c r="AB136" s="153">
        <f t="shared" si="23"/>
        <v>99.27114248128208</v>
      </c>
      <c r="AD136" s="216"/>
      <c r="AE136" s="224"/>
      <c r="AF136" s="224"/>
      <c r="AG136" s="224"/>
      <c r="AH136" s="225"/>
      <c r="AJ136" s="81">
        <f t="shared" si="24"/>
        <v>17601333.00583881</v>
      </c>
      <c r="AK136" s="81">
        <f t="shared" si="25"/>
        <v>335420.8925561289</v>
      </c>
      <c r="AL136" s="81">
        <f t="shared" si="26"/>
        <v>7963857.849065381</v>
      </c>
      <c r="AM136" s="81">
        <f t="shared" si="27"/>
        <v>29619566.76860861</v>
      </c>
      <c r="AN136" s="81">
        <f t="shared" si="28"/>
        <v>0</v>
      </c>
      <c r="AO136" s="81">
        <f t="shared" si="29"/>
        <v>0</v>
      </c>
      <c r="AP136" s="81">
        <f t="shared" si="30"/>
        <v>0</v>
      </c>
      <c r="AQ136" s="81">
        <f t="shared" si="31"/>
        <v>0</v>
      </c>
      <c r="AR136" s="81">
        <f t="shared" si="32"/>
        <v>0</v>
      </c>
      <c r="AS136" s="82">
        <v>2045</v>
      </c>
      <c r="AT136" s="82">
        <v>62</v>
      </c>
      <c r="AU136" s="82"/>
      <c r="AV136" s="82">
        <v>62</v>
      </c>
      <c r="AW136" s="82">
        <f>7693887.4955137*(0.001)</f>
        <v>7693.8874955137035</v>
      </c>
      <c r="AX136" s="82">
        <v>-962.0707363832663</v>
      </c>
      <c r="AY136" s="82">
        <v>2860.0607113651695</v>
      </c>
      <c r="AZ136" s="408"/>
      <c r="BA136" s="81"/>
      <c r="BB136" s="81"/>
      <c r="BC136" s="81"/>
      <c r="BD136" s="81"/>
      <c r="BE136" s="81"/>
      <c r="BF136" s="81"/>
      <c r="BG136" s="81"/>
      <c r="BO136" s="114"/>
    </row>
    <row r="137" spans="1:67" ht="12.75">
      <c r="A137" s="81">
        <v>400</v>
      </c>
      <c r="B137" s="81" t="s">
        <v>258</v>
      </c>
      <c r="C137" s="81">
        <v>2</v>
      </c>
      <c r="D137" s="81">
        <v>8468</v>
      </c>
      <c r="E137" s="100">
        <v>22514686.674984355</v>
      </c>
      <c r="F137" s="81">
        <v>12646242.261761148</v>
      </c>
      <c r="G137" s="81">
        <v>2041168.0701068174</v>
      </c>
      <c r="H137" s="81">
        <v>1485398.3400606671</v>
      </c>
      <c r="I137" s="156">
        <v>5865836.501969949</v>
      </c>
      <c r="J137" s="156">
        <v>1488913.4091580054</v>
      </c>
      <c r="K137" s="81">
        <v>777674.8298035901</v>
      </c>
      <c r="L137" s="81">
        <v>857304</v>
      </c>
      <c r="M137" s="82">
        <v>22725</v>
      </c>
      <c r="N137" s="82">
        <v>92505.39027268092</v>
      </c>
      <c r="O137" s="214">
        <f t="shared" si="18"/>
        <v>2763081.1281485</v>
      </c>
      <c r="P137" s="215">
        <f t="shared" si="19"/>
        <v>326.29677942235475</v>
      </c>
      <c r="Q137" s="81"/>
      <c r="R137" s="223">
        <v>55132875</v>
      </c>
      <c r="S137" s="156">
        <v>29763934.771825276</v>
      </c>
      <c r="T137" s="156">
        <v>2228097.5100910007</v>
      </c>
      <c r="U137" s="156">
        <v>18653571.957657</v>
      </c>
      <c r="V137" s="156">
        <v>5045301.861791095</v>
      </c>
      <c r="W137" s="156">
        <v>2921197.0701068174</v>
      </c>
      <c r="X137" s="214">
        <f t="shared" si="20"/>
        <v>3479228.171471186</v>
      </c>
      <c r="Y137" s="215">
        <f t="shared" si="21"/>
        <v>410.86775761350805</v>
      </c>
      <c r="Z137" s="81"/>
      <c r="AA137" s="94">
        <f t="shared" si="22"/>
        <v>-716147.0433226861</v>
      </c>
      <c r="AB137" s="153">
        <f t="shared" si="23"/>
        <v>-84.5709781911533</v>
      </c>
      <c r="AD137" s="216"/>
      <c r="AE137" s="224"/>
      <c r="AF137" s="224"/>
      <c r="AG137" s="224"/>
      <c r="AH137" s="225"/>
      <c r="AJ137" s="81">
        <f t="shared" si="24"/>
        <v>17117692.51006413</v>
      </c>
      <c r="AK137" s="81">
        <f t="shared" si="25"/>
        <v>742699.1700303336</v>
      </c>
      <c r="AL137" s="81">
        <f t="shared" si="26"/>
        <v>12787735.45568705</v>
      </c>
      <c r="AM137" s="81">
        <f t="shared" si="27"/>
        <v>32618188.325015645</v>
      </c>
      <c r="AN137" s="81">
        <f t="shared" si="28"/>
        <v>0</v>
      </c>
      <c r="AO137" s="81">
        <f t="shared" si="29"/>
        <v>0</v>
      </c>
      <c r="AP137" s="81">
        <f t="shared" si="30"/>
        <v>0</v>
      </c>
      <c r="AQ137" s="81">
        <f t="shared" si="31"/>
        <v>0</v>
      </c>
      <c r="AR137" s="81">
        <f t="shared" si="32"/>
        <v>0</v>
      </c>
      <c r="AS137" s="82">
        <v>2786</v>
      </c>
      <c r="AT137" s="82">
        <v>122</v>
      </c>
      <c r="AU137" s="82">
        <v>2</v>
      </c>
      <c r="AV137" s="82">
        <v>124</v>
      </c>
      <c r="AW137" s="82">
        <f>10587384.597092*(0.001)</f>
        <v>10587.384597091974</v>
      </c>
      <c r="AX137" s="82">
        <v>-2006.5478546386712</v>
      </c>
      <c r="AY137" s="82">
        <v>3556.3884526330894</v>
      </c>
      <c r="AZ137" s="408"/>
      <c r="BA137" s="81"/>
      <c r="BB137" s="81"/>
      <c r="BC137" s="81"/>
      <c r="BD137" s="81"/>
      <c r="BE137" s="81"/>
      <c r="BF137" s="81"/>
      <c r="BG137" s="81"/>
      <c r="BO137" s="114"/>
    </row>
    <row r="138" spans="1:67" ht="12.75">
      <c r="A138" s="81">
        <v>402</v>
      </c>
      <c r="B138" s="81" t="s">
        <v>260</v>
      </c>
      <c r="C138" s="81">
        <v>11</v>
      </c>
      <c r="D138" s="81">
        <v>9358</v>
      </c>
      <c r="E138" s="100">
        <v>23399793.475329176</v>
      </c>
      <c r="F138" s="81">
        <v>12549626.557594178</v>
      </c>
      <c r="G138" s="81">
        <v>2451753.353112393</v>
      </c>
      <c r="H138" s="81">
        <v>1324508.349211693</v>
      </c>
      <c r="I138" s="156">
        <v>7026248.306035</v>
      </c>
      <c r="J138" s="156">
        <v>1693460.8455651826</v>
      </c>
      <c r="K138" s="81">
        <v>620211.8508709999</v>
      </c>
      <c r="L138" s="81">
        <v>-384710</v>
      </c>
      <c r="M138" s="82">
        <v>800000</v>
      </c>
      <c r="N138" s="82">
        <v>84910.96598593629</v>
      </c>
      <c r="O138" s="214">
        <f t="shared" si="18"/>
        <v>2766216.753046207</v>
      </c>
      <c r="P138" s="215">
        <f t="shared" si="19"/>
        <v>295.5991400989749</v>
      </c>
      <c r="Q138" s="81"/>
      <c r="R138" s="223">
        <v>63703000</v>
      </c>
      <c r="S138" s="156">
        <v>28281477.699161157</v>
      </c>
      <c r="T138" s="156">
        <v>1986762.5238175397</v>
      </c>
      <c r="U138" s="156">
        <v>27579841.202989418</v>
      </c>
      <c r="V138" s="156">
        <v>5728971.082098823</v>
      </c>
      <c r="W138" s="156">
        <v>2867043.353112393</v>
      </c>
      <c r="X138" s="214">
        <f t="shared" si="20"/>
        <v>2741095.8611793295</v>
      </c>
      <c r="Y138" s="215">
        <f t="shared" si="21"/>
        <v>292.91471053423055</v>
      </c>
      <c r="Z138" s="81"/>
      <c r="AA138" s="94">
        <f t="shared" si="22"/>
        <v>25120.891866877675</v>
      </c>
      <c r="AB138" s="153">
        <f t="shared" si="23"/>
        <v>2.684429564744355</v>
      </c>
      <c r="AD138" s="216"/>
      <c r="AE138" s="224"/>
      <c r="AF138" s="224"/>
      <c r="AG138" s="224"/>
      <c r="AH138" s="225"/>
      <c r="AJ138" s="81">
        <f t="shared" si="24"/>
        <v>15731851.141566979</v>
      </c>
      <c r="AK138" s="81">
        <f t="shared" si="25"/>
        <v>662254.1746058466</v>
      </c>
      <c r="AL138" s="81">
        <f t="shared" si="26"/>
        <v>20553592.896954417</v>
      </c>
      <c r="AM138" s="81">
        <f t="shared" si="27"/>
        <v>40303206.524670824</v>
      </c>
      <c r="AN138" s="81">
        <f t="shared" si="28"/>
        <v>0</v>
      </c>
      <c r="AO138" s="81">
        <f t="shared" si="29"/>
        <v>0</v>
      </c>
      <c r="AP138" s="81">
        <f t="shared" si="30"/>
        <v>0</v>
      </c>
      <c r="AQ138" s="81">
        <f t="shared" si="31"/>
        <v>0</v>
      </c>
      <c r="AR138" s="81">
        <f t="shared" si="32"/>
        <v>0</v>
      </c>
      <c r="AS138" s="82">
        <v>2686</v>
      </c>
      <c r="AT138" s="82">
        <v>942</v>
      </c>
      <c r="AU138" s="82"/>
      <c r="AV138" s="82">
        <v>942</v>
      </c>
      <c r="AW138" s="82">
        <f>16816753.3648603*(0.001)</f>
        <v>16816.753364860328</v>
      </c>
      <c r="AX138" s="82">
        <v>-4179.738425571588</v>
      </c>
      <c r="AY138" s="82">
        <v>4035.5102365336406</v>
      </c>
      <c r="AZ138" s="408"/>
      <c r="BA138" s="81"/>
      <c r="BB138" s="81"/>
      <c r="BC138" s="81"/>
      <c r="BD138" s="81"/>
      <c r="BE138" s="81"/>
      <c r="BF138" s="81"/>
      <c r="BG138" s="81"/>
      <c r="BO138" s="114"/>
    </row>
    <row r="139" spans="1:67" ht="12.75">
      <c r="A139" s="81">
        <v>403</v>
      </c>
      <c r="B139" s="81" t="s">
        <v>261</v>
      </c>
      <c r="C139" s="81">
        <v>14</v>
      </c>
      <c r="D139" s="81">
        <v>2925</v>
      </c>
      <c r="E139" s="100">
        <v>8170969.389085539</v>
      </c>
      <c r="F139" s="81">
        <v>4067898.385118253</v>
      </c>
      <c r="G139" s="81">
        <v>958730.8626993095</v>
      </c>
      <c r="H139" s="81">
        <v>476884.717263271</v>
      </c>
      <c r="I139" s="156">
        <v>2110009.5502608335</v>
      </c>
      <c r="J139" s="156">
        <v>620397.3884058681</v>
      </c>
      <c r="K139" s="81">
        <v>806407.2342359648</v>
      </c>
      <c r="L139" s="81">
        <v>-96180</v>
      </c>
      <c r="M139" s="82">
        <v>-50000</v>
      </c>
      <c r="N139" s="82">
        <v>25498.96275333636</v>
      </c>
      <c r="O139" s="214">
        <f t="shared" si="18"/>
        <v>748677.7116512973</v>
      </c>
      <c r="P139" s="215">
        <f t="shared" si="19"/>
        <v>255.95819201753753</v>
      </c>
      <c r="Q139" s="81"/>
      <c r="R139" s="223">
        <v>21707000</v>
      </c>
      <c r="S139" s="156">
        <v>8752644.403599214</v>
      </c>
      <c r="T139" s="156">
        <v>715327.0758949065</v>
      </c>
      <c r="U139" s="156">
        <v>10398818.17168937</v>
      </c>
      <c r="V139" s="156">
        <v>2094080.8918534801</v>
      </c>
      <c r="W139" s="156">
        <v>812550.8626993095</v>
      </c>
      <c r="X139" s="214">
        <f t="shared" si="20"/>
        <v>1066421.4057362825</v>
      </c>
      <c r="Y139" s="215">
        <f t="shared" si="21"/>
        <v>364.588514781635</v>
      </c>
      <c r="Z139" s="81"/>
      <c r="AA139" s="94">
        <f t="shared" si="22"/>
        <v>-317743.6940849852</v>
      </c>
      <c r="AB139" s="153">
        <f t="shared" si="23"/>
        <v>-108.6303227640975</v>
      </c>
      <c r="AD139" s="216"/>
      <c r="AE139" s="224"/>
      <c r="AF139" s="224"/>
      <c r="AG139" s="224"/>
      <c r="AH139" s="225"/>
      <c r="AJ139" s="81">
        <f t="shared" si="24"/>
        <v>4684746.01848096</v>
      </c>
      <c r="AK139" s="81">
        <f t="shared" si="25"/>
        <v>238442.35863163555</v>
      </c>
      <c r="AL139" s="81">
        <f t="shared" si="26"/>
        <v>8288808.621428537</v>
      </c>
      <c r="AM139" s="81">
        <f t="shared" si="27"/>
        <v>13536030.610914461</v>
      </c>
      <c r="AN139" s="81">
        <f t="shared" si="28"/>
        <v>0</v>
      </c>
      <c r="AO139" s="81">
        <f t="shared" si="29"/>
        <v>0</v>
      </c>
      <c r="AP139" s="81">
        <f t="shared" si="30"/>
        <v>0</v>
      </c>
      <c r="AQ139" s="81">
        <f t="shared" si="31"/>
        <v>0</v>
      </c>
      <c r="AR139" s="81">
        <f t="shared" si="32"/>
        <v>0</v>
      </c>
      <c r="AS139" s="82">
        <v>906</v>
      </c>
      <c r="AT139" s="82">
        <v>15</v>
      </c>
      <c r="AU139" s="82"/>
      <c r="AV139" s="82">
        <v>15</v>
      </c>
      <c r="AW139" s="82">
        <f>7001775.69451203*(0.001)</f>
        <v>7001.775694512032</v>
      </c>
      <c r="AX139" s="82">
        <v>-1508.239166310834</v>
      </c>
      <c r="AY139" s="82">
        <v>1473.683503447612</v>
      </c>
      <c r="AZ139" s="408"/>
      <c r="BA139" s="81"/>
      <c r="BB139" s="81"/>
      <c r="BC139" s="81"/>
      <c r="BD139" s="81"/>
      <c r="BE139" s="81"/>
      <c r="BF139" s="81"/>
      <c r="BG139" s="81"/>
      <c r="BO139" s="114"/>
    </row>
    <row r="140" spans="1:67" ht="12.75">
      <c r="A140" s="81">
        <v>405</v>
      </c>
      <c r="B140" s="81" t="s">
        <v>262</v>
      </c>
      <c r="C140" s="81">
        <v>9</v>
      </c>
      <c r="D140" s="81">
        <v>72662</v>
      </c>
      <c r="E140" s="100">
        <v>167300032.5573848</v>
      </c>
      <c r="F140" s="81">
        <v>110048063.40713567</v>
      </c>
      <c r="G140" s="81">
        <v>27433981.186719667</v>
      </c>
      <c r="H140" s="81">
        <v>17699114.53611734</v>
      </c>
      <c r="I140" s="156">
        <v>19067241.55773909</v>
      </c>
      <c r="J140" s="156">
        <v>10446853.369997744</v>
      </c>
      <c r="K140" s="81">
        <v>-11786156.68385042</v>
      </c>
      <c r="L140" s="81">
        <v>-5617783</v>
      </c>
      <c r="M140" s="82">
        <v>6000000</v>
      </c>
      <c r="N140" s="82">
        <v>804604.9978651041</v>
      </c>
      <c r="O140" s="214">
        <f t="shared" si="18"/>
        <v>6795886.814339399</v>
      </c>
      <c r="P140" s="215">
        <f t="shared" si="19"/>
        <v>93.52738452477773</v>
      </c>
      <c r="Q140" s="81"/>
      <c r="R140" s="223">
        <v>449395000.97</v>
      </c>
      <c r="S140" s="156">
        <v>256546863.32422903</v>
      </c>
      <c r="T140" s="156">
        <v>26548671.804176014</v>
      </c>
      <c r="U140" s="156">
        <v>105990495.31565173</v>
      </c>
      <c r="V140" s="156">
        <v>35647896.78591169</v>
      </c>
      <c r="W140" s="156">
        <v>27816198.186719667</v>
      </c>
      <c r="X140" s="214">
        <f t="shared" si="20"/>
        <v>3155124.446688056</v>
      </c>
      <c r="Y140" s="215">
        <f t="shared" si="21"/>
        <v>43.421932326223555</v>
      </c>
      <c r="Z140" s="81"/>
      <c r="AA140" s="94">
        <f t="shared" si="22"/>
        <v>3640762.3676513433</v>
      </c>
      <c r="AB140" s="153">
        <f t="shared" si="23"/>
        <v>50.105452198554175</v>
      </c>
      <c r="AD140" s="216"/>
      <c r="AE140" s="224"/>
      <c r="AF140" s="224"/>
      <c r="AG140" s="224"/>
      <c r="AH140" s="225"/>
      <c r="AJ140" s="81">
        <f t="shared" si="24"/>
        <v>146498799.91709337</v>
      </c>
      <c r="AK140" s="81">
        <f t="shared" si="25"/>
        <v>8849557.268058673</v>
      </c>
      <c r="AL140" s="81">
        <f t="shared" si="26"/>
        <v>86923253.75791264</v>
      </c>
      <c r="AM140" s="81">
        <f t="shared" si="27"/>
        <v>282094968.41261524</v>
      </c>
      <c r="AN140" s="81">
        <f t="shared" si="28"/>
        <v>0</v>
      </c>
      <c r="AO140" s="81">
        <f t="shared" si="29"/>
        <v>0</v>
      </c>
      <c r="AP140" s="81">
        <f t="shared" si="30"/>
        <v>0</v>
      </c>
      <c r="AQ140" s="81">
        <f t="shared" si="31"/>
        <v>0</v>
      </c>
      <c r="AR140" s="81">
        <f t="shared" si="32"/>
        <v>0</v>
      </c>
      <c r="AS140" s="82">
        <v>26247</v>
      </c>
      <c r="AT140" s="82">
        <v>9</v>
      </c>
      <c r="AU140" s="82">
        <v>477</v>
      </c>
      <c r="AV140" s="82">
        <v>486</v>
      </c>
      <c r="AW140" s="82">
        <f>75431642.3958624*(0.001)</f>
        <v>75431.64239586244</v>
      </c>
      <c r="AX140" s="82">
        <v>-7308.350788480864</v>
      </c>
      <c r="AY140" s="82">
        <v>25201.043415913944</v>
      </c>
      <c r="AZ140" s="408"/>
      <c r="BA140" s="81"/>
      <c r="BB140" s="81"/>
      <c r="BC140" s="81"/>
      <c r="BD140" s="81"/>
      <c r="BE140" s="81"/>
      <c r="BF140" s="81"/>
      <c r="BG140" s="81"/>
      <c r="BO140" s="114"/>
    </row>
    <row r="141" spans="1:67" ht="12.75">
      <c r="A141" s="81">
        <v>407</v>
      </c>
      <c r="B141" s="81" t="s">
        <v>259</v>
      </c>
      <c r="C141" s="81">
        <v>1</v>
      </c>
      <c r="D141" s="81">
        <v>2621</v>
      </c>
      <c r="E141" s="100">
        <v>6883334.660930792</v>
      </c>
      <c r="F141" s="81">
        <v>4020609.024310319</v>
      </c>
      <c r="G141" s="81">
        <v>669225.0145725482</v>
      </c>
      <c r="H141" s="81">
        <v>437539.15643750125</v>
      </c>
      <c r="I141" s="156">
        <v>1861212.8370610152</v>
      </c>
      <c r="J141" s="156">
        <v>519493.46639782377</v>
      </c>
      <c r="K141" s="81">
        <v>290114.1383394972</v>
      </c>
      <c r="L141" s="81">
        <v>-644025</v>
      </c>
      <c r="M141" s="82">
        <v>783000</v>
      </c>
      <c r="N141" s="82">
        <v>27073.5605710832</v>
      </c>
      <c r="O141" s="214">
        <f t="shared" si="18"/>
        <v>1080907.5367589965</v>
      </c>
      <c r="P141" s="215">
        <f t="shared" si="19"/>
        <v>412.4027229145351</v>
      </c>
      <c r="Q141" s="81"/>
      <c r="R141" s="223">
        <v>17824000</v>
      </c>
      <c r="S141" s="156">
        <v>9029041.823693018</v>
      </c>
      <c r="T141" s="156">
        <v>656308.734656252</v>
      </c>
      <c r="U141" s="156">
        <v>6823055.782883608</v>
      </c>
      <c r="V141" s="156">
        <v>1755635.9586007479</v>
      </c>
      <c r="W141" s="156">
        <v>808200.0145725482</v>
      </c>
      <c r="X141" s="214">
        <f t="shared" si="20"/>
        <v>1248242.3144061752</v>
      </c>
      <c r="Y141" s="215">
        <f t="shared" si="21"/>
        <v>476.2465907692389</v>
      </c>
      <c r="Z141" s="81"/>
      <c r="AA141" s="94">
        <f t="shared" si="22"/>
        <v>-167334.77764717862</v>
      </c>
      <c r="AB141" s="153">
        <f t="shared" si="23"/>
        <v>-63.84386785470379</v>
      </c>
      <c r="AD141" s="216"/>
      <c r="AE141" s="224"/>
      <c r="AF141" s="224"/>
      <c r="AG141" s="224"/>
      <c r="AH141" s="225"/>
      <c r="AJ141" s="81">
        <f t="shared" si="24"/>
        <v>5008432.7993827</v>
      </c>
      <c r="AK141" s="81">
        <f t="shared" si="25"/>
        <v>218769.5782187507</v>
      </c>
      <c r="AL141" s="81">
        <f t="shared" si="26"/>
        <v>4961842.945822593</v>
      </c>
      <c r="AM141" s="81">
        <f t="shared" si="27"/>
        <v>10940665.339069208</v>
      </c>
      <c r="AN141" s="81">
        <f t="shared" si="28"/>
        <v>0</v>
      </c>
      <c r="AO141" s="81">
        <f t="shared" si="29"/>
        <v>0</v>
      </c>
      <c r="AP141" s="81">
        <f t="shared" si="30"/>
        <v>0</v>
      </c>
      <c r="AQ141" s="81">
        <f t="shared" si="31"/>
        <v>0</v>
      </c>
      <c r="AR141" s="81">
        <f t="shared" si="32"/>
        <v>0</v>
      </c>
      <c r="AS141" s="82">
        <v>584</v>
      </c>
      <c r="AT141" s="82">
        <v>32</v>
      </c>
      <c r="AU141" s="82"/>
      <c r="AV141" s="82">
        <v>32</v>
      </c>
      <c r="AW141" s="82">
        <f>4221287.94076786*(0.001)</f>
        <v>4221.287940767859</v>
      </c>
      <c r="AX141" s="82">
        <v>-767.8349640877777</v>
      </c>
      <c r="AY141" s="82">
        <v>1236.1424922029241</v>
      </c>
      <c r="AZ141" s="408"/>
      <c r="BA141" s="81"/>
      <c r="BB141" s="81"/>
      <c r="BC141" s="81"/>
      <c r="BD141" s="81"/>
      <c r="BE141" s="81"/>
      <c r="BF141" s="81"/>
      <c r="BG141" s="81"/>
      <c r="BO141" s="114"/>
    </row>
    <row r="142" spans="1:67" ht="12.75">
      <c r="A142" s="81">
        <v>408</v>
      </c>
      <c r="B142" s="81" t="s">
        <v>263</v>
      </c>
      <c r="C142" s="81">
        <v>14</v>
      </c>
      <c r="D142" s="81">
        <v>14221</v>
      </c>
      <c r="E142" s="100">
        <v>41869189.28693915</v>
      </c>
      <c r="F142" s="81">
        <v>21955677.33612433</v>
      </c>
      <c r="G142" s="81">
        <v>3071074.74128878</v>
      </c>
      <c r="H142" s="81">
        <v>1705178.039007462</v>
      </c>
      <c r="I142" s="156">
        <v>11740091.849073604</v>
      </c>
      <c r="J142" s="156">
        <v>2319344.5229278803</v>
      </c>
      <c r="K142" s="81">
        <v>2486592.2971500023</v>
      </c>
      <c r="L142" s="81">
        <v>-282344</v>
      </c>
      <c r="M142" s="82">
        <v>-389104</v>
      </c>
      <c r="N142" s="82">
        <v>147279.41768506588</v>
      </c>
      <c r="O142" s="214">
        <f t="shared" si="18"/>
        <v>884600.916317977</v>
      </c>
      <c r="P142" s="215">
        <f t="shared" si="19"/>
        <v>62.20384757175846</v>
      </c>
      <c r="Q142" s="81"/>
      <c r="R142" s="223">
        <v>94916393.64</v>
      </c>
      <c r="S142" s="156">
        <v>49538924.09351531</v>
      </c>
      <c r="T142" s="156">
        <v>2557767.0585111934</v>
      </c>
      <c r="U142" s="156">
        <v>34440825.8051892</v>
      </c>
      <c r="V142" s="156">
        <v>7868921.601907455</v>
      </c>
      <c r="W142" s="156">
        <v>2399626.74128878</v>
      </c>
      <c r="X142" s="214">
        <f t="shared" si="20"/>
        <v>1889671.660411939</v>
      </c>
      <c r="Y142" s="215">
        <f t="shared" si="21"/>
        <v>132.8789579081597</v>
      </c>
      <c r="Z142" s="81"/>
      <c r="AA142" s="94">
        <f t="shared" si="22"/>
        <v>-1005070.744093962</v>
      </c>
      <c r="AB142" s="153">
        <f t="shared" si="23"/>
        <v>-70.67511033640123</v>
      </c>
      <c r="AD142" s="216"/>
      <c r="AE142" s="224"/>
      <c r="AF142" s="224"/>
      <c r="AG142" s="224"/>
      <c r="AH142" s="225"/>
      <c r="AJ142" s="81">
        <f t="shared" si="24"/>
        <v>27583246.757390976</v>
      </c>
      <c r="AK142" s="81">
        <f t="shared" si="25"/>
        <v>852589.0195037313</v>
      </c>
      <c r="AL142" s="81">
        <f t="shared" si="26"/>
        <v>22700733.956115596</v>
      </c>
      <c r="AM142" s="81">
        <f t="shared" si="27"/>
        <v>53047204.35306085</v>
      </c>
      <c r="AN142" s="81">
        <f t="shared" si="28"/>
        <v>0</v>
      </c>
      <c r="AO142" s="81">
        <f t="shared" si="29"/>
        <v>0</v>
      </c>
      <c r="AP142" s="81">
        <f t="shared" si="30"/>
        <v>0</v>
      </c>
      <c r="AQ142" s="81">
        <f t="shared" si="31"/>
        <v>0</v>
      </c>
      <c r="AR142" s="81">
        <f t="shared" si="32"/>
        <v>0</v>
      </c>
      <c r="AS142" s="82">
        <v>5386</v>
      </c>
      <c r="AT142" s="82">
        <v>167</v>
      </c>
      <c r="AU142" s="82">
        <v>15</v>
      </c>
      <c r="AV142" s="82">
        <v>182</v>
      </c>
      <c r="AW142" s="82">
        <f>19182555.2639669*(0.001)</f>
        <v>19182.555263966933</v>
      </c>
      <c r="AX142" s="82">
        <v>-4177.375913207523</v>
      </c>
      <c r="AY142" s="82">
        <v>5549.577078979575</v>
      </c>
      <c r="AZ142" s="408"/>
      <c r="BA142" s="81"/>
      <c r="BB142" s="81"/>
      <c r="BC142" s="81"/>
      <c r="BD142" s="81"/>
      <c r="BE142" s="81"/>
      <c r="BF142" s="81"/>
      <c r="BG142" s="81"/>
      <c r="BO142" s="114"/>
    </row>
    <row r="143" spans="1:67" ht="12.75">
      <c r="A143" s="81">
        <v>410</v>
      </c>
      <c r="B143" s="81" t="s">
        <v>264</v>
      </c>
      <c r="C143" s="81">
        <v>13</v>
      </c>
      <c r="D143" s="81">
        <v>18823</v>
      </c>
      <c r="E143" s="100">
        <v>57058502.52023695</v>
      </c>
      <c r="F143" s="81">
        <v>29630799.96878054</v>
      </c>
      <c r="G143" s="81">
        <v>5844403.831779697</v>
      </c>
      <c r="H143" s="81">
        <v>1945790.3740038818</v>
      </c>
      <c r="I143" s="156">
        <v>21227857.83607226</v>
      </c>
      <c r="J143" s="156">
        <v>2436127.7403037865</v>
      </c>
      <c r="K143" s="81">
        <v>469417.36550106306</v>
      </c>
      <c r="L143" s="81">
        <v>-2175278</v>
      </c>
      <c r="M143" s="82">
        <v>315000</v>
      </c>
      <c r="N143" s="82">
        <v>199135.11152309628</v>
      </c>
      <c r="O143" s="214">
        <f t="shared" si="18"/>
        <v>2834751.70772738</v>
      </c>
      <c r="P143" s="215">
        <f t="shared" si="19"/>
        <v>150.60042010983267</v>
      </c>
      <c r="Q143" s="81"/>
      <c r="R143" s="223">
        <v>118567171</v>
      </c>
      <c r="S143" s="156">
        <v>67105730.13095882</v>
      </c>
      <c r="T143" s="156">
        <v>2918685.561005823</v>
      </c>
      <c r="U143" s="156">
        <v>38830874.788716644</v>
      </c>
      <c r="V143" s="156">
        <v>8313191.652352114</v>
      </c>
      <c r="W143" s="156">
        <v>3984125.831779697</v>
      </c>
      <c r="X143" s="214">
        <f t="shared" si="20"/>
        <v>2585436.9648130983</v>
      </c>
      <c r="Y143" s="215">
        <f t="shared" si="21"/>
        <v>137.35520187074846</v>
      </c>
      <c r="Z143" s="81"/>
      <c r="AA143" s="94">
        <f t="shared" si="22"/>
        <v>249314.7429142818</v>
      </c>
      <c r="AB143" s="153">
        <f t="shared" si="23"/>
        <v>13.245218239084194</v>
      </c>
      <c r="AD143" s="216"/>
      <c r="AE143" s="224"/>
      <c r="AF143" s="224"/>
      <c r="AG143" s="224"/>
      <c r="AH143" s="225"/>
      <c r="AJ143" s="81">
        <f t="shared" si="24"/>
        <v>37474930.16217828</v>
      </c>
      <c r="AK143" s="81">
        <f t="shared" si="25"/>
        <v>972895.187001941</v>
      </c>
      <c r="AL143" s="81">
        <f t="shared" si="26"/>
        <v>17603016.952644385</v>
      </c>
      <c r="AM143" s="81">
        <f t="shared" si="27"/>
        <v>61508668.47976305</v>
      </c>
      <c r="AN143" s="81">
        <f t="shared" si="28"/>
        <v>0</v>
      </c>
      <c r="AO143" s="81">
        <f t="shared" si="29"/>
        <v>0</v>
      </c>
      <c r="AP143" s="81">
        <f t="shared" si="30"/>
        <v>0</v>
      </c>
      <c r="AQ143" s="81">
        <f t="shared" si="31"/>
        <v>0</v>
      </c>
      <c r="AR143" s="81">
        <f t="shared" si="32"/>
        <v>0</v>
      </c>
      <c r="AS143" s="82">
        <v>7108</v>
      </c>
      <c r="AT143" s="82">
        <v>29</v>
      </c>
      <c r="AU143" s="82">
        <v>3</v>
      </c>
      <c r="AV143" s="82">
        <v>32</v>
      </c>
      <c r="AW143" s="82">
        <f>13536441.5308626*(0.001)</f>
        <v>13536.441530862592</v>
      </c>
      <c r="AX143" s="82">
        <v>-4637.491149513997</v>
      </c>
      <c r="AY143" s="82">
        <v>5877.063912048327</v>
      </c>
      <c r="AZ143" s="408"/>
      <c r="BA143" s="81"/>
      <c r="BB143" s="81"/>
      <c r="BC143" s="81"/>
      <c r="BD143" s="81"/>
      <c r="BE143" s="81"/>
      <c r="BF143" s="81"/>
      <c r="BG143" s="81"/>
      <c r="BO143" s="114"/>
    </row>
    <row r="144" spans="1:67" ht="12.75">
      <c r="A144" s="81">
        <v>416</v>
      </c>
      <c r="B144" s="81" t="s">
        <v>265</v>
      </c>
      <c r="C144" s="81">
        <v>9</v>
      </c>
      <c r="D144" s="81">
        <v>2964</v>
      </c>
      <c r="E144" s="100">
        <v>6776793.320883196</v>
      </c>
      <c r="F144" s="81">
        <v>4904956.398738731</v>
      </c>
      <c r="G144" s="81">
        <v>944162.0180489542</v>
      </c>
      <c r="H144" s="81">
        <v>326300.61410122406</v>
      </c>
      <c r="I144" s="156">
        <v>2156966.5246971194</v>
      </c>
      <c r="J144" s="156">
        <v>466207.8125441363</v>
      </c>
      <c r="K144" s="81">
        <v>-310534.1206465061</v>
      </c>
      <c r="L144" s="81">
        <v>-757164</v>
      </c>
      <c r="M144" s="82">
        <v>-58700</v>
      </c>
      <c r="N144" s="82">
        <v>31290.55999718171</v>
      </c>
      <c r="O144" s="214">
        <f t="shared" si="18"/>
        <v>926692.4865976442</v>
      </c>
      <c r="P144" s="215">
        <f t="shared" si="19"/>
        <v>312.6492869762632</v>
      </c>
      <c r="Q144" s="81"/>
      <c r="R144" s="223">
        <v>18349176</v>
      </c>
      <c r="S144" s="156">
        <v>10783201.688115392</v>
      </c>
      <c r="T144" s="156">
        <v>489450.9211518361</v>
      </c>
      <c r="U144" s="156">
        <v>6046455.686862098</v>
      </c>
      <c r="V144" s="156">
        <v>1584850.179413111</v>
      </c>
      <c r="W144" s="156">
        <v>128298.0180489542</v>
      </c>
      <c r="X144" s="214">
        <f t="shared" si="20"/>
        <v>683080.4935913906</v>
      </c>
      <c r="Y144" s="215">
        <f t="shared" si="21"/>
        <v>230.45900593501705</v>
      </c>
      <c r="Z144" s="81"/>
      <c r="AA144" s="94">
        <f t="shared" si="22"/>
        <v>243611.99300625362</v>
      </c>
      <c r="AB144" s="153">
        <f t="shared" si="23"/>
        <v>82.19028104124615</v>
      </c>
      <c r="AD144" s="216"/>
      <c r="AE144" s="224"/>
      <c r="AF144" s="224"/>
      <c r="AG144" s="224"/>
      <c r="AH144" s="225"/>
      <c r="AJ144" s="81">
        <f t="shared" si="24"/>
        <v>5878245.289376661</v>
      </c>
      <c r="AK144" s="81">
        <f t="shared" si="25"/>
        <v>163150.30705061206</v>
      </c>
      <c r="AL144" s="81">
        <f t="shared" si="26"/>
        <v>3889489.1621649787</v>
      </c>
      <c r="AM144" s="81">
        <f t="shared" si="27"/>
        <v>11572382.679116804</v>
      </c>
      <c r="AN144" s="81">
        <f t="shared" si="28"/>
        <v>0</v>
      </c>
      <c r="AO144" s="81">
        <f t="shared" si="29"/>
        <v>0</v>
      </c>
      <c r="AP144" s="81">
        <f t="shared" si="30"/>
        <v>0</v>
      </c>
      <c r="AQ144" s="81">
        <f t="shared" si="31"/>
        <v>0</v>
      </c>
      <c r="AR144" s="81">
        <f t="shared" si="32"/>
        <v>0</v>
      </c>
      <c r="AS144" s="82">
        <v>579</v>
      </c>
      <c r="AT144" s="82"/>
      <c r="AU144" s="82">
        <v>9</v>
      </c>
      <c r="AV144" s="82">
        <v>9</v>
      </c>
      <c r="AW144" s="82">
        <f>3145642.633991*(0.001)</f>
        <v>3145.6426339910045</v>
      </c>
      <c r="AX144" s="82">
        <v>-781.7988195466281</v>
      </c>
      <c r="AY144" s="82">
        <v>1118.6423668689747</v>
      </c>
      <c r="AZ144" s="408"/>
      <c r="BA144" s="81"/>
      <c r="BB144" s="81"/>
      <c r="BC144" s="81"/>
      <c r="BD144" s="81"/>
      <c r="BE144" s="81"/>
      <c r="BF144" s="81"/>
      <c r="BG144" s="81"/>
      <c r="BO144" s="114"/>
    </row>
    <row r="145" spans="1:67" ht="12.75">
      <c r="A145" s="81">
        <v>418</v>
      </c>
      <c r="B145" s="81" t="s">
        <v>266</v>
      </c>
      <c r="C145" s="81">
        <v>6</v>
      </c>
      <c r="D145" s="81">
        <v>23828</v>
      </c>
      <c r="E145" s="100">
        <v>68975179.68165994</v>
      </c>
      <c r="F145" s="81">
        <v>40598578.87633319</v>
      </c>
      <c r="G145" s="81">
        <v>5900651.555703023</v>
      </c>
      <c r="H145" s="81">
        <v>3280186.485777004</v>
      </c>
      <c r="I145" s="156">
        <v>20346476.04704126</v>
      </c>
      <c r="J145" s="156">
        <v>2510914.500122769</v>
      </c>
      <c r="K145" s="81">
        <v>2255419.6925806054</v>
      </c>
      <c r="L145" s="81">
        <v>-2587354</v>
      </c>
      <c r="M145" s="82">
        <v>24860</v>
      </c>
      <c r="N145" s="82">
        <v>318806.5131185109</v>
      </c>
      <c r="O145" s="214">
        <f t="shared" si="18"/>
        <v>3673359.9890164286</v>
      </c>
      <c r="P145" s="215">
        <f t="shared" si="19"/>
        <v>154.1614902222775</v>
      </c>
      <c r="Q145" s="81"/>
      <c r="R145" s="223">
        <v>135964619.4</v>
      </c>
      <c r="S145" s="156">
        <v>100511754.88270006</v>
      </c>
      <c r="T145" s="156">
        <v>4920279.7286655065</v>
      </c>
      <c r="U145" s="156">
        <v>23970316.55468421</v>
      </c>
      <c r="V145" s="156">
        <v>8641278.269324526</v>
      </c>
      <c r="W145" s="156">
        <v>3338157.5557030234</v>
      </c>
      <c r="X145" s="214">
        <f t="shared" si="20"/>
        <v>5417167.591077328</v>
      </c>
      <c r="Y145" s="215">
        <f t="shared" si="21"/>
        <v>227.3446194005929</v>
      </c>
      <c r="Z145" s="81"/>
      <c r="AA145" s="94">
        <f t="shared" si="22"/>
        <v>-1743807.6020608991</v>
      </c>
      <c r="AB145" s="153">
        <f t="shared" si="23"/>
        <v>-73.1831291783154</v>
      </c>
      <c r="AD145" s="216"/>
      <c r="AE145" s="224"/>
      <c r="AF145" s="224"/>
      <c r="AG145" s="224"/>
      <c r="AH145" s="225"/>
      <c r="AJ145" s="81">
        <f t="shared" si="24"/>
        <v>59913176.006366864</v>
      </c>
      <c r="AK145" s="81">
        <f t="shared" si="25"/>
        <v>1640093.2428885023</v>
      </c>
      <c r="AL145" s="81">
        <f t="shared" si="26"/>
        <v>3623840.507642951</v>
      </c>
      <c r="AM145" s="81">
        <f t="shared" si="27"/>
        <v>66989439.71834007</v>
      </c>
      <c r="AN145" s="81">
        <f t="shared" si="28"/>
        <v>0</v>
      </c>
      <c r="AO145" s="81">
        <f t="shared" si="29"/>
        <v>0</v>
      </c>
      <c r="AP145" s="81">
        <f t="shared" si="30"/>
        <v>0</v>
      </c>
      <c r="AQ145" s="81">
        <f t="shared" si="31"/>
        <v>0</v>
      </c>
      <c r="AR145" s="81">
        <f t="shared" si="32"/>
        <v>0</v>
      </c>
      <c r="AS145" s="82">
        <v>10828</v>
      </c>
      <c r="AT145" s="82">
        <v>63</v>
      </c>
      <c r="AU145" s="82"/>
      <c r="AV145" s="82">
        <v>63</v>
      </c>
      <c r="AW145" s="82">
        <f>6289672.63797693*(0.001)</f>
        <v>6289.672637976933</v>
      </c>
      <c r="AX145" s="82">
        <v>2895.068895735891</v>
      </c>
      <c r="AY145" s="82">
        <v>6130.363769201757</v>
      </c>
      <c r="AZ145" s="408"/>
      <c r="BA145" s="81"/>
      <c r="BB145" s="81"/>
      <c r="BC145" s="81"/>
      <c r="BD145" s="81"/>
      <c r="BE145" s="81"/>
      <c r="BF145" s="81"/>
      <c r="BG145" s="81"/>
      <c r="BO145" s="114"/>
    </row>
    <row r="146" spans="1:67" ht="12.75">
      <c r="A146" s="81">
        <v>420</v>
      </c>
      <c r="B146" s="81" t="s">
        <v>267</v>
      </c>
      <c r="C146" s="81">
        <v>11</v>
      </c>
      <c r="D146" s="81">
        <v>9402</v>
      </c>
      <c r="E146" s="100">
        <v>21553740.709741756</v>
      </c>
      <c r="F146" s="81">
        <v>14633809.953490146</v>
      </c>
      <c r="G146" s="81">
        <v>2670204.2973240386</v>
      </c>
      <c r="H146" s="81">
        <v>2062972.1989205154</v>
      </c>
      <c r="I146" s="156">
        <v>2668568.284368545</v>
      </c>
      <c r="J146" s="156">
        <v>1559093.736302752</v>
      </c>
      <c r="K146" s="81">
        <v>2139471.4363359436</v>
      </c>
      <c r="L146" s="81">
        <v>-1006642</v>
      </c>
      <c r="M146" s="82">
        <v>280000</v>
      </c>
      <c r="N146" s="82">
        <v>108109.95869746723</v>
      </c>
      <c r="O146" s="214">
        <f t="shared" si="18"/>
        <v>3561847.155697651</v>
      </c>
      <c r="P146" s="215">
        <f t="shared" si="19"/>
        <v>378.8393060729261</v>
      </c>
      <c r="Q146" s="81"/>
      <c r="R146" s="223">
        <v>63136700</v>
      </c>
      <c r="S146" s="156">
        <v>34475552.98331487</v>
      </c>
      <c r="T146" s="156">
        <v>3094458.298380773</v>
      </c>
      <c r="U146" s="156">
        <v>23282739.906025592</v>
      </c>
      <c r="V146" s="156">
        <v>5293278.9499412635</v>
      </c>
      <c r="W146" s="156">
        <v>1943562.2973240386</v>
      </c>
      <c r="X146" s="214">
        <f t="shared" si="20"/>
        <v>4952892.434986532</v>
      </c>
      <c r="Y146" s="215">
        <f t="shared" si="21"/>
        <v>526.7913672608521</v>
      </c>
      <c r="Z146" s="81"/>
      <c r="AA146" s="94">
        <f t="shared" si="22"/>
        <v>-1391045.2792888805</v>
      </c>
      <c r="AB146" s="153">
        <f t="shared" si="23"/>
        <v>-147.95206118792603</v>
      </c>
      <c r="AD146" s="216"/>
      <c r="AE146" s="224"/>
      <c r="AF146" s="224"/>
      <c r="AG146" s="224"/>
      <c r="AH146" s="225"/>
      <c r="AJ146" s="81">
        <f t="shared" si="24"/>
        <v>19841743.029824726</v>
      </c>
      <c r="AK146" s="81">
        <f t="shared" si="25"/>
        <v>1031486.0994602577</v>
      </c>
      <c r="AL146" s="81">
        <f t="shared" si="26"/>
        <v>20614171.621657047</v>
      </c>
      <c r="AM146" s="81">
        <f t="shared" si="27"/>
        <v>41582959.29025824</v>
      </c>
      <c r="AN146" s="81">
        <f t="shared" si="28"/>
        <v>0</v>
      </c>
      <c r="AO146" s="81">
        <f t="shared" si="29"/>
        <v>0</v>
      </c>
      <c r="AP146" s="81">
        <f t="shared" si="30"/>
        <v>0</v>
      </c>
      <c r="AQ146" s="81">
        <f t="shared" si="31"/>
        <v>0</v>
      </c>
      <c r="AR146" s="81">
        <f t="shared" si="32"/>
        <v>0</v>
      </c>
      <c r="AS146" s="82">
        <v>3902</v>
      </c>
      <c r="AT146" s="82">
        <v>48</v>
      </c>
      <c r="AU146" s="82"/>
      <c r="AV146" s="82">
        <v>48</v>
      </c>
      <c r="AW146" s="82">
        <f>19124502.3410825*(0.001)</f>
        <v>19124.502341082494</v>
      </c>
      <c r="AX146" s="82">
        <v>-1529.2619606827714</v>
      </c>
      <c r="AY146" s="82">
        <v>3734.1852136385114</v>
      </c>
      <c r="AZ146" s="408"/>
      <c r="BA146" s="81"/>
      <c r="BB146" s="81"/>
      <c r="BC146" s="81"/>
      <c r="BD146" s="81"/>
      <c r="BE146" s="81"/>
      <c r="BF146" s="81"/>
      <c r="BG146" s="81"/>
      <c r="BO146" s="114"/>
    </row>
    <row r="147" spans="1:67" ht="12.75">
      <c r="A147" s="81">
        <v>421</v>
      </c>
      <c r="B147" s="81" t="s">
        <v>268</v>
      </c>
      <c r="C147" s="81">
        <v>16</v>
      </c>
      <c r="D147" s="81">
        <v>722</v>
      </c>
      <c r="E147" s="100">
        <v>2916342.895038441</v>
      </c>
      <c r="F147" s="81">
        <v>832114.1424884951</v>
      </c>
      <c r="G147" s="81">
        <v>267174.1164845042</v>
      </c>
      <c r="H147" s="81">
        <v>323880.854829318</v>
      </c>
      <c r="I147" s="156">
        <v>815172.7566766992</v>
      </c>
      <c r="J147" s="156">
        <v>160571.85614830512</v>
      </c>
      <c r="K147" s="81">
        <v>-373762.3099857952</v>
      </c>
      <c r="L147" s="81">
        <v>-190793</v>
      </c>
      <c r="M147" s="82">
        <v>-61150</v>
      </c>
      <c r="N147" s="82">
        <v>6354.622966153921</v>
      </c>
      <c r="O147" s="214">
        <f t="shared" si="18"/>
        <v>-1136779.8554307604</v>
      </c>
      <c r="P147" s="215">
        <f t="shared" si="19"/>
        <v>-1574.487334391635</v>
      </c>
      <c r="Q147" s="81"/>
      <c r="R147" s="223">
        <v>6907569</v>
      </c>
      <c r="S147" s="156">
        <v>1897086.59896392</v>
      </c>
      <c r="T147" s="156">
        <v>485821.28224397707</v>
      </c>
      <c r="U147" s="156">
        <v>2497703.4707459686</v>
      </c>
      <c r="V147" s="156">
        <v>541370.1381414837</v>
      </c>
      <c r="W147" s="156">
        <v>15231.116484504193</v>
      </c>
      <c r="X147" s="214">
        <f t="shared" si="20"/>
        <v>-1470356.3934201468</v>
      </c>
      <c r="Y147" s="215">
        <f t="shared" si="21"/>
        <v>-2036.5047000279042</v>
      </c>
      <c r="Z147" s="81"/>
      <c r="AA147" s="94">
        <f t="shared" si="22"/>
        <v>333576.53798938636</v>
      </c>
      <c r="AB147" s="153">
        <f t="shared" si="23"/>
        <v>462.0173656362692</v>
      </c>
      <c r="AD147" s="216"/>
      <c r="AE147" s="224"/>
      <c r="AF147" s="224"/>
      <c r="AG147" s="224"/>
      <c r="AH147" s="225"/>
      <c r="AJ147" s="81">
        <f t="shared" si="24"/>
        <v>1064972.456475425</v>
      </c>
      <c r="AK147" s="81">
        <f t="shared" si="25"/>
        <v>161940.42741465906</v>
      </c>
      <c r="AL147" s="81">
        <f t="shared" si="26"/>
        <v>1682530.7140692696</v>
      </c>
      <c r="AM147" s="81">
        <f t="shared" si="27"/>
        <v>3991226.104961559</v>
      </c>
      <c r="AN147" s="81">
        <f t="shared" si="28"/>
        <v>0</v>
      </c>
      <c r="AO147" s="81">
        <f t="shared" si="29"/>
        <v>0</v>
      </c>
      <c r="AP147" s="81">
        <f t="shared" si="30"/>
        <v>0</v>
      </c>
      <c r="AQ147" s="81">
        <f t="shared" si="31"/>
        <v>0</v>
      </c>
      <c r="AR147" s="81">
        <f t="shared" si="32"/>
        <v>0</v>
      </c>
      <c r="AS147" s="82">
        <v>502</v>
      </c>
      <c r="AT147" s="82">
        <v>64</v>
      </c>
      <c r="AU147" s="82">
        <v>2</v>
      </c>
      <c r="AV147" s="82">
        <v>66</v>
      </c>
      <c r="AW147" s="82">
        <f>1455480.70561583*(0.001)</f>
        <v>1455.4807056158327</v>
      </c>
      <c r="AX147" s="82">
        <v>-311.7836970140533</v>
      </c>
      <c r="AY147" s="82">
        <v>380.79828199317853</v>
      </c>
      <c r="AZ147" s="408"/>
      <c r="BA147" s="81"/>
      <c r="BB147" s="81"/>
      <c r="BC147" s="81"/>
      <c r="BD147" s="81"/>
      <c r="BE147" s="81"/>
      <c r="BF147" s="81"/>
      <c r="BG147" s="81"/>
      <c r="BO147" s="114"/>
    </row>
    <row r="148" spans="1:67" ht="12.75">
      <c r="A148" s="81">
        <v>422</v>
      </c>
      <c r="B148" s="81" t="s">
        <v>269</v>
      </c>
      <c r="C148" s="81">
        <v>12</v>
      </c>
      <c r="D148" s="81">
        <v>10719</v>
      </c>
      <c r="E148" s="100">
        <v>23539478.553413004</v>
      </c>
      <c r="F148" s="81">
        <v>13440910.85066156</v>
      </c>
      <c r="G148" s="81">
        <v>3327612.8094982547</v>
      </c>
      <c r="H148" s="81">
        <v>3232689.1704487484</v>
      </c>
      <c r="I148" s="156">
        <v>4380506.772538095</v>
      </c>
      <c r="J148" s="156">
        <v>1930646.3651081705</v>
      </c>
      <c r="K148" s="81">
        <v>469114.3646648002</v>
      </c>
      <c r="L148" s="81">
        <v>-673343</v>
      </c>
      <c r="M148" s="82">
        <v>540550</v>
      </c>
      <c r="N148" s="82">
        <v>98488.99514310376</v>
      </c>
      <c r="O148" s="214">
        <f aca="true" t="shared" si="33" ref="O148:O211">N148+M148+L148+K148+J148+I148+H148+G148+F148-E148</f>
        <v>3207697.774649728</v>
      </c>
      <c r="P148" s="215">
        <f aca="true" t="shared" si="34" ref="P148:P211">O148/D148</f>
        <v>299.2534541141644</v>
      </c>
      <c r="Q148" s="81"/>
      <c r="R148" s="223">
        <v>78385968</v>
      </c>
      <c r="S148" s="156">
        <v>30840236.85770801</v>
      </c>
      <c r="T148" s="156">
        <v>4849033.755673123</v>
      </c>
      <c r="U148" s="156">
        <v>36756382.799953535</v>
      </c>
      <c r="V148" s="156">
        <v>6540255.14301101</v>
      </c>
      <c r="W148" s="156">
        <v>3194819.8094982547</v>
      </c>
      <c r="X148" s="214">
        <f aca="true" t="shared" si="35" ref="X148:X211">W148+V148+U148+T148+S148-R148</f>
        <v>3794760.365843937</v>
      </c>
      <c r="Y148" s="215">
        <f aca="true" t="shared" si="36" ref="Y148:Y211">X148/D148</f>
        <v>354.0218645250431</v>
      </c>
      <c r="Z148" s="81"/>
      <c r="AA148" s="94">
        <f aca="true" t="shared" si="37" ref="AA148:AA211">O148-X148</f>
        <v>-587062.5911942087</v>
      </c>
      <c r="AB148" s="153">
        <f aca="true" t="shared" si="38" ref="AB148:AB211">AA148/D148</f>
        <v>-54.768410410878694</v>
      </c>
      <c r="AD148" s="216"/>
      <c r="AE148" s="224"/>
      <c r="AF148" s="224"/>
      <c r="AG148" s="224"/>
      <c r="AH148" s="225"/>
      <c r="AJ148" s="81">
        <f aca="true" t="shared" si="39" ref="AJ148:AJ211">S148-F148</f>
        <v>17399326.00704645</v>
      </c>
      <c r="AK148" s="81">
        <f aca="true" t="shared" si="40" ref="AK148:AK211">T148-H148</f>
        <v>1616344.5852243742</v>
      </c>
      <c r="AL148" s="81">
        <f aca="true" t="shared" si="41" ref="AL148:AL211">U148-I148</f>
        <v>32375876.02741544</v>
      </c>
      <c r="AM148" s="81">
        <f aca="true" t="shared" si="42" ref="AM148:AM211">R148-E148</f>
        <v>54846489.446587</v>
      </c>
      <c r="AN148" s="81">
        <f aca="true" t="shared" si="43" ref="AN148:AN211">AD148</f>
        <v>0</v>
      </c>
      <c r="AO148" s="81">
        <f aca="true" t="shared" si="44" ref="AO148:AO211">AE148</f>
        <v>0</v>
      </c>
      <c r="AP148" s="81">
        <f aca="true" t="shared" si="45" ref="AP148:AP211">AF148</f>
        <v>0</v>
      </c>
      <c r="AQ148" s="81">
        <f aca="true" t="shared" si="46" ref="AQ148:AQ211">AG148</f>
        <v>0</v>
      </c>
      <c r="AR148" s="81">
        <f aca="true" t="shared" si="47" ref="AR148:AR211">AH148</f>
        <v>0</v>
      </c>
      <c r="AS148" s="82">
        <v>4549</v>
      </c>
      <c r="AT148" s="82">
        <v>4</v>
      </c>
      <c r="AU148" s="82"/>
      <c r="AV148" s="82">
        <v>4</v>
      </c>
      <c r="AW148" s="82">
        <f>28141433.2195198*(0.001)</f>
        <v>28141.43321951978</v>
      </c>
      <c r="AX148" s="82">
        <v>-3965.052439679535</v>
      </c>
      <c r="AY148" s="82">
        <v>4609.608777902839</v>
      </c>
      <c r="AZ148" s="408"/>
      <c r="BA148" s="81"/>
      <c r="BB148" s="81"/>
      <c r="BC148" s="81"/>
      <c r="BD148" s="81"/>
      <c r="BE148" s="81"/>
      <c r="BF148" s="81"/>
      <c r="BG148" s="81"/>
      <c r="BO148" s="114"/>
    </row>
    <row r="149" spans="1:67" ht="12.75">
      <c r="A149" s="81">
        <v>423</v>
      </c>
      <c r="B149" s="81" t="s">
        <v>270</v>
      </c>
      <c r="C149" s="81">
        <v>2</v>
      </c>
      <c r="D149" s="81">
        <v>20146</v>
      </c>
      <c r="E149" s="100">
        <v>49337474.924013115</v>
      </c>
      <c r="F149" s="81">
        <v>28889404.460403305</v>
      </c>
      <c r="G149" s="81">
        <v>4520574.479393018</v>
      </c>
      <c r="H149" s="81">
        <v>2655770.2079883004</v>
      </c>
      <c r="I149" s="156">
        <v>14000364.800100332</v>
      </c>
      <c r="J149" s="156">
        <v>2233236.9247625917</v>
      </c>
      <c r="K149" s="81">
        <v>-1379208.4480761131</v>
      </c>
      <c r="L149" s="81">
        <v>-2645361</v>
      </c>
      <c r="M149" s="82">
        <v>-490000</v>
      </c>
      <c r="N149" s="82">
        <v>242759.7351302967</v>
      </c>
      <c r="O149" s="214">
        <f t="shared" si="33"/>
        <v>-1309933.7643113807</v>
      </c>
      <c r="P149" s="215">
        <f t="shared" si="34"/>
        <v>-65.02202741543636</v>
      </c>
      <c r="Q149" s="81"/>
      <c r="R149" s="223">
        <v>112578000</v>
      </c>
      <c r="S149" s="156">
        <v>74432128.0939364</v>
      </c>
      <c r="T149" s="156">
        <v>3983655.311982451</v>
      </c>
      <c r="U149" s="156">
        <v>22051645.09287808</v>
      </c>
      <c r="V149" s="156">
        <v>7662173.414645791</v>
      </c>
      <c r="W149" s="156">
        <v>1385213.4793930184</v>
      </c>
      <c r="X149" s="214">
        <f t="shared" si="35"/>
        <v>-3063184.6071642637</v>
      </c>
      <c r="Y149" s="215">
        <f t="shared" si="36"/>
        <v>-152.04927068223287</v>
      </c>
      <c r="Z149" s="81"/>
      <c r="AA149" s="94">
        <f t="shared" si="37"/>
        <v>1753250.842852883</v>
      </c>
      <c r="AB149" s="153">
        <f t="shared" si="38"/>
        <v>87.02724326679653</v>
      </c>
      <c r="AD149" s="216"/>
      <c r="AE149" s="224"/>
      <c r="AF149" s="224"/>
      <c r="AG149" s="224"/>
      <c r="AH149" s="225"/>
      <c r="AJ149" s="81">
        <f t="shared" si="39"/>
        <v>45542723.63353309</v>
      </c>
      <c r="AK149" s="81">
        <f t="shared" si="40"/>
        <v>1327885.1039941506</v>
      </c>
      <c r="AL149" s="81">
        <f t="shared" si="41"/>
        <v>8051280.292777749</v>
      </c>
      <c r="AM149" s="81">
        <f t="shared" si="42"/>
        <v>63240525.075986885</v>
      </c>
      <c r="AN149" s="81">
        <f t="shared" si="43"/>
        <v>0</v>
      </c>
      <c r="AO149" s="81">
        <f t="shared" si="44"/>
        <v>0</v>
      </c>
      <c r="AP149" s="81">
        <f t="shared" si="45"/>
        <v>0</v>
      </c>
      <c r="AQ149" s="81">
        <f t="shared" si="46"/>
        <v>0</v>
      </c>
      <c r="AR149" s="81">
        <f t="shared" si="47"/>
        <v>0</v>
      </c>
      <c r="AS149" s="82">
        <v>7820</v>
      </c>
      <c r="AT149" s="82">
        <v>92</v>
      </c>
      <c r="AU149" s="82">
        <v>1</v>
      </c>
      <c r="AV149" s="82">
        <v>93</v>
      </c>
      <c r="AW149" s="82">
        <f>10149969.2130443*(0.001)</f>
        <v>10149.969213044258</v>
      </c>
      <c r="AX149" s="82">
        <v>1255.6458977507464</v>
      </c>
      <c r="AY149" s="82">
        <v>5428.936489883199</v>
      </c>
      <c r="AZ149" s="408"/>
      <c r="BA149" s="81"/>
      <c r="BB149" s="81"/>
      <c r="BC149" s="81"/>
      <c r="BD149" s="81"/>
      <c r="BE149" s="81"/>
      <c r="BF149" s="81"/>
      <c r="BG149" s="81"/>
      <c r="BO149" s="114"/>
    </row>
    <row r="150" spans="1:67" ht="12.75">
      <c r="A150" s="81">
        <v>425</v>
      </c>
      <c r="B150" s="81" t="s">
        <v>271</v>
      </c>
      <c r="C150" s="81">
        <v>17</v>
      </c>
      <c r="D150" s="81">
        <v>10238</v>
      </c>
      <c r="E150" s="100">
        <v>37145485.19962527</v>
      </c>
      <c r="F150" s="81">
        <v>15957245.334231893</v>
      </c>
      <c r="G150" s="81">
        <v>1355059.3199639453</v>
      </c>
      <c r="H150" s="81">
        <v>684317.1178813995</v>
      </c>
      <c r="I150" s="156">
        <v>21361994.71820276</v>
      </c>
      <c r="J150" s="156">
        <v>1048024.9999430603</v>
      </c>
      <c r="K150" s="81">
        <v>590264.7657641148</v>
      </c>
      <c r="L150" s="81">
        <v>-208724</v>
      </c>
      <c r="M150" s="82">
        <v>-169000</v>
      </c>
      <c r="N150" s="82">
        <v>108297.59762046466</v>
      </c>
      <c r="O150" s="214">
        <f t="shared" si="33"/>
        <v>3581994.653982371</v>
      </c>
      <c r="P150" s="215">
        <f t="shared" si="34"/>
        <v>349.87249990060275</v>
      </c>
      <c r="Q150" s="81"/>
      <c r="R150" s="223">
        <v>63460000</v>
      </c>
      <c r="S150" s="156">
        <v>36524544.11408144</v>
      </c>
      <c r="T150" s="156">
        <v>1026475.6768220993</v>
      </c>
      <c r="U150" s="156">
        <v>24204356.824908875</v>
      </c>
      <c r="V150" s="156">
        <v>3588016.8071401436</v>
      </c>
      <c r="W150" s="156">
        <v>977335.3199639453</v>
      </c>
      <c r="X150" s="214">
        <f t="shared" si="35"/>
        <v>2860728.7429165095</v>
      </c>
      <c r="Y150" s="215">
        <f t="shared" si="36"/>
        <v>279.4226160301338</v>
      </c>
      <c r="Z150" s="81"/>
      <c r="AA150" s="94">
        <f t="shared" si="37"/>
        <v>721265.9110658616</v>
      </c>
      <c r="AB150" s="153">
        <f t="shared" si="38"/>
        <v>70.449883870469</v>
      </c>
      <c r="AD150" s="216"/>
      <c r="AE150" s="224"/>
      <c r="AF150" s="224"/>
      <c r="AG150" s="224"/>
      <c r="AH150" s="225"/>
      <c r="AJ150" s="81">
        <f t="shared" si="39"/>
        <v>20567298.77984955</v>
      </c>
      <c r="AK150" s="81">
        <f t="shared" si="40"/>
        <v>342158.5589406998</v>
      </c>
      <c r="AL150" s="81">
        <f t="shared" si="41"/>
        <v>2842362.1067061163</v>
      </c>
      <c r="AM150" s="81">
        <f t="shared" si="42"/>
        <v>26314514.80037473</v>
      </c>
      <c r="AN150" s="81">
        <f t="shared" si="43"/>
        <v>0</v>
      </c>
      <c r="AO150" s="81">
        <f t="shared" si="44"/>
        <v>0</v>
      </c>
      <c r="AP150" s="81">
        <f t="shared" si="45"/>
        <v>0</v>
      </c>
      <c r="AQ150" s="81">
        <f t="shared" si="46"/>
        <v>0</v>
      </c>
      <c r="AR150" s="81">
        <f t="shared" si="47"/>
        <v>0</v>
      </c>
      <c r="AS150" s="82">
        <v>4830</v>
      </c>
      <c r="AT150" s="82">
        <v>75</v>
      </c>
      <c r="AU150" s="82"/>
      <c r="AV150" s="82">
        <v>75</v>
      </c>
      <c r="AW150" s="82">
        <f>1009104.45638609*(0.001)</f>
        <v>1009.1044563860856</v>
      </c>
      <c r="AX150" s="82">
        <v>-2952.741522455747</v>
      </c>
      <c r="AY150" s="82">
        <v>2539.9918071970833</v>
      </c>
      <c r="AZ150" s="408"/>
      <c r="BA150" s="81"/>
      <c r="BB150" s="81"/>
      <c r="BC150" s="81"/>
      <c r="BD150" s="81"/>
      <c r="BE150" s="81"/>
      <c r="BF150" s="81"/>
      <c r="BG150" s="81"/>
      <c r="BO150" s="114"/>
    </row>
    <row r="151" spans="1:67" ht="12.75">
      <c r="A151" s="81">
        <v>426</v>
      </c>
      <c r="B151" s="81" t="s">
        <v>272</v>
      </c>
      <c r="C151" s="81">
        <v>12</v>
      </c>
      <c r="D151" s="81">
        <v>11994</v>
      </c>
      <c r="E151" s="100">
        <v>29678348.716697842</v>
      </c>
      <c r="F151" s="81">
        <v>18957561.47556286</v>
      </c>
      <c r="G151" s="81">
        <v>2785684.4527830663</v>
      </c>
      <c r="H151" s="81">
        <v>963613.240689741</v>
      </c>
      <c r="I151" s="156">
        <v>10580840.996162163</v>
      </c>
      <c r="J151" s="156">
        <v>1904628.474950686</v>
      </c>
      <c r="K151" s="81">
        <v>326224.79813893244</v>
      </c>
      <c r="L151" s="81">
        <v>-2767092</v>
      </c>
      <c r="M151" s="82">
        <v>-400000</v>
      </c>
      <c r="N151" s="82">
        <v>126101.01031828074</v>
      </c>
      <c r="O151" s="214">
        <f t="shared" si="33"/>
        <v>2799213.7319078892</v>
      </c>
      <c r="P151" s="215">
        <f t="shared" si="34"/>
        <v>233.38450324394609</v>
      </c>
      <c r="Q151" s="81"/>
      <c r="R151" s="223">
        <v>73880000</v>
      </c>
      <c r="S151" s="156">
        <v>42822589.44400476</v>
      </c>
      <c r="T151" s="156">
        <v>1445419.8610346115</v>
      </c>
      <c r="U151" s="156">
        <v>26450514.24787673</v>
      </c>
      <c r="V151" s="156">
        <v>6462682.806136114</v>
      </c>
      <c r="W151" s="156">
        <v>-381407.5472169337</v>
      </c>
      <c r="X151" s="214">
        <f t="shared" si="35"/>
        <v>2919798.811835289</v>
      </c>
      <c r="Y151" s="215">
        <f t="shared" si="36"/>
        <v>243.43828679633893</v>
      </c>
      <c r="Z151" s="81"/>
      <c r="AA151" s="94">
        <f t="shared" si="37"/>
        <v>-120585.07992739975</v>
      </c>
      <c r="AB151" s="153">
        <f t="shared" si="38"/>
        <v>-10.053783552392842</v>
      </c>
      <c r="AD151" s="216"/>
      <c r="AE151" s="224"/>
      <c r="AF151" s="224"/>
      <c r="AG151" s="224"/>
      <c r="AH151" s="225"/>
      <c r="AJ151" s="81">
        <f t="shared" si="39"/>
        <v>23865027.9684419</v>
      </c>
      <c r="AK151" s="81">
        <f t="shared" si="40"/>
        <v>481806.6203448705</v>
      </c>
      <c r="AL151" s="81">
        <f t="shared" si="41"/>
        <v>15869673.251714567</v>
      </c>
      <c r="AM151" s="81">
        <f t="shared" si="42"/>
        <v>44201651.28330216</v>
      </c>
      <c r="AN151" s="81">
        <f t="shared" si="43"/>
        <v>0</v>
      </c>
      <c r="AO151" s="81">
        <f t="shared" si="44"/>
        <v>0</v>
      </c>
      <c r="AP151" s="81">
        <f t="shared" si="45"/>
        <v>0</v>
      </c>
      <c r="AQ151" s="81">
        <f t="shared" si="46"/>
        <v>0</v>
      </c>
      <c r="AR151" s="81">
        <f t="shared" si="47"/>
        <v>0</v>
      </c>
      <c r="AS151" s="82">
        <v>2951</v>
      </c>
      <c r="AT151" s="82"/>
      <c r="AU151" s="82">
        <v>15</v>
      </c>
      <c r="AV151" s="82">
        <v>15</v>
      </c>
      <c r="AW151" s="82">
        <f>12228204.7631486*(0.001)</f>
        <v>12228.204763148613</v>
      </c>
      <c r="AX151" s="82">
        <v>-3743.8822508850553</v>
      </c>
      <c r="AY151" s="82">
        <v>4558.054331185427</v>
      </c>
      <c r="AZ151" s="408"/>
      <c r="BA151" s="81"/>
      <c r="BB151" s="81"/>
      <c r="BC151" s="81"/>
      <c r="BD151" s="81"/>
      <c r="BE151" s="81"/>
      <c r="BF151" s="81"/>
      <c r="BG151" s="81"/>
      <c r="BO151" s="114"/>
    </row>
    <row r="152" spans="1:67" ht="12.75">
      <c r="A152" s="81">
        <v>430</v>
      </c>
      <c r="B152" s="81" t="s">
        <v>274</v>
      </c>
      <c r="C152" s="81">
        <v>2</v>
      </c>
      <c r="D152" s="81">
        <v>15770</v>
      </c>
      <c r="E152" s="100">
        <v>34125061.338413835</v>
      </c>
      <c r="F152" s="81">
        <v>22089519.44288254</v>
      </c>
      <c r="G152" s="81">
        <v>4104153.0277939346</v>
      </c>
      <c r="H152" s="81">
        <v>2682386.7509658025</v>
      </c>
      <c r="I152" s="156">
        <v>7433843.94013711</v>
      </c>
      <c r="J152" s="156">
        <v>2842425.986210511</v>
      </c>
      <c r="K152" s="81">
        <v>3081869.4969882076</v>
      </c>
      <c r="L152" s="81">
        <v>-2247193</v>
      </c>
      <c r="M152" s="82">
        <v>-32900</v>
      </c>
      <c r="N152" s="82">
        <v>156705.07057593967</v>
      </c>
      <c r="O152" s="214">
        <f t="shared" si="33"/>
        <v>5985749.377140209</v>
      </c>
      <c r="P152" s="215">
        <f t="shared" si="34"/>
        <v>379.56559144833284</v>
      </c>
      <c r="Q152" s="81"/>
      <c r="R152" s="223">
        <v>98792300</v>
      </c>
      <c r="S152" s="156">
        <v>51004010.95768528</v>
      </c>
      <c r="T152" s="156">
        <v>4023580.126448704</v>
      </c>
      <c r="U152" s="156">
        <v>40183584.704254955</v>
      </c>
      <c r="V152" s="156">
        <v>9625644.539643627</v>
      </c>
      <c r="W152" s="156">
        <v>1824060.0277939346</v>
      </c>
      <c r="X152" s="214">
        <f t="shared" si="35"/>
        <v>7868580.355826497</v>
      </c>
      <c r="Y152" s="215">
        <f t="shared" si="36"/>
        <v>498.95880506192117</v>
      </c>
      <c r="Z152" s="81"/>
      <c r="AA152" s="94">
        <f t="shared" si="37"/>
        <v>-1882830.978686288</v>
      </c>
      <c r="AB152" s="153">
        <f t="shared" si="38"/>
        <v>-119.39321361358833</v>
      </c>
      <c r="AD152" s="216"/>
      <c r="AE152" s="224"/>
      <c r="AF152" s="224"/>
      <c r="AG152" s="224"/>
      <c r="AH152" s="225"/>
      <c r="AJ152" s="81">
        <f t="shared" si="39"/>
        <v>28914491.514802735</v>
      </c>
      <c r="AK152" s="81">
        <f t="shared" si="40"/>
        <v>1341193.3754829015</v>
      </c>
      <c r="AL152" s="81">
        <f t="shared" si="41"/>
        <v>32749740.764117844</v>
      </c>
      <c r="AM152" s="81">
        <f t="shared" si="42"/>
        <v>64667238.661586165</v>
      </c>
      <c r="AN152" s="81">
        <f t="shared" si="43"/>
        <v>0</v>
      </c>
      <c r="AO152" s="81">
        <f t="shared" si="44"/>
        <v>0</v>
      </c>
      <c r="AP152" s="81">
        <f t="shared" si="45"/>
        <v>0</v>
      </c>
      <c r="AQ152" s="81">
        <f t="shared" si="46"/>
        <v>0</v>
      </c>
      <c r="AR152" s="81">
        <f t="shared" si="47"/>
        <v>0</v>
      </c>
      <c r="AS152" s="82">
        <v>3960</v>
      </c>
      <c r="AT152" s="82">
        <v>40</v>
      </c>
      <c r="AU152" s="82"/>
      <c r="AV152" s="82">
        <v>40</v>
      </c>
      <c r="AW152" s="82">
        <f>27907555.4307309*(0.001)</f>
        <v>27907.5554307309</v>
      </c>
      <c r="AX152" s="82">
        <v>-5021.186120226005</v>
      </c>
      <c r="AY152" s="82">
        <v>6783.218553433116</v>
      </c>
      <c r="AZ152" s="408"/>
      <c r="BA152" s="81"/>
      <c r="BB152" s="81"/>
      <c r="BC152" s="81"/>
      <c r="BD152" s="81"/>
      <c r="BE152" s="81"/>
      <c r="BF152" s="81"/>
      <c r="BG152" s="81"/>
      <c r="BO152" s="114"/>
    </row>
    <row r="153" spans="1:67" ht="12.75">
      <c r="A153" s="81">
        <v>433</v>
      </c>
      <c r="B153" s="81" t="s">
        <v>275</v>
      </c>
      <c r="C153" s="81">
        <v>5</v>
      </c>
      <c r="D153" s="81">
        <v>7853</v>
      </c>
      <c r="E153" s="100">
        <v>20815493.181399893</v>
      </c>
      <c r="F153" s="81">
        <v>12223250.250389915</v>
      </c>
      <c r="G153" s="81">
        <v>2021986.5634470608</v>
      </c>
      <c r="H153" s="81">
        <v>1274249.3315872606</v>
      </c>
      <c r="I153" s="156">
        <v>4725613.706233489</v>
      </c>
      <c r="J153" s="156">
        <v>1284793.6212991672</v>
      </c>
      <c r="K153" s="81">
        <v>1165652.373786248</v>
      </c>
      <c r="L153" s="81">
        <v>-901681</v>
      </c>
      <c r="M153" s="82">
        <v>-283000</v>
      </c>
      <c r="N153" s="82">
        <v>82115.33964914538</v>
      </c>
      <c r="O153" s="214">
        <f t="shared" si="33"/>
        <v>777487.0049923919</v>
      </c>
      <c r="P153" s="215">
        <f t="shared" si="34"/>
        <v>99.00509423053506</v>
      </c>
      <c r="Q153" s="81"/>
      <c r="R153" s="223">
        <v>47424600</v>
      </c>
      <c r="S153" s="156">
        <v>27440467.961343735</v>
      </c>
      <c r="T153" s="156">
        <v>1911373.9973808909</v>
      </c>
      <c r="U153" s="156">
        <v>14546112.716043634</v>
      </c>
      <c r="V153" s="156">
        <v>4360892.58789279</v>
      </c>
      <c r="W153" s="156">
        <v>837305.5634470608</v>
      </c>
      <c r="X153" s="214">
        <f t="shared" si="35"/>
        <v>1671552.826108113</v>
      </c>
      <c r="Y153" s="215">
        <f t="shared" si="36"/>
        <v>212.85531976418093</v>
      </c>
      <c r="Z153" s="81"/>
      <c r="AA153" s="94">
        <f t="shared" si="37"/>
        <v>-894065.821115721</v>
      </c>
      <c r="AB153" s="153">
        <f t="shared" si="38"/>
        <v>-113.85022553364587</v>
      </c>
      <c r="AD153" s="216"/>
      <c r="AE153" s="224"/>
      <c r="AF153" s="224"/>
      <c r="AG153" s="224"/>
      <c r="AH153" s="225"/>
      <c r="AJ153" s="81">
        <f t="shared" si="39"/>
        <v>15217217.71095382</v>
      </c>
      <c r="AK153" s="81">
        <f t="shared" si="40"/>
        <v>637124.6657936303</v>
      </c>
      <c r="AL153" s="81">
        <f t="shared" si="41"/>
        <v>9820499.009810146</v>
      </c>
      <c r="AM153" s="81">
        <f t="shared" si="42"/>
        <v>26609106.818600107</v>
      </c>
      <c r="AN153" s="81">
        <f t="shared" si="43"/>
        <v>0</v>
      </c>
      <c r="AO153" s="81">
        <f t="shared" si="44"/>
        <v>0</v>
      </c>
      <c r="AP153" s="81">
        <f t="shared" si="45"/>
        <v>0</v>
      </c>
      <c r="AQ153" s="81">
        <f t="shared" si="46"/>
        <v>0</v>
      </c>
      <c r="AR153" s="81">
        <f t="shared" si="47"/>
        <v>0</v>
      </c>
      <c r="AS153" s="82">
        <v>2100</v>
      </c>
      <c r="AT153" s="82">
        <v>119</v>
      </c>
      <c r="AU153" s="82"/>
      <c r="AV153" s="82">
        <v>119</v>
      </c>
      <c r="AW153" s="82">
        <f>7963507.16890506*(0.001)</f>
        <v>7963.507168905065</v>
      </c>
      <c r="AX153" s="82">
        <v>-1743.6389370062918</v>
      </c>
      <c r="AY153" s="82">
        <v>3076.098966593623</v>
      </c>
      <c r="AZ153" s="408"/>
      <c r="BA153" s="81"/>
      <c r="BB153" s="81"/>
      <c r="BC153" s="81"/>
      <c r="BD153" s="81"/>
      <c r="BE153" s="81"/>
      <c r="BF153" s="81"/>
      <c r="BG153" s="81"/>
      <c r="BO153" s="114"/>
    </row>
    <row r="154" spans="1:67" ht="12.75">
      <c r="A154" s="81">
        <v>434</v>
      </c>
      <c r="B154" s="81" t="s">
        <v>276</v>
      </c>
      <c r="C154" s="81">
        <v>1</v>
      </c>
      <c r="D154" s="81">
        <v>14745</v>
      </c>
      <c r="E154" s="223">
        <v>41271990.82469129</v>
      </c>
      <c r="F154" s="81">
        <v>21246563.223909825</v>
      </c>
      <c r="G154" s="81">
        <v>8316561.053841949</v>
      </c>
      <c r="H154" s="81">
        <v>3118582.001203421</v>
      </c>
      <c r="I154" s="156">
        <v>6055959.964378567</v>
      </c>
      <c r="J154" s="156">
        <v>2302749.6614579055</v>
      </c>
      <c r="K154" s="81">
        <v>1063888.6860271522</v>
      </c>
      <c r="L154" s="81">
        <v>-1084397</v>
      </c>
      <c r="M154" s="82">
        <v>2024000</v>
      </c>
      <c r="N154" s="82">
        <v>168910.39623462738</v>
      </c>
      <c r="O154" s="214">
        <f t="shared" si="33"/>
        <v>1940827.1623621583</v>
      </c>
      <c r="P154" s="215">
        <f t="shared" si="34"/>
        <v>131.6261215572844</v>
      </c>
      <c r="Q154" s="81"/>
      <c r="R154" s="223">
        <v>98811592</v>
      </c>
      <c r="S154" s="156">
        <v>52299488.94600577</v>
      </c>
      <c r="T154" s="156">
        <v>4677873.001805132</v>
      </c>
      <c r="U154" s="156">
        <v>27342613.062189337</v>
      </c>
      <c r="V154" s="156">
        <v>7840120.413280816</v>
      </c>
      <c r="W154" s="156">
        <v>9256164.053841949</v>
      </c>
      <c r="X154" s="214">
        <f t="shared" si="35"/>
        <v>2604667.477123007</v>
      </c>
      <c r="Y154" s="215">
        <f t="shared" si="36"/>
        <v>176.64750607819647</v>
      </c>
      <c r="Z154" s="81"/>
      <c r="AA154" s="94">
        <f t="shared" si="37"/>
        <v>-663840.3147608489</v>
      </c>
      <c r="AB154" s="153">
        <f t="shared" si="38"/>
        <v>-45.0213845209121</v>
      </c>
      <c r="AD154" s="216"/>
      <c r="AE154" s="224"/>
      <c r="AF154" s="224"/>
      <c r="AG154" s="224"/>
      <c r="AH154" s="225"/>
      <c r="AJ154" s="81">
        <f t="shared" si="39"/>
        <v>31052925.722095944</v>
      </c>
      <c r="AK154" s="81">
        <f t="shared" si="40"/>
        <v>1559291.0006017112</v>
      </c>
      <c r="AL154" s="81">
        <f t="shared" si="41"/>
        <v>21286653.097810768</v>
      </c>
      <c r="AM154" s="81">
        <f t="shared" si="42"/>
        <v>57539601.17530871</v>
      </c>
      <c r="AN154" s="81">
        <f t="shared" si="43"/>
        <v>0</v>
      </c>
      <c r="AO154" s="81">
        <f t="shared" si="44"/>
        <v>0</v>
      </c>
      <c r="AP154" s="81">
        <f t="shared" si="45"/>
        <v>0</v>
      </c>
      <c r="AQ154" s="81">
        <f t="shared" si="46"/>
        <v>0</v>
      </c>
      <c r="AR154" s="81">
        <f t="shared" si="47"/>
        <v>0</v>
      </c>
      <c r="AS154" s="82">
        <v>7132</v>
      </c>
      <c r="AT154" s="82">
        <v>22</v>
      </c>
      <c r="AU154" s="82"/>
      <c r="AV154" s="82">
        <v>22</v>
      </c>
      <c r="AW154" s="82">
        <f>19855743.7153128*(0.001)</f>
        <v>19855.74371531278</v>
      </c>
      <c r="AX154" s="82">
        <v>-1483.1089290588054</v>
      </c>
      <c r="AY154" s="82">
        <v>5537.37075182291</v>
      </c>
      <c r="AZ154" s="408"/>
      <c r="BA154" s="81"/>
      <c r="BB154" s="81"/>
      <c r="BC154" s="81"/>
      <c r="BD154" s="81"/>
      <c r="BE154" s="81"/>
      <c r="BF154" s="81"/>
      <c r="BG154" s="81"/>
      <c r="BO154" s="114"/>
    </row>
    <row r="155" spans="1:67" ht="12.75">
      <c r="A155" s="81">
        <v>435</v>
      </c>
      <c r="B155" s="81" t="s">
        <v>277</v>
      </c>
      <c r="C155" s="81">
        <v>13</v>
      </c>
      <c r="D155" s="81">
        <v>699</v>
      </c>
      <c r="E155" s="100">
        <v>1918068.8170766234</v>
      </c>
      <c r="F155" s="81">
        <v>624801.8520769</v>
      </c>
      <c r="G155" s="81">
        <v>590341.8211435956</v>
      </c>
      <c r="H155" s="81">
        <v>233237.9075976076</v>
      </c>
      <c r="I155" s="156">
        <v>174084.9146974622</v>
      </c>
      <c r="J155" s="156">
        <v>139034.2352947396</v>
      </c>
      <c r="K155" s="81">
        <v>218169.8225338116</v>
      </c>
      <c r="L155" s="81">
        <v>-174753</v>
      </c>
      <c r="M155" s="82">
        <v>1750</v>
      </c>
      <c r="N155" s="82">
        <v>6635.050692095827</v>
      </c>
      <c r="O155" s="214">
        <f t="shared" si="33"/>
        <v>-104766.213040411</v>
      </c>
      <c r="P155" s="215">
        <f t="shared" si="34"/>
        <v>-149.8801331050229</v>
      </c>
      <c r="Q155" s="81"/>
      <c r="R155" s="223">
        <v>5097724</v>
      </c>
      <c r="S155" s="156">
        <v>1789239.1029899917</v>
      </c>
      <c r="T155" s="156">
        <v>349856.86139641143</v>
      </c>
      <c r="U155" s="156">
        <v>2263918.822718534</v>
      </c>
      <c r="V155" s="156">
        <v>470079.90442571644</v>
      </c>
      <c r="W155" s="156">
        <v>417338.8211435956</v>
      </c>
      <c r="X155" s="214">
        <f t="shared" si="35"/>
        <v>192709.5126742497</v>
      </c>
      <c r="Y155" s="215">
        <f t="shared" si="36"/>
        <v>275.69315117918416</v>
      </c>
      <c r="Z155" s="81"/>
      <c r="AA155" s="94">
        <f t="shared" si="37"/>
        <v>-297475.7257146607</v>
      </c>
      <c r="AB155" s="153">
        <f t="shared" si="38"/>
        <v>-425.57328428420703</v>
      </c>
      <c r="AD155" s="216"/>
      <c r="AE155" s="224"/>
      <c r="AF155" s="224"/>
      <c r="AG155" s="224"/>
      <c r="AH155" s="225"/>
      <c r="AJ155" s="81">
        <f t="shared" si="39"/>
        <v>1164437.2509130917</v>
      </c>
      <c r="AK155" s="81">
        <f t="shared" si="40"/>
        <v>116618.95379880382</v>
      </c>
      <c r="AL155" s="81">
        <f t="shared" si="41"/>
        <v>2089833.908021072</v>
      </c>
      <c r="AM155" s="81">
        <f t="shared" si="42"/>
        <v>3179655.1829233766</v>
      </c>
      <c r="AN155" s="81">
        <f t="shared" si="43"/>
        <v>0</v>
      </c>
      <c r="AO155" s="81">
        <f t="shared" si="44"/>
        <v>0</v>
      </c>
      <c r="AP155" s="81">
        <f t="shared" si="45"/>
        <v>0</v>
      </c>
      <c r="AQ155" s="81">
        <f t="shared" si="46"/>
        <v>0</v>
      </c>
      <c r="AR155" s="81">
        <f t="shared" si="47"/>
        <v>0</v>
      </c>
      <c r="AS155" s="82">
        <v>248</v>
      </c>
      <c r="AT155" s="82"/>
      <c r="AU155" s="82"/>
      <c r="AV155" s="82">
        <v>0</v>
      </c>
      <c r="AW155" s="82">
        <f>1719484.8737389*(0.001)</f>
        <v>1719.4848737388975</v>
      </c>
      <c r="AX155" s="82">
        <v>-218.64130387999643</v>
      </c>
      <c r="AY155" s="82">
        <v>331.0456691309768</v>
      </c>
      <c r="AZ155" s="408"/>
      <c r="BA155" s="81"/>
      <c r="BB155" s="81"/>
      <c r="BC155" s="81"/>
      <c r="BD155" s="81"/>
      <c r="BE155" s="81"/>
      <c r="BF155" s="81"/>
      <c r="BG155" s="81"/>
      <c r="BO155" s="114"/>
    </row>
    <row r="156" spans="1:67" ht="12.75">
      <c r="A156" s="81">
        <v>436</v>
      </c>
      <c r="B156" s="81" t="s">
        <v>278</v>
      </c>
      <c r="C156" s="81">
        <v>17</v>
      </c>
      <c r="D156" s="81">
        <v>2036</v>
      </c>
      <c r="E156" s="100">
        <v>6028631.217739971</v>
      </c>
      <c r="F156" s="81">
        <v>2508682.181421646</v>
      </c>
      <c r="G156" s="81">
        <v>297836.4567939787</v>
      </c>
      <c r="H156" s="81">
        <v>123377.92420460281</v>
      </c>
      <c r="I156" s="156">
        <v>3795086.5774631905</v>
      </c>
      <c r="J156" s="156">
        <v>290744.87891455065</v>
      </c>
      <c r="K156" s="81">
        <v>150343.34385725635</v>
      </c>
      <c r="L156" s="81">
        <v>-324770</v>
      </c>
      <c r="M156" s="82">
        <v>-28000</v>
      </c>
      <c r="N156" s="82">
        <v>17506.21896593819</v>
      </c>
      <c r="O156" s="214">
        <f t="shared" si="33"/>
        <v>802176.3638811922</v>
      </c>
      <c r="P156" s="215">
        <f t="shared" si="34"/>
        <v>393.9962494504873</v>
      </c>
      <c r="Q156" s="81"/>
      <c r="R156" s="223">
        <v>12427000</v>
      </c>
      <c r="S156" s="156">
        <v>5826990.06758401</v>
      </c>
      <c r="T156" s="156">
        <v>185066.88630690423</v>
      </c>
      <c r="U156" s="156">
        <v>6223168.907198774</v>
      </c>
      <c r="V156" s="156">
        <v>985427.5450090121</v>
      </c>
      <c r="W156" s="156">
        <v>-54933.543206021306</v>
      </c>
      <c r="X156" s="214">
        <f t="shared" si="35"/>
        <v>738719.8628926799</v>
      </c>
      <c r="Y156" s="215">
        <f t="shared" si="36"/>
        <v>362.8290092793123</v>
      </c>
      <c r="Z156" s="81"/>
      <c r="AA156" s="94">
        <f t="shared" si="37"/>
        <v>63456.5009885123</v>
      </c>
      <c r="AB156" s="153">
        <f t="shared" si="38"/>
        <v>31.167240171175</v>
      </c>
      <c r="AD156" s="216"/>
      <c r="AE156" s="224"/>
      <c r="AF156" s="224"/>
      <c r="AG156" s="224"/>
      <c r="AH156" s="225"/>
      <c r="AJ156" s="81">
        <f t="shared" si="39"/>
        <v>3318307.886162364</v>
      </c>
      <c r="AK156" s="81">
        <f t="shared" si="40"/>
        <v>61688.96210230142</v>
      </c>
      <c r="AL156" s="81">
        <f t="shared" si="41"/>
        <v>2428082.329735583</v>
      </c>
      <c r="AM156" s="81">
        <f t="shared" si="42"/>
        <v>6398368.782260029</v>
      </c>
      <c r="AN156" s="81">
        <f t="shared" si="43"/>
        <v>0</v>
      </c>
      <c r="AO156" s="81">
        <f t="shared" si="44"/>
        <v>0</v>
      </c>
      <c r="AP156" s="81">
        <f t="shared" si="45"/>
        <v>0</v>
      </c>
      <c r="AQ156" s="81">
        <f t="shared" si="46"/>
        <v>0</v>
      </c>
      <c r="AR156" s="81">
        <f t="shared" si="47"/>
        <v>0</v>
      </c>
      <c r="AS156" s="82">
        <v>577</v>
      </c>
      <c r="AT156" s="82"/>
      <c r="AU156" s="82">
        <v>5</v>
      </c>
      <c r="AV156" s="82">
        <v>5</v>
      </c>
      <c r="AW156" s="82">
        <f>1567009.31782717*(0.001)</f>
        <v>1567.0093178271745</v>
      </c>
      <c r="AX156" s="82">
        <v>-1025.69469779125</v>
      </c>
      <c r="AY156" s="82">
        <v>694.6826660944614</v>
      </c>
      <c r="AZ156" s="408"/>
      <c r="BA156" s="81"/>
      <c r="BB156" s="81"/>
      <c r="BC156" s="81"/>
      <c r="BD156" s="81"/>
      <c r="BE156" s="81"/>
      <c r="BF156" s="81"/>
      <c r="BG156" s="81"/>
      <c r="BO156" s="114"/>
    </row>
    <row r="157" spans="1:67" ht="12.75">
      <c r="A157" s="81">
        <v>440</v>
      </c>
      <c r="B157" s="81" t="s">
        <v>279</v>
      </c>
      <c r="C157" s="81">
        <v>15</v>
      </c>
      <c r="D157" s="81">
        <v>5534</v>
      </c>
      <c r="E157" s="100">
        <v>17129573.285833173</v>
      </c>
      <c r="F157" s="81">
        <v>6409734.282684606</v>
      </c>
      <c r="G157" s="81">
        <v>1351042.2845486377</v>
      </c>
      <c r="H157" s="81">
        <v>299277.0025155709</v>
      </c>
      <c r="I157" s="156">
        <v>12408482.536849203</v>
      </c>
      <c r="J157" s="156">
        <v>698478.0581582473</v>
      </c>
      <c r="K157" s="81">
        <v>-928259.3998995348</v>
      </c>
      <c r="L157" s="81">
        <v>-1313604</v>
      </c>
      <c r="M157" s="82">
        <v>325000</v>
      </c>
      <c r="N157" s="82">
        <v>50373.17975145987</v>
      </c>
      <c r="O157" s="214">
        <f t="shared" si="33"/>
        <v>2170950.6587750167</v>
      </c>
      <c r="P157" s="215">
        <f t="shared" si="34"/>
        <v>392.2932162585863</v>
      </c>
      <c r="Q157" s="81"/>
      <c r="R157" s="223">
        <v>33885500.41</v>
      </c>
      <c r="S157" s="156">
        <v>15985850.333468048</v>
      </c>
      <c r="T157" s="156">
        <v>448915.5037733564</v>
      </c>
      <c r="U157" s="156">
        <v>15740059.298044385</v>
      </c>
      <c r="V157" s="156">
        <v>2372874.9883345594</v>
      </c>
      <c r="W157" s="156">
        <v>362438.2845486377</v>
      </c>
      <c r="X157" s="214">
        <f t="shared" si="35"/>
        <v>1024637.99816899</v>
      </c>
      <c r="Y157" s="215">
        <f t="shared" si="36"/>
        <v>185.15323421918865</v>
      </c>
      <c r="Z157" s="81"/>
      <c r="AA157" s="94">
        <f t="shared" si="37"/>
        <v>1146312.6606060266</v>
      </c>
      <c r="AB157" s="153">
        <f t="shared" si="38"/>
        <v>207.13998203939767</v>
      </c>
      <c r="AD157" s="216"/>
      <c r="AE157" s="224"/>
      <c r="AF157" s="224"/>
      <c r="AG157" s="224"/>
      <c r="AH157" s="225"/>
      <c r="AJ157" s="81">
        <f t="shared" si="39"/>
        <v>9576116.050783442</v>
      </c>
      <c r="AK157" s="81">
        <f t="shared" si="40"/>
        <v>149638.50125778548</v>
      </c>
      <c r="AL157" s="81">
        <f t="shared" si="41"/>
        <v>3331576.761195183</v>
      </c>
      <c r="AM157" s="81">
        <f t="shared" si="42"/>
        <v>16755927.124166824</v>
      </c>
      <c r="AN157" s="81">
        <f t="shared" si="43"/>
        <v>0</v>
      </c>
      <c r="AO157" s="81">
        <f t="shared" si="44"/>
        <v>0</v>
      </c>
      <c r="AP157" s="81">
        <f t="shared" si="45"/>
        <v>0</v>
      </c>
      <c r="AQ157" s="81">
        <f t="shared" si="46"/>
        <v>0</v>
      </c>
      <c r="AR157" s="81">
        <f t="shared" si="47"/>
        <v>0</v>
      </c>
      <c r="AS157" s="82">
        <v>1670</v>
      </c>
      <c r="AT157" s="82"/>
      <c r="AU157" s="82">
        <v>17</v>
      </c>
      <c r="AV157" s="82">
        <v>17</v>
      </c>
      <c r="AW157" s="82">
        <f>1494843.46283877*(0.001)</f>
        <v>1494.8434628387672</v>
      </c>
      <c r="AX157" s="82">
        <v>-2366.7512624026226</v>
      </c>
      <c r="AY157" s="82">
        <v>1674.396930176312</v>
      </c>
      <c r="AZ157" s="408"/>
      <c r="BA157" s="81"/>
      <c r="BB157" s="81"/>
      <c r="BC157" s="81"/>
      <c r="BD157" s="81"/>
      <c r="BE157" s="81"/>
      <c r="BF157" s="81"/>
      <c r="BG157" s="81"/>
      <c r="BO157" s="114"/>
    </row>
    <row r="158" spans="1:67" ht="12.75">
      <c r="A158" s="81">
        <v>441</v>
      </c>
      <c r="B158" s="81" t="s">
        <v>280</v>
      </c>
      <c r="C158" s="81">
        <v>9</v>
      </c>
      <c r="D158" s="81">
        <v>4543</v>
      </c>
      <c r="E158" s="100">
        <v>11207349.964690559</v>
      </c>
      <c r="F158" s="81">
        <v>6439789.948378257</v>
      </c>
      <c r="G158" s="81">
        <v>1608913.0657269107</v>
      </c>
      <c r="H158" s="81">
        <v>1297247.2921742497</v>
      </c>
      <c r="I158" s="156">
        <v>1024585.366789962</v>
      </c>
      <c r="J158" s="156">
        <v>825037.3073823636</v>
      </c>
      <c r="K158" s="81">
        <v>-278201.14604651387</v>
      </c>
      <c r="L158" s="81">
        <v>-563926</v>
      </c>
      <c r="M158" s="82">
        <v>512100</v>
      </c>
      <c r="N158" s="82">
        <v>50843.948097388944</v>
      </c>
      <c r="O158" s="214">
        <f t="shared" si="33"/>
        <v>-290960.1821879409</v>
      </c>
      <c r="P158" s="215">
        <f t="shared" si="34"/>
        <v>-64.04582482675345</v>
      </c>
      <c r="Q158" s="81"/>
      <c r="R158" s="223">
        <v>33238250</v>
      </c>
      <c r="S158" s="156">
        <v>15607814.01227806</v>
      </c>
      <c r="T158" s="156">
        <v>1945870.9382613746</v>
      </c>
      <c r="U158" s="156">
        <v>11117698.838754037</v>
      </c>
      <c r="V158" s="156">
        <v>2795178.53898225</v>
      </c>
      <c r="W158" s="156">
        <v>1557087.0657269107</v>
      </c>
      <c r="X158" s="214">
        <f t="shared" si="35"/>
        <v>-214600.6059973687</v>
      </c>
      <c r="Y158" s="215">
        <f t="shared" si="36"/>
        <v>-47.2376416459099</v>
      </c>
      <c r="Z158" s="81"/>
      <c r="AA158" s="94">
        <f t="shared" si="37"/>
        <v>-76359.57619057223</v>
      </c>
      <c r="AB158" s="153">
        <f t="shared" si="38"/>
        <v>-16.808183180843546</v>
      </c>
      <c r="AD158" s="216"/>
      <c r="AE158" s="224"/>
      <c r="AF158" s="224"/>
      <c r="AG158" s="224"/>
      <c r="AH158" s="225"/>
      <c r="AJ158" s="81">
        <f t="shared" si="39"/>
        <v>9168024.063899802</v>
      </c>
      <c r="AK158" s="81">
        <f t="shared" si="40"/>
        <v>648623.646087125</v>
      </c>
      <c r="AL158" s="81">
        <f t="shared" si="41"/>
        <v>10093113.471964076</v>
      </c>
      <c r="AM158" s="81">
        <f t="shared" si="42"/>
        <v>22030900.03530944</v>
      </c>
      <c r="AN158" s="81">
        <f t="shared" si="43"/>
        <v>0</v>
      </c>
      <c r="AO158" s="81">
        <f t="shared" si="44"/>
        <v>0</v>
      </c>
      <c r="AP158" s="81">
        <f t="shared" si="45"/>
        <v>0</v>
      </c>
      <c r="AQ158" s="81">
        <f t="shared" si="46"/>
        <v>0</v>
      </c>
      <c r="AR158" s="81">
        <f t="shared" si="47"/>
        <v>0</v>
      </c>
      <c r="AS158" s="82">
        <v>2201</v>
      </c>
      <c r="AT158" s="82"/>
      <c r="AU158" s="82">
        <v>17</v>
      </c>
      <c r="AV158" s="82">
        <v>17</v>
      </c>
      <c r="AW158" s="82">
        <f>8837705.03675502*(0.001)</f>
        <v>8837.70503675502</v>
      </c>
      <c r="AX158" s="82">
        <v>-995.6706036053145</v>
      </c>
      <c r="AY158" s="82">
        <v>1970.1412315998862</v>
      </c>
      <c r="AZ158" s="408"/>
      <c r="BA158" s="81"/>
      <c r="BB158" s="81"/>
      <c r="BC158" s="81"/>
      <c r="BD158" s="81"/>
      <c r="BE158" s="81"/>
      <c r="BF158" s="81"/>
      <c r="BG158" s="81"/>
      <c r="BO158" s="114"/>
    </row>
    <row r="159" spans="1:67" ht="12.75">
      <c r="A159" s="81">
        <v>444</v>
      </c>
      <c r="B159" s="81" t="s">
        <v>273</v>
      </c>
      <c r="C159" s="81">
        <v>1</v>
      </c>
      <c r="D159" s="81">
        <v>45886</v>
      </c>
      <c r="E159" s="100">
        <v>115598128.13598895</v>
      </c>
      <c r="F159" s="81">
        <v>76377990.72783685</v>
      </c>
      <c r="G159" s="81">
        <v>14019052.190454805</v>
      </c>
      <c r="H159" s="81">
        <v>6162617.591568806</v>
      </c>
      <c r="I159" s="156">
        <v>18898584.250639156</v>
      </c>
      <c r="J159" s="156">
        <v>6240548.378263166</v>
      </c>
      <c r="K159" s="81">
        <v>1543157.2270807899</v>
      </c>
      <c r="L159" s="81">
        <v>-1397369</v>
      </c>
      <c r="M159" s="82">
        <v>-226000</v>
      </c>
      <c r="N159" s="82">
        <v>590998.2444447624</v>
      </c>
      <c r="O159" s="214">
        <f t="shared" si="33"/>
        <v>6611451.474299371</v>
      </c>
      <c r="P159" s="215">
        <f t="shared" si="34"/>
        <v>144.08428440699498</v>
      </c>
      <c r="Q159" s="81"/>
      <c r="R159" s="223">
        <v>284818894</v>
      </c>
      <c r="S159" s="156">
        <v>187403115.04818782</v>
      </c>
      <c r="T159" s="156">
        <v>9243926.38735321</v>
      </c>
      <c r="U159" s="156">
        <v>64945895.50353673</v>
      </c>
      <c r="V159" s="156">
        <v>21335935.975766078</v>
      </c>
      <c r="W159" s="156">
        <v>12395683.190454805</v>
      </c>
      <c r="X159" s="214">
        <f t="shared" si="35"/>
        <v>10505662.105298638</v>
      </c>
      <c r="Y159" s="215">
        <f t="shared" si="36"/>
        <v>228.95136000738</v>
      </c>
      <c r="Z159" s="81"/>
      <c r="AA159" s="94">
        <f t="shared" si="37"/>
        <v>-3894210.630999267</v>
      </c>
      <c r="AB159" s="153">
        <f t="shared" si="38"/>
        <v>-84.86707560038502</v>
      </c>
      <c r="AD159" s="216"/>
      <c r="AE159" s="224"/>
      <c r="AF159" s="224"/>
      <c r="AG159" s="224"/>
      <c r="AH159" s="225"/>
      <c r="AJ159" s="81">
        <f t="shared" si="39"/>
        <v>111025124.32035097</v>
      </c>
      <c r="AK159" s="81">
        <f t="shared" si="40"/>
        <v>3081308.7957844036</v>
      </c>
      <c r="AL159" s="81">
        <f t="shared" si="41"/>
        <v>46047311.252897575</v>
      </c>
      <c r="AM159" s="81">
        <f t="shared" si="42"/>
        <v>169220765.86401105</v>
      </c>
      <c r="AN159" s="81">
        <f t="shared" si="43"/>
        <v>0</v>
      </c>
      <c r="AO159" s="81">
        <f t="shared" si="44"/>
        <v>0</v>
      </c>
      <c r="AP159" s="81">
        <f t="shared" si="45"/>
        <v>0</v>
      </c>
      <c r="AQ159" s="81">
        <f t="shared" si="46"/>
        <v>0</v>
      </c>
      <c r="AR159" s="81">
        <f t="shared" si="47"/>
        <v>0</v>
      </c>
      <c r="AS159" s="82">
        <v>15919</v>
      </c>
      <c r="AT159" s="82">
        <v>440</v>
      </c>
      <c r="AU159" s="82"/>
      <c r="AV159" s="82">
        <v>440</v>
      </c>
      <c r="AW159" s="82">
        <f>47069501.494132*(0.001)</f>
        <v>47069.50149413202</v>
      </c>
      <c r="AX159" s="82">
        <v>3866.527935365957</v>
      </c>
      <c r="AY159" s="82">
        <v>15095.387597502911</v>
      </c>
      <c r="AZ159" s="408"/>
      <c r="BA159" s="81"/>
      <c r="BB159" s="81"/>
      <c r="BC159" s="81"/>
      <c r="BD159" s="81"/>
      <c r="BE159" s="81"/>
      <c r="BF159" s="81"/>
      <c r="BG159" s="81"/>
      <c r="BO159" s="114"/>
    </row>
    <row r="160" spans="1:67" ht="12.75">
      <c r="A160" s="81">
        <v>445</v>
      </c>
      <c r="B160" s="81" t="s">
        <v>130</v>
      </c>
      <c r="C160" s="81">
        <v>2</v>
      </c>
      <c r="D160" s="81">
        <v>15105</v>
      </c>
      <c r="E160" s="100">
        <v>41363874.95818657</v>
      </c>
      <c r="F160" s="81">
        <v>24584349.75780249</v>
      </c>
      <c r="G160" s="81">
        <v>9654634.451626228</v>
      </c>
      <c r="H160" s="81">
        <v>1765631.4352963169</v>
      </c>
      <c r="I160" s="156">
        <v>12006278.886584586</v>
      </c>
      <c r="J160" s="156">
        <v>1975520.7882978497</v>
      </c>
      <c r="K160" s="81">
        <v>-3638510.8923792094</v>
      </c>
      <c r="L160" s="81">
        <v>-482439</v>
      </c>
      <c r="M160" s="82">
        <v>-830000</v>
      </c>
      <c r="N160" s="82">
        <v>188202.07262739184</v>
      </c>
      <c r="O160" s="214">
        <f t="shared" si="33"/>
        <v>3859792.5416690856</v>
      </c>
      <c r="P160" s="215">
        <f t="shared" si="34"/>
        <v>255.53078726706954</v>
      </c>
      <c r="Q160" s="81"/>
      <c r="R160" s="223">
        <v>103058109</v>
      </c>
      <c r="S160" s="156">
        <v>60038473.133351095</v>
      </c>
      <c r="T160" s="156">
        <v>2648447.1529444754</v>
      </c>
      <c r="U160" s="156">
        <v>28770058.894470263</v>
      </c>
      <c r="V160" s="156">
        <v>6774219.739184462</v>
      </c>
      <c r="W160" s="156">
        <v>8342195.451626228</v>
      </c>
      <c r="X160" s="214">
        <f t="shared" si="35"/>
        <v>3515285.371576518</v>
      </c>
      <c r="Y160" s="215">
        <f t="shared" si="36"/>
        <v>232.72329503982243</v>
      </c>
      <c r="Z160" s="81"/>
      <c r="AA160" s="94">
        <f t="shared" si="37"/>
        <v>344507.1700925678</v>
      </c>
      <c r="AB160" s="153">
        <f t="shared" si="38"/>
        <v>22.807492227247124</v>
      </c>
      <c r="AD160" s="216"/>
      <c r="AE160" s="224"/>
      <c r="AF160" s="224"/>
      <c r="AG160" s="224"/>
      <c r="AH160" s="225"/>
      <c r="AJ160" s="81">
        <f t="shared" si="39"/>
        <v>35454123.3755486</v>
      </c>
      <c r="AK160" s="81">
        <f t="shared" si="40"/>
        <v>882815.7176481585</v>
      </c>
      <c r="AL160" s="81">
        <f t="shared" si="41"/>
        <v>16763780.007885678</v>
      </c>
      <c r="AM160" s="81">
        <f t="shared" si="42"/>
        <v>61694234.04181343</v>
      </c>
      <c r="AN160" s="81">
        <f t="shared" si="43"/>
        <v>0</v>
      </c>
      <c r="AO160" s="81">
        <f t="shared" si="44"/>
        <v>0</v>
      </c>
      <c r="AP160" s="81">
        <f t="shared" si="45"/>
        <v>0</v>
      </c>
      <c r="AQ160" s="81">
        <f t="shared" si="46"/>
        <v>0</v>
      </c>
      <c r="AR160" s="81">
        <f t="shared" si="47"/>
        <v>0</v>
      </c>
      <c r="AS160" s="82">
        <v>4997</v>
      </c>
      <c r="AT160" s="82">
        <v>467</v>
      </c>
      <c r="AU160" s="82">
        <v>79</v>
      </c>
      <c r="AV160" s="82">
        <v>546</v>
      </c>
      <c r="AW160" s="82">
        <f>15727665.8049158*(0.001)</f>
        <v>15727.665804915809</v>
      </c>
      <c r="AX160" s="82">
        <v>1038.1062658061587</v>
      </c>
      <c r="AY160" s="82">
        <v>4798.698950886613</v>
      </c>
      <c r="AZ160" s="408"/>
      <c r="BA160" s="81"/>
      <c r="BB160" s="81"/>
      <c r="BC160" s="81"/>
      <c r="BD160" s="81"/>
      <c r="BE160" s="81"/>
      <c r="BF160" s="81"/>
      <c r="BG160" s="81"/>
      <c r="BO160" s="114"/>
    </row>
    <row r="161" spans="1:67" ht="12.75">
      <c r="A161" s="81">
        <v>475</v>
      </c>
      <c r="B161" s="81" t="s">
        <v>282</v>
      </c>
      <c r="C161" s="81">
        <v>15</v>
      </c>
      <c r="D161" s="81">
        <v>5451</v>
      </c>
      <c r="E161" s="100">
        <v>15754115.668040738</v>
      </c>
      <c r="F161" s="81">
        <v>8297687.526325982</v>
      </c>
      <c r="G161" s="81">
        <v>1612468.9922720308</v>
      </c>
      <c r="H161" s="81">
        <v>848662.8097433947</v>
      </c>
      <c r="I161" s="156">
        <v>6686826.00783909</v>
      </c>
      <c r="J161" s="156">
        <v>1025580.7399374796</v>
      </c>
      <c r="K161" s="81">
        <v>-796729.2932127677</v>
      </c>
      <c r="L161" s="81">
        <v>-202568</v>
      </c>
      <c r="M161" s="82">
        <v>-70000</v>
      </c>
      <c r="N161" s="82">
        <v>54488.76945304863</v>
      </c>
      <c r="O161" s="214">
        <f t="shared" si="33"/>
        <v>1702301.884317521</v>
      </c>
      <c r="P161" s="215">
        <f t="shared" si="34"/>
        <v>312.2916683759899</v>
      </c>
      <c r="Q161" s="81"/>
      <c r="R161" s="223">
        <v>39360000</v>
      </c>
      <c r="S161" s="156">
        <v>18393724.304639194</v>
      </c>
      <c r="T161" s="156">
        <v>1272994.2146150921</v>
      </c>
      <c r="U161" s="156">
        <v>15913135.267684428</v>
      </c>
      <c r="V161" s="156">
        <v>3473302.815857794</v>
      </c>
      <c r="W161" s="156">
        <v>1339900.9922720308</v>
      </c>
      <c r="X161" s="214">
        <f t="shared" si="35"/>
        <v>1033057.5950685441</v>
      </c>
      <c r="Y161" s="215">
        <f t="shared" si="36"/>
        <v>189.5170785302778</v>
      </c>
      <c r="Z161" s="81"/>
      <c r="AA161" s="94">
        <f t="shared" si="37"/>
        <v>669244.2892489769</v>
      </c>
      <c r="AB161" s="153">
        <f t="shared" si="38"/>
        <v>122.77458984571214</v>
      </c>
      <c r="AD161" s="216"/>
      <c r="AE161" s="224"/>
      <c r="AF161" s="224"/>
      <c r="AG161" s="224"/>
      <c r="AH161" s="225"/>
      <c r="AJ161" s="81">
        <f t="shared" si="39"/>
        <v>10096036.778313212</v>
      </c>
      <c r="AK161" s="81">
        <f t="shared" si="40"/>
        <v>424331.4048716974</v>
      </c>
      <c r="AL161" s="81">
        <f t="shared" si="41"/>
        <v>9226309.259845339</v>
      </c>
      <c r="AM161" s="81">
        <f t="shared" si="42"/>
        <v>23605884.331959262</v>
      </c>
      <c r="AN161" s="81">
        <f t="shared" si="43"/>
        <v>0</v>
      </c>
      <c r="AO161" s="81">
        <f t="shared" si="44"/>
        <v>0</v>
      </c>
      <c r="AP161" s="81">
        <f t="shared" si="45"/>
        <v>0</v>
      </c>
      <c r="AQ161" s="81">
        <f t="shared" si="46"/>
        <v>0</v>
      </c>
      <c r="AR161" s="81">
        <f t="shared" si="47"/>
        <v>0</v>
      </c>
      <c r="AS161" s="82">
        <v>1989</v>
      </c>
      <c r="AT161" s="82">
        <v>61</v>
      </c>
      <c r="AU161" s="82"/>
      <c r="AV161" s="82">
        <v>61</v>
      </c>
      <c r="AW161" s="82">
        <f>7735114.13440087*(0.001)</f>
        <v>7735.114134400867</v>
      </c>
      <c r="AX161" s="82">
        <v>-1631.793286972881</v>
      </c>
      <c r="AY161" s="82">
        <v>2447.7220759203146</v>
      </c>
      <c r="AZ161" s="408"/>
      <c r="BA161" s="81"/>
      <c r="BB161" s="81"/>
      <c r="BC161" s="81"/>
      <c r="BD161" s="81"/>
      <c r="BE161" s="81"/>
      <c r="BF161" s="81"/>
      <c r="BG161" s="81"/>
      <c r="BO161" s="114"/>
    </row>
    <row r="162" spans="1:67" ht="12.75">
      <c r="A162" s="81">
        <v>480</v>
      </c>
      <c r="B162" s="81" t="s">
        <v>283</v>
      </c>
      <c r="C162" s="81">
        <v>2</v>
      </c>
      <c r="D162" s="81">
        <v>1999</v>
      </c>
      <c r="E162" s="100">
        <v>5481455.620316111</v>
      </c>
      <c r="F162" s="81">
        <v>2963107.011849266</v>
      </c>
      <c r="G162" s="81">
        <v>373119.1895348207</v>
      </c>
      <c r="H162" s="81">
        <v>227232.6006516503</v>
      </c>
      <c r="I162" s="156">
        <v>1287528.110723864</v>
      </c>
      <c r="J162" s="156">
        <v>371195.7453643803</v>
      </c>
      <c r="K162" s="81">
        <v>664308.050688745</v>
      </c>
      <c r="L162" s="81">
        <v>-504192</v>
      </c>
      <c r="M162" s="82">
        <v>-9100</v>
      </c>
      <c r="N162" s="82">
        <v>21689.32457023197</v>
      </c>
      <c r="O162" s="214">
        <f t="shared" si="33"/>
        <v>-86567.58693315275</v>
      </c>
      <c r="P162" s="215">
        <f t="shared" si="34"/>
        <v>-43.30544618967121</v>
      </c>
      <c r="Q162" s="81"/>
      <c r="R162" s="223">
        <v>12435000</v>
      </c>
      <c r="S162" s="156">
        <v>7037136.760679584</v>
      </c>
      <c r="T162" s="156">
        <v>340848.90097747545</v>
      </c>
      <c r="U162" s="156">
        <v>4197738.596701785</v>
      </c>
      <c r="V162" s="156">
        <v>1255860.8091285857</v>
      </c>
      <c r="W162" s="156">
        <v>-140172.81046517933</v>
      </c>
      <c r="X162" s="214">
        <f t="shared" si="35"/>
        <v>256412.25702225044</v>
      </c>
      <c r="Y162" s="215">
        <f t="shared" si="36"/>
        <v>128.2702636429467</v>
      </c>
      <c r="Z162" s="81"/>
      <c r="AA162" s="94">
        <f t="shared" si="37"/>
        <v>-342979.8439554032</v>
      </c>
      <c r="AB162" s="153">
        <f t="shared" si="38"/>
        <v>-171.57570983261792</v>
      </c>
      <c r="AD162" s="216"/>
      <c r="AE162" s="224"/>
      <c r="AF162" s="224"/>
      <c r="AG162" s="224"/>
      <c r="AH162" s="225"/>
      <c r="AJ162" s="81">
        <f t="shared" si="39"/>
        <v>4074029.748830318</v>
      </c>
      <c r="AK162" s="81">
        <f t="shared" si="40"/>
        <v>113616.30032582514</v>
      </c>
      <c r="AL162" s="81">
        <f t="shared" si="41"/>
        <v>2910210.4859779207</v>
      </c>
      <c r="AM162" s="81">
        <f t="shared" si="42"/>
        <v>6953544.379683889</v>
      </c>
      <c r="AN162" s="81">
        <f t="shared" si="43"/>
        <v>0</v>
      </c>
      <c r="AO162" s="81">
        <f t="shared" si="44"/>
        <v>0</v>
      </c>
      <c r="AP162" s="81">
        <f t="shared" si="45"/>
        <v>0</v>
      </c>
      <c r="AQ162" s="81">
        <f t="shared" si="46"/>
        <v>0</v>
      </c>
      <c r="AR162" s="81">
        <f t="shared" si="47"/>
        <v>0</v>
      </c>
      <c r="AS162" s="82">
        <v>442</v>
      </c>
      <c r="AT162" s="82">
        <v>66</v>
      </c>
      <c r="AU162" s="82"/>
      <c r="AV162" s="82">
        <v>66</v>
      </c>
      <c r="AW162" s="82">
        <f>2468027.84252819*(0.001)</f>
        <v>2468.0278425281895</v>
      </c>
      <c r="AX162" s="82">
        <v>-542.9941072013595</v>
      </c>
      <c r="AY162" s="82">
        <v>884.6650637642055</v>
      </c>
      <c r="AZ162" s="408"/>
      <c r="BA162" s="81"/>
      <c r="BB162" s="81"/>
      <c r="BC162" s="81"/>
      <c r="BD162" s="81"/>
      <c r="BE162" s="81"/>
      <c r="BF162" s="81"/>
      <c r="BG162" s="81"/>
      <c r="BO162" s="114"/>
    </row>
    <row r="163" spans="1:67" ht="12.75">
      <c r="A163" s="81">
        <v>481</v>
      </c>
      <c r="B163" s="81" t="s">
        <v>284</v>
      </c>
      <c r="C163" s="81">
        <v>2</v>
      </c>
      <c r="D163" s="81">
        <v>9543</v>
      </c>
      <c r="E163" s="100">
        <v>25942255.77751785</v>
      </c>
      <c r="F163" s="81">
        <v>17327817.81656076</v>
      </c>
      <c r="G163" s="81">
        <v>1990349.8371072833</v>
      </c>
      <c r="H163" s="81">
        <v>1238758.3154124424</v>
      </c>
      <c r="I163" s="156">
        <v>6308215.81976856</v>
      </c>
      <c r="J163" s="156">
        <v>1123149.2513867216</v>
      </c>
      <c r="K163" s="81">
        <v>625295.6681288338</v>
      </c>
      <c r="L163" s="81">
        <v>-2344815</v>
      </c>
      <c r="M163" s="82">
        <v>28500</v>
      </c>
      <c r="N163" s="82">
        <v>130291.6522943023</v>
      </c>
      <c r="O163" s="214">
        <f t="shared" si="33"/>
        <v>485307.58314105123</v>
      </c>
      <c r="P163" s="215">
        <f t="shared" si="34"/>
        <v>50.85482375993411</v>
      </c>
      <c r="Q163" s="81"/>
      <c r="R163" s="223">
        <v>54284332</v>
      </c>
      <c r="S163" s="156">
        <v>41864377.526453204</v>
      </c>
      <c r="T163" s="156">
        <v>1858137.4731186638</v>
      </c>
      <c r="U163" s="156">
        <v>7884205.655891443</v>
      </c>
      <c r="V163" s="156">
        <v>3856306.0158528322</v>
      </c>
      <c r="W163" s="156">
        <v>-325965.1628927167</v>
      </c>
      <c r="X163" s="214">
        <f t="shared" si="35"/>
        <v>852729.5084234253</v>
      </c>
      <c r="Y163" s="215">
        <f t="shared" si="36"/>
        <v>89.35654494639267</v>
      </c>
      <c r="Z163" s="81"/>
      <c r="AA163" s="94">
        <f t="shared" si="37"/>
        <v>-367421.925282374</v>
      </c>
      <c r="AB163" s="153">
        <f t="shared" si="38"/>
        <v>-38.50172118645856</v>
      </c>
      <c r="AD163" s="216"/>
      <c r="AE163" s="224"/>
      <c r="AF163" s="224"/>
      <c r="AG163" s="224"/>
      <c r="AH163" s="225"/>
      <c r="AJ163" s="81">
        <f t="shared" si="39"/>
        <v>24536559.709892444</v>
      </c>
      <c r="AK163" s="81">
        <f t="shared" si="40"/>
        <v>619379.1577062213</v>
      </c>
      <c r="AL163" s="81">
        <f t="shared" si="41"/>
        <v>1575989.8361228826</v>
      </c>
      <c r="AM163" s="81">
        <f t="shared" si="42"/>
        <v>28342076.22248215</v>
      </c>
      <c r="AN163" s="81">
        <f t="shared" si="43"/>
        <v>0</v>
      </c>
      <c r="AO163" s="81">
        <f t="shared" si="44"/>
        <v>0</v>
      </c>
      <c r="AP163" s="81">
        <f t="shared" si="45"/>
        <v>0</v>
      </c>
      <c r="AQ163" s="81">
        <f t="shared" si="46"/>
        <v>0</v>
      </c>
      <c r="AR163" s="81">
        <f t="shared" si="47"/>
        <v>0</v>
      </c>
      <c r="AS163" s="82">
        <v>2341</v>
      </c>
      <c r="AT163" s="82">
        <v>19</v>
      </c>
      <c r="AU163" s="82">
        <v>6</v>
      </c>
      <c r="AV163" s="82">
        <v>25</v>
      </c>
      <c r="AW163" s="82">
        <f>2913952.65135555*(0.001)</f>
        <v>2913.9526513555497</v>
      </c>
      <c r="AX163" s="82">
        <v>1284.1324520244148</v>
      </c>
      <c r="AY163" s="82">
        <v>2733.1567644661104</v>
      </c>
      <c r="AZ163" s="408"/>
      <c r="BA163" s="81"/>
      <c r="BB163" s="81"/>
      <c r="BC163" s="81"/>
      <c r="BD163" s="81"/>
      <c r="BE163" s="81"/>
      <c r="BF163" s="81"/>
      <c r="BG163" s="81"/>
      <c r="BO163" s="114"/>
    </row>
    <row r="164" spans="1:67" ht="12.75">
      <c r="A164" s="81">
        <v>483</v>
      </c>
      <c r="B164" s="81" t="s">
        <v>285</v>
      </c>
      <c r="C164" s="81">
        <v>17</v>
      </c>
      <c r="D164" s="81">
        <v>1078</v>
      </c>
      <c r="E164" s="100">
        <v>3714174.070651491</v>
      </c>
      <c r="F164" s="81">
        <v>1252876.864621701</v>
      </c>
      <c r="G164" s="81">
        <v>322123.7892473585</v>
      </c>
      <c r="H164" s="81">
        <v>106932.298501057</v>
      </c>
      <c r="I164" s="156">
        <v>2109735.735037954</v>
      </c>
      <c r="J164" s="156">
        <v>212972.15075146157</v>
      </c>
      <c r="K164" s="81">
        <v>-84194.14971330804</v>
      </c>
      <c r="L164" s="81">
        <v>-276472</v>
      </c>
      <c r="M164" s="82">
        <v>109700</v>
      </c>
      <c r="N164" s="82">
        <v>6979.551268022186</v>
      </c>
      <c r="O164" s="214">
        <f t="shared" si="33"/>
        <v>46480.16906275507</v>
      </c>
      <c r="P164" s="215">
        <f t="shared" si="34"/>
        <v>43.117039946897094</v>
      </c>
      <c r="Q164" s="81"/>
      <c r="R164" s="223">
        <v>7915480</v>
      </c>
      <c r="S164" s="156">
        <v>2546981.0464699278</v>
      </c>
      <c r="T164" s="156">
        <v>160398.4477515855</v>
      </c>
      <c r="U164" s="156">
        <v>4173718.0199053483</v>
      </c>
      <c r="V164" s="156">
        <v>717288.8120479735</v>
      </c>
      <c r="W164" s="156">
        <v>155351.7892473585</v>
      </c>
      <c r="X164" s="214">
        <f t="shared" si="35"/>
        <v>-161741.8845778061</v>
      </c>
      <c r="Y164" s="215">
        <f t="shared" si="36"/>
        <v>-150.03885396828025</v>
      </c>
      <c r="Z164" s="81"/>
      <c r="AA164" s="94">
        <f t="shared" si="37"/>
        <v>208222.05364056118</v>
      </c>
      <c r="AB164" s="153">
        <f t="shared" si="38"/>
        <v>193.15589391517736</v>
      </c>
      <c r="AD164" s="216"/>
      <c r="AE164" s="224"/>
      <c r="AF164" s="224"/>
      <c r="AG164" s="224"/>
      <c r="AH164" s="225"/>
      <c r="AJ164" s="81">
        <f t="shared" si="39"/>
        <v>1294104.1818482268</v>
      </c>
      <c r="AK164" s="81">
        <f t="shared" si="40"/>
        <v>53466.14925052851</v>
      </c>
      <c r="AL164" s="81">
        <f t="shared" si="41"/>
        <v>2063982.2848673942</v>
      </c>
      <c r="AM164" s="81">
        <f t="shared" si="42"/>
        <v>4201305.929348509</v>
      </c>
      <c r="AN164" s="81">
        <f t="shared" si="43"/>
        <v>0</v>
      </c>
      <c r="AO164" s="81">
        <f t="shared" si="44"/>
        <v>0</v>
      </c>
      <c r="AP164" s="81">
        <f t="shared" si="45"/>
        <v>0</v>
      </c>
      <c r="AQ164" s="81">
        <f t="shared" si="46"/>
        <v>0</v>
      </c>
      <c r="AR164" s="81">
        <f t="shared" si="47"/>
        <v>0</v>
      </c>
      <c r="AS164" s="82">
        <v>399</v>
      </c>
      <c r="AT164" s="82"/>
      <c r="AU164" s="82"/>
      <c r="AV164" s="82">
        <v>0</v>
      </c>
      <c r="AW164" s="82">
        <f>1322352.21374302*(0.001)</f>
        <v>1322.3522137430161</v>
      </c>
      <c r="AX164" s="82">
        <v>-894.2184281309223</v>
      </c>
      <c r="AY164" s="82">
        <v>504.31666129651194</v>
      </c>
      <c r="AZ164" s="408"/>
      <c r="BA164" s="81"/>
      <c r="BB164" s="81"/>
      <c r="BC164" s="81"/>
      <c r="BD164" s="81"/>
      <c r="BE164" s="81"/>
      <c r="BF164" s="81"/>
      <c r="BG164" s="81"/>
      <c r="BO164" s="114"/>
    </row>
    <row r="165" spans="1:67" ht="12.75">
      <c r="A165" s="81">
        <v>484</v>
      </c>
      <c r="B165" s="81" t="s">
        <v>286</v>
      </c>
      <c r="C165" s="81">
        <v>4</v>
      </c>
      <c r="D165" s="81">
        <v>3066</v>
      </c>
      <c r="E165" s="100">
        <v>7783559.212562395</v>
      </c>
      <c r="F165" s="81">
        <v>3522866.501917903</v>
      </c>
      <c r="G165" s="81">
        <v>1293385.6442036945</v>
      </c>
      <c r="H165" s="81">
        <v>1555909.5265740445</v>
      </c>
      <c r="I165" s="156">
        <v>1019343.2246743508</v>
      </c>
      <c r="J165" s="156">
        <v>545849.9803069769</v>
      </c>
      <c r="K165" s="81">
        <v>-619915.5488411573</v>
      </c>
      <c r="L165" s="81">
        <v>172387</v>
      </c>
      <c r="M165" s="82">
        <v>50000</v>
      </c>
      <c r="N165" s="82">
        <v>29031.481696994648</v>
      </c>
      <c r="O165" s="214">
        <f t="shared" si="33"/>
        <v>-214701.40202958882</v>
      </c>
      <c r="P165" s="215">
        <f t="shared" si="34"/>
        <v>-70.02654991180327</v>
      </c>
      <c r="Q165" s="81"/>
      <c r="R165" s="223">
        <v>23585000</v>
      </c>
      <c r="S165" s="156">
        <v>8350137.905812918</v>
      </c>
      <c r="T165" s="156">
        <v>2333864.289861067</v>
      </c>
      <c r="U165" s="156">
        <v>9267060.743626855</v>
      </c>
      <c r="V165" s="156">
        <v>1848328.458654372</v>
      </c>
      <c r="W165" s="156">
        <v>1515772.6442036945</v>
      </c>
      <c r="X165" s="214">
        <f t="shared" si="35"/>
        <v>-269835.95784109086</v>
      </c>
      <c r="Y165" s="215">
        <f t="shared" si="36"/>
        <v>-88.00911866963172</v>
      </c>
      <c r="Z165" s="81"/>
      <c r="AA165" s="94">
        <f t="shared" si="37"/>
        <v>55134.55581150204</v>
      </c>
      <c r="AB165" s="153">
        <f t="shared" si="38"/>
        <v>17.982568757828453</v>
      </c>
      <c r="AD165" s="216"/>
      <c r="AE165" s="224"/>
      <c r="AF165" s="224"/>
      <c r="AG165" s="224"/>
      <c r="AH165" s="225"/>
      <c r="AJ165" s="81">
        <f t="shared" si="39"/>
        <v>4827271.403895015</v>
      </c>
      <c r="AK165" s="81">
        <f t="shared" si="40"/>
        <v>777954.7632870227</v>
      </c>
      <c r="AL165" s="81">
        <f t="shared" si="41"/>
        <v>8247717.518952505</v>
      </c>
      <c r="AM165" s="81">
        <f t="shared" si="42"/>
        <v>15801440.787437605</v>
      </c>
      <c r="AN165" s="81">
        <f t="shared" si="43"/>
        <v>0</v>
      </c>
      <c r="AO165" s="81">
        <f t="shared" si="44"/>
        <v>0</v>
      </c>
      <c r="AP165" s="81">
        <f t="shared" si="45"/>
        <v>0</v>
      </c>
      <c r="AQ165" s="81">
        <f t="shared" si="46"/>
        <v>0</v>
      </c>
      <c r="AR165" s="81">
        <f t="shared" si="47"/>
        <v>0</v>
      </c>
      <c r="AS165" s="82">
        <v>1322</v>
      </c>
      <c r="AT165" s="82"/>
      <c r="AU165" s="82"/>
      <c r="AV165" s="82">
        <v>0</v>
      </c>
      <c r="AW165" s="82">
        <f>6853106.05639763*(0.001)</f>
        <v>6853.1060563976325</v>
      </c>
      <c r="AX165" s="82">
        <v>-1037.8789376925292</v>
      </c>
      <c r="AY165" s="82">
        <v>1302.4784783473951</v>
      </c>
      <c r="AZ165" s="408"/>
      <c r="BA165" s="81"/>
      <c r="BB165" s="81"/>
      <c r="BC165" s="81"/>
      <c r="BD165" s="81"/>
      <c r="BE165" s="81"/>
      <c r="BF165" s="81"/>
      <c r="BG165" s="81"/>
      <c r="BO165" s="114"/>
    </row>
    <row r="166" spans="1:67" ht="12.75">
      <c r="A166" s="81">
        <v>489</v>
      </c>
      <c r="B166" s="81" t="s">
        <v>287</v>
      </c>
      <c r="C166" s="81">
        <v>8</v>
      </c>
      <c r="D166" s="81">
        <v>1868</v>
      </c>
      <c r="E166" s="100">
        <v>6033285.527640259</v>
      </c>
      <c r="F166" s="81">
        <v>2065459.4803691795</v>
      </c>
      <c r="G166" s="81">
        <v>479789.13875449594</v>
      </c>
      <c r="H166" s="81">
        <v>559370.6514049766</v>
      </c>
      <c r="I166" s="156">
        <v>880010.950214398</v>
      </c>
      <c r="J166" s="156">
        <v>389666.6828304791</v>
      </c>
      <c r="K166" s="81">
        <v>1340475.685318478</v>
      </c>
      <c r="L166" s="81">
        <v>-405745</v>
      </c>
      <c r="M166" s="82">
        <v>-15000</v>
      </c>
      <c r="N166" s="82">
        <v>16182.072180259674</v>
      </c>
      <c r="O166" s="214">
        <f t="shared" si="33"/>
        <v>-723075.8665679917</v>
      </c>
      <c r="P166" s="215">
        <f t="shared" si="34"/>
        <v>-387.0855816745137</v>
      </c>
      <c r="Q166" s="81"/>
      <c r="R166" s="223">
        <v>13987600</v>
      </c>
      <c r="S166" s="156">
        <v>4910112.601140464</v>
      </c>
      <c r="T166" s="156">
        <v>839055.9771074649</v>
      </c>
      <c r="U166" s="156">
        <v>6983868.471159307</v>
      </c>
      <c r="V166" s="156">
        <v>1314172.9348298549</v>
      </c>
      <c r="W166" s="156">
        <v>59044.13875449594</v>
      </c>
      <c r="X166" s="214">
        <f t="shared" si="35"/>
        <v>118654.1229915861</v>
      </c>
      <c r="Y166" s="215">
        <f t="shared" si="36"/>
        <v>63.51933778992832</v>
      </c>
      <c r="Z166" s="81"/>
      <c r="AA166" s="94">
        <f t="shared" si="37"/>
        <v>-841729.9895595778</v>
      </c>
      <c r="AB166" s="153">
        <f t="shared" si="38"/>
        <v>-450.60491946444205</v>
      </c>
      <c r="AD166" s="216"/>
      <c r="AE166" s="224"/>
      <c r="AF166" s="224"/>
      <c r="AG166" s="224"/>
      <c r="AH166" s="225"/>
      <c r="AJ166" s="81">
        <f t="shared" si="39"/>
        <v>2844653.120771284</v>
      </c>
      <c r="AK166" s="81">
        <f t="shared" si="40"/>
        <v>279685.3257024883</v>
      </c>
      <c r="AL166" s="81">
        <f t="shared" si="41"/>
        <v>6103857.520944909</v>
      </c>
      <c r="AM166" s="81">
        <f t="shared" si="42"/>
        <v>7954314.472359741</v>
      </c>
      <c r="AN166" s="81">
        <f t="shared" si="43"/>
        <v>0</v>
      </c>
      <c r="AO166" s="81">
        <f t="shared" si="44"/>
        <v>0</v>
      </c>
      <c r="AP166" s="81">
        <f t="shared" si="45"/>
        <v>0</v>
      </c>
      <c r="AQ166" s="81">
        <f t="shared" si="46"/>
        <v>0</v>
      </c>
      <c r="AR166" s="81">
        <f t="shared" si="47"/>
        <v>0</v>
      </c>
      <c r="AS166" s="82">
        <v>913</v>
      </c>
      <c r="AT166" s="82"/>
      <c r="AU166" s="82"/>
      <c r="AV166" s="82">
        <v>0</v>
      </c>
      <c r="AW166" s="82">
        <f>5297318.99847781*(0.001)</f>
        <v>5297.318998477807</v>
      </c>
      <c r="AX166" s="82">
        <v>-859.3180211383591</v>
      </c>
      <c r="AY166" s="82">
        <v>924.5062519993758</v>
      </c>
      <c r="AZ166" s="408"/>
      <c r="BA166" s="81"/>
      <c r="BB166" s="81"/>
      <c r="BC166" s="81"/>
      <c r="BD166" s="81"/>
      <c r="BE166" s="81"/>
      <c r="BF166" s="81"/>
      <c r="BG166" s="81"/>
      <c r="BO166" s="114"/>
    </row>
    <row r="167" spans="1:67" ht="12.75">
      <c r="A167" s="81">
        <v>491</v>
      </c>
      <c r="B167" s="81" t="s">
        <v>288</v>
      </c>
      <c r="C167" s="81">
        <v>10</v>
      </c>
      <c r="D167" s="81">
        <v>52583</v>
      </c>
      <c r="E167" s="100">
        <v>137675107.57694343</v>
      </c>
      <c r="F167" s="81">
        <v>86533886.6347211</v>
      </c>
      <c r="G167" s="81">
        <v>22065676.21399732</v>
      </c>
      <c r="H167" s="81">
        <v>11472692.884161448</v>
      </c>
      <c r="I167" s="156">
        <v>15965571.49814766</v>
      </c>
      <c r="J167" s="156">
        <v>8184290.357554916</v>
      </c>
      <c r="K167" s="81">
        <v>-8917757.118534101</v>
      </c>
      <c r="L167" s="81">
        <v>669015</v>
      </c>
      <c r="M167" s="82">
        <v>1850000</v>
      </c>
      <c r="N167" s="82">
        <v>556960.2421016855</v>
      </c>
      <c r="O167" s="214">
        <f t="shared" si="33"/>
        <v>705228.13520661</v>
      </c>
      <c r="P167" s="215">
        <f t="shared" si="34"/>
        <v>13.411713580560447</v>
      </c>
      <c r="Q167" s="81"/>
      <c r="R167" s="223">
        <v>366197324</v>
      </c>
      <c r="S167" s="156">
        <v>188332117.85188502</v>
      </c>
      <c r="T167" s="156">
        <v>17209039.326242175</v>
      </c>
      <c r="U167" s="156">
        <v>105347905.79584102</v>
      </c>
      <c r="V167" s="156">
        <v>27885843.96349904</v>
      </c>
      <c r="W167" s="156">
        <v>24584691.21399732</v>
      </c>
      <c r="X167" s="214">
        <f t="shared" si="35"/>
        <v>-2837725.8485354185</v>
      </c>
      <c r="Y167" s="215">
        <f t="shared" si="36"/>
        <v>-53.96660229609225</v>
      </c>
      <c r="Z167" s="81"/>
      <c r="AA167" s="94">
        <f t="shared" si="37"/>
        <v>3542953.9837420285</v>
      </c>
      <c r="AB167" s="153">
        <f t="shared" si="38"/>
        <v>67.37831587665269</v>
      </c>
      <c r="AD167" s="216"/>
      <c r="AE167" s="224"/>
      <c r="AF167" s="224"/>
      <c r="AG167" s="224"/>
      <c r="AH167" s="225"/>
      <c r="AJ167" s="81">
        <f t="shared" si="39"/>
        <v>101798231.21716392</v>
      </c>
      <c r="AK167" s="81">
        <f t="shared" si="40"/>
        <v>5736346.442080727</v>
      </c>
      <c r="AL167" s="81">
        <f t="shared" si="41"/>
        <v>89382334.29769336</v>
      </c>
      <c r="AM167" s="81">
        <f t="shared" si="42"/>
        <v>228522216.42305657</v>
      </c>
      <c r="AN167" s="81">
        <f t="shared" si="43"/>
        <v>0</v>
      </c>
      <c r="AO167" s="81">
        <f t="shared" si="44"/>
        <v>0</v>
      </c>
      <c r="AP167" s="81">
        <f t="shared" si="45"/>
        <v>0</v>
      </c>
      <c r="AQ167" s="81">
        <f t="shared" si="46"/>
        <v>0</v>
      </c>
      <c r="AR167" s="81">
        <f t="shared" si="47"/>
        <v>0</v>
      </c>
      <c r="AS167" s="82">
        <v>21474</v>
      </c>
      <c r="AT167" s="82"/>
      <c r="AU167" s="82">
        <v>699</v>
      </c>
      <c r="AV167" s="82">
        <v>699</v>
      </c>
      <c r="AW167" s="82">
        <f>78076779.5942379*(0.001)</f>
        <v>78076.77959423793</v>
      </c>
      <c r="AX167" s="82">
        <v>-8927.518455555715</v>
      </c>
      <c r="AY167" s="82">
        <v>19701.553605944122</v>
      </c>
      <c r="AZ167" s="408"/>
      <c r="BA167" s="81"/>
      <c r="BB167" s="81"/>
      <c r="BC167" s="81"/>
      <c r="BD167" s="81"/>
      <c r="BE167" s="81"/>
      <c r="BF167" s="81"/>
      <c r="BG167" s="81"/>
      <c r="BO167" s="114"/>
    </row>
    <row r="168" spans="1:111" ht="12.75">
      <c r="A168" s="156">
        <v>494</v>
      </c>
      <c r="B168" s="156" t="s">
        <v>289</v>
      </c>
      <c r="C168" s="81">
        <v>17</v>
      </c>
      <c r="D168" s="156">
        <v>8903</v>
      </c>
      <c r="E168" s="223">
        <v>26139528.7100297</v>
      </c>
      <c r="F168" s="156">
        <v>12910825.873500193</v>
      </c>
      <c r="G168" s="156">
        <v>3947506.1479183184</v>
      </c>
      <c r="H168" s="156">
        <v>606834.9320167713</v>
      </c>
      <c r="I168" s="156">
        <v>12886472.947035508</v>
      </c>
      <c r="J168" s="156">
        <v>1198103.412154219</v>
      </c>
      <c r="K168" s="156">
        <v>-1348346.4031763994</v>
      </c>
      <c r="L168" s="156">
        <v>-207218</v>
      </c>
      <c r="M168" s="84">
        <v>-180000</v>
      </c>
      <c r="N168" s="84">
        <v>84980.57017814355</v>
      </c>
      <c r="O168" s="214">
        <f t="shared" si="33"/>
        <v>3759630.7695970535</v>
      </c>
      <c r="P168" s="215">
        <f t="shared" si="34"/>
        <v>422.288079253853</v>
      </c>
      <c r="Q168" s="156"/>
      <c r="R168" s="223">
        <v>60152141</v>
      </c>
      <c r="S168" s="156">
        <v>29014952.4879543</v>
      </c>
      <c r="T168" s="156">
        <v>910252.398025157</v>
      </c>
      <c r="U168" s="156">
        <v>24543412.98627913</v>
      </c>
      <c r="V168" s="156">
        <v>4079577.1431613904</v>
      </c>
      <c r="W168" s="156">
        <v>3560288.1479183184</v>
      </c>
      <c r="X168" s="214">
        <f t="shared" si="35"/>
        <v>1956342.163338296</v>
      </c>
      <c r="Y168" s="215">
        <f t="shared" si="36"/>
        <v>219.73965667059375</v>
      </c>
      <c r="Z168" s="156"/>
      <c r="AA168" s="94">
        <f t="shared" si="37"/>
        <v>1803288.6062587574</v>
      </c>
      <c r="AB168" s="153">
        <f t="shared" si="38"/>
        <v>202.54842258325928</v>
      </c>
      <c r="AC168" s="314"/>
      <c r="AD168" s="368"/>
      <c r="AE168" s="369"/>
      <c r="AF168" s="369"/>
      <c r="AG168" s="369"/>
      <c r="AH168" s="370"/>
      <c r="AI168" s="314"/>
      <c r="AJ168" s="156">
        <f t="shared" si="39"/>
        <v>16104126.614454107</v>
      </c>
      <c r="AK168" s="156">
        <f t="shared" si="40"/>
        <v>303417.46600838576</v>
      </c>
      <c r="AL168" s="81">
        <f t="shared" si="41"/>
        <v>11656940.039243622</v>
      </c>
      <c r="AM168" s="156">
        <f t="shared" si="42"/>
        <v>34012612.2899703</v>
      </c>
      <c r="AN168" s="81">
        <f t="shared" si="43"/>
        <v>0</v>
      </c>
      <c r="AO168" s="81">
        <f t="shared" si="44"/>
        <v>0</v>
      </c>
      <c r="AP168" s="81">
        <f t="shared" si="45"/>
        <v>0</v>
      </c>
      <c r="AQ168" s="81">
        <f t="shared" si="46"/>
        <v>0</v>
      </c>
      <c r="AR168" s="81">
        <f t="shared" si="47"/>
        <v>0</v>
      </c>
      <c r="AS168" s="84">
        <v>3419</v>
      </c>
      <c r="AT168" s="82">
        <v>122</v>
      </c>
      <c r="AU168" s="82"/>
      <c r="AV168" s="82">
        <v>122</v>
      </c>
      <c r="AW168" s="82">
        <f>9063599.72954895*(0.001)</f>
        <v>9063.599729548952</v>
      </c>
      <c r="AX168" s="82">
        <v>-3501.8255087638404</v>
      </c>
      <c r="AY168" s="82">
        <v>2881.4737310071714</v>
      </c>
      <c r="AZ168" s="408"/>
      <c r="BA168" s="81"/>
      <c r="BB168" s="81"/>
      <c r="BC168" s="81"/>
      <c r="BD168" s="81"/>
      <c r="BE168" s="81"/>
      <c r="BF168" s="81"/>
      <c r="BG168" s="81"/>
      <c r="BH168" s="314"/>
      <c r="BI168" s="314"/>
      <c r="BJ168" s="314"/>
      <c r="BK168" s="314"/>
      <c r="BL168" s="314"/>
      <c r="BM168" s="314"/>
      <c r="BN168" s="314"/>
      <c r="BO168" s="114"/>
      <c r="BP168" s="314"/>
      <c r="BQ168" s="314"/>
      <c r="BR168" s="314"/>
      <c r="BS168" s="314"/>
      <c r="BT168" s="314"/>
      <c r="BU168" s="314"/>
      <c r="BV168" s="314"/>
      <c r="BW168" s="314"/>
      <c r="BX168" s="314"/>
      <c r="BY168" s="314"/>
      <c r="BZ168" s="314"/>
      <c r="CA168" s="314"/>
      <c r="CB168" s="314"/>
      <c r="CC168" s="314"/>
      <c r="CD168" s="314"/>
      <c r="CE168" s="314"/>
      <c r="CF168" s="314"/>
      <c r="CG168" s="314"/>
      <c r="CH168" s="314"/>
      <c r="CI168" s="314"/>
      <c r="CJ168" s="314"/>
      <c r="CK168" s="314"/>
      <c r="CL168" s="314"/>
      <c r="CM168" s="314"/>
      <c r="CN168" s="314"/>
      <c r="CO168" s="314"/>
      <c r="CP168" s="314"/>
      <c r="CQ168" s="314"/>
      <c r="CR168" s="314"/>
      <c r="CS168" s="314"/>
      <c r="CT168" s="314"/>
      <c r="CU168" s="314"/>
      <c r="CV168" s="314"/>
      <c r="CW168" s="314"/>
      <c r="CX168" s="314"/>
      <c r="CY168" s="314"/>
      <c r="CZ168" s="314"/>
      <c r="DA168" s="314"/>
      <c r="DB168" s="314"/>
      <c r="DC168" s="314"/>
      <c r="DD168" s="314"/>
      <c r="DE168" s="314"/>
      <c r="DF168" s="314"/>
      <c r="DG168" s="314"/>
    </row>
    <row r="169" spans="1:67" ht="12.75">
      <c r="A169" s="81">
        <v>495</v>
      </c>
      <c r="B169" s="81" t="s">
        <v>290</v>
      </c>
      <c r="C169" s="81">
        <v>13</v>
      </c>
      <c r="D169" s="81">
        <v>1558</v>
      </c>
      <c r="E169" s="100">
        <v>4185224.308258542</v>
      </c>
      <c r="F169" s="81">
        <v>2051518.4281054537</v>
      </c>
      <c r="G169" s="81">
        <v>444267.3501345358</v>
      </c>
      <c r="H169" s="81">
        <v>859477.7017349827</v>
      </c>
      <c r="I169" s="156">
        <v>844240.3181020617</v>
      </c>
      <c r="J169" s="156">
        <v>312383.01316461887</v>
      </c>
      <c r="K169" s="81">
        <v>533182.8861803974</v>
      </c>
      <c r="L169" s="81">
        <v>-470520</v>
      </c>
      <c r="M169" s="82">
        <v>-22500</v>
      </c>
      <c r="N169" s="82">
        <v>14650.010643116238</v>
      </c>
      <c r="O169" s="214">
        <f t="shared" si="33"/>
        <v>381475.3998066243</v>
      </c>
      <c r="P169" s="215">
        <f t="shared" si="34"/>
        <v>244.8494222122107</v>
      </c>
      <c r="Q169" s="81"/>
      <c r="R169" s="223">
        <v>11134910</v>
      </c>
      <c r="S169" s="156">
        <v>4450316.675804008</v>
      </c>
      <c r="T169" s="156">
        <v>1289216.552602474</v>
      </c>
      <c r="U169" s="156">
        <v>5161975.556629622</v>
      </c>
      <c r="V169" s="156">
        <v>1055143.116526501</v>
      </c>
      <c r="W169" s="156">
        <v>-48752.64986546419</v>
      </c>
      <c r="X169" s="214">
        <f t="shared" si="35"/>
        <v>772989.2516971417</v>
      </c>
      <c r="Y169" s="215">
        <f t="shared" si="36"/>
        <v>496.1420100751872</v>
      </c>
      <c r="Z169" s="81"/>
      <c r="AA169" s="94">
        <f t="shared" si="37"/>
        <v>-391513.8518905174</v>
      </c>
      <c r="AB169" s="153">
        <f t="shared" si="38"/>
        <v>-251.29258786297652</v>
      </c>
      <c r="AD169" s="216"/>
      <c r="AE169" s="224"/>
      <c r="AF169" s="224"/>
      <c r="AG169" s="224"/>
      <c r="AH169" s="225"/>
      <c r="AJ169" s="81">
        <f t="shared" si="39"/>
        <v>2398798.247698554</v>
      </c>
      <c r="AK169" s="81">
        <f t="shared" si="40"/>
        <v>429738.85086749145</v>
      </c>
      <c r="AL169" s="81">
        <f t="shared" si="41"/>
        <v>4317735.238527561</v>
      </c>
      <c r="AM169" s="81">
        <f t="shared" si="42"/>
        <v>6949685.691741458</v>
      </c>
      <c r="AN169" s="81">
        <f t="shared" si="43"/>
        <v>0</v>
      </c>
      <c r="AO169" s="81">
        <f t="shared" si="44"/>
        <v>0</v>
      </c>
      <c r="AP169" s="81">
        <f t="shared" si="45"/>
        <v>0</v>
      </c>
      <c r="AQ169" s="81">
        <f t="shared" si="46"/>
        <v>0</v>
      </c>
      <c r="AR169" s="81">
        <f t="shared" si="47"/>
        <v>0</v>
      </c>
      <c r="AS169" s="82">
        <v>603</v>
      </c>
      <c r="AT169" s="82">
        <v>1</v>
      </c>
      <c r="AU169" s="82"/>
      <c r="AV169" s="82">
        <v>1</v>
      </c>
      <c r="AW169" s="82">
        <f>3702298.45623865*(0.001)</f>
        <v>3702.298456238647</v>
      </c>
      <c r="AX169" s="82">
        <v>-580.0946604677258</v>
      </c>
      <c r="AY169" s="82">
        <v>742.7601033618821</v>
      </c>
      <c r="AZ169" s="408"/>
      <c r="BA169" s="81"/>
      <c r="BB169" s="81"/>
      <c r="BC169" s="81"/>
      <c r="BD169" s="81"/>
      <c r="BE169" s="81"/>
      <c r="BF169" s="81"/>
      <c r="BG169" s="81"/>
      <c r="BO169" s="114"/>
    </row>
    <row r="170" spans="1:67" ht="12.75">
      <c r="A170" s="81">
        <v>498</v>
      </c>
      <c r="B170" s="81" t="s">
        <v>291</v>
      </c>
      <c r="C170" s="81">
        <v>19</v>
      </c>
      <c r="D170" s="81">
        <v>2297</v>
      </c>
      <c r="E170" s="100">
        <v>8142262.702132959</v>
      </c>
      <c r="F170" s="81">
        <v>3437718.061892756</v>
      </c>
      <c r="G170" s="81">
        <v>998333.7175568583</v>
      </c>
      <c r="H170" s="81">
        <v>770403.566446247</v>
      </c>
      <c r="I170" s="156">
        <v>2783908.6789778247</v>
      </c>
      <c r="J170" s="156">
        <v>416070.23378463276</v>
      </c>
      <c r="K170" s="81">
        <v>-584785.4491569002</v>
      </c>
      <c r="L170" s="81">
        <v>-8863</v>
      </c>
      <c r="M170" s="82">
        <v>-50000</v>
      </c>
      <c r="N170" s="82">
        <v>23457.262372050227</v>
      </c>
      <c r="O170" s="214">
        <f t="shared" si="33"/>
        <v>-356019.63025948964</v>
      </c>
      <c r="P170" s="215">
        <f t="shared" si="34"/>
        <v>-154.99330877644303</v>
      </c>
      <c r="Q170" s="81"/>
      <c r="R170" s="223">
        <v>19986229</v>
      </c>
      <c r="S170" s="156">
        <v>7581505.2648529215</v>
      </c>
      <c r="T170" s="156">
        <v>1155605.3496693706</v>
      </c>
      <c r="U170" s="156">
        <v>8722258.786532413</v>
      </c>
      <c r="V170" s="156">
        <v>1411424.4370269545</v>
      </c>
      <c r="W170" s="156">
        <v>939470.7175568583</v>
      </c>
      <c r="X170" s="214">
        <f t="shared" si="35"/>
        <v>-175964.44436148182</v>
      </c>
      <c r="Y170" s="215">
        <f t="shared" si="36"/>
        <v>-76.60620128928247</v>
      </c>
      <c r="Z170" s="81"/>
      <c r="AA170" s="94">
        <f t="shared" si="37"/>
        <v>-180055.18589800783</v>
      </c>
      <c r="AB170" s="153">
        <f t="shared" si="38"/>
        <v>-78.38710748716056</v>
      </c>
      <c r="AD170" s="216"/>
      <c r="AE170" s="224"/>
      <c r="AF170" s="224"/>
      <c r="AG170" s="224"/>
      <c r="AH170" s="225"/>
      <c r="AJ170" s="81">
        <f t="shared" si="39"/>
        <v>4143787.2029601657</v>
      </c>
      <c r="AK170" s="81">
        <f t="shared" si="40"/>
        <v>385201.7832231235</v>
      </c>
      <c r="AL170" s="81">
        <f t="shared" si="41"/>
        <v>5938350.1075545885</v>
      </c>
      <c r="AM170" s="81">
        <f t="shared" si="42"/>
        <v>11843966.297867041</v>
      </c>
      <c r="AN170" s="81">
        <f t="shared" si="43"/>
        <v>0</v>
      </c>
      <c r="AO170" s="81">
        <f t="shared" si="44"/>
        <v>0</v>
      </c>
      <c r="AP170" s="81">
        <f t="shared" si="45"/>
        <v>0</v>
      </c>
      <c r="AQ170" s="81">
        <f t="shared" si="46"/>
        <v>0</v>
      </c>
      <c r="AR170" s="81">
        <f t="shared" si="47"/>
        <v>0</v>
      </c>
      <c r="AS170" s="82">
        <v>1074</v>
      </c>
      <c r="AT170" s="82">
        <v>20</v>
      </c>
      <c r="AU170" s="82"/>
      <c r="AV170" s="82">
        <v>20</v>
      </c>
      <c r="AW170" s="82">
        <f>4962067.86972347*(0.001)</f>
        <v>4962.0678697234725</v>
      </c>
      <c r="AX170" s="82">
        <v>-407.42640007647344</v>
      </c>
      <c r="AY170" s="82">
        <v>995.3542032423218</v>
      </c>
      <c r="AZ170" s="408"/>
      <c r="BA170" s="81"/>
      <c r="BB170" s="81"/>
      <c r="BC170" s="81"/>
      <c r="BD170" s="81"/>
      <c r="BE170" s="81"/>
      <c r="BF170" s="81"/>
      <c r="BG170" s="81"/>
      <c r="BO170" s="114"/>
    </row>
    <row r="171" spans="1:67" ht="12.75">
      <c r="A171" s="81">
        <v>499</v>
      </c>
      <c r="B171" s="81" t="s">
        <v>292</v>
      </c>
      <c r="C171" s="81">
        <v>15</v>
      </c>
      <c r="D171" s="81">
        <v>19453</v>
      </c>
      <c r="E171" s="100">
        <v>56155631.39665698</v>
      </c>
      <c r="F171" s="81">
        <v>31829246.054476816</v>
      </c>
      <c r="G171" s="81">
        <v>5203158.409186251</v>
      </c>
      <c r="H171" s="81">
        <v>2469587.2201895206</v>
      </c>
      <c r="I171" s="156">
        <v>19626345.711907804</v>
      </c>
      <c r="J171" s="156">
        <v>2610531.795126739</v>
      </c>
      <c r="K171" s="81">
        <v>2063158.8401440384</v>
      </c>
      <c r="L171" s="81">
        <v>-1736658</v>
      </c>
      <c r="M171" s="82">
        <v>-375000</v>
      </c>
      <c r="N171" s="82">
        <v>235589.5993969849</v>
      </c>
      <c r="O171" s="214">
        <f t="shared" si="33"/>
        <v>5770328.233771168</v>
      </c>
      <c r="P171" s="215">
        <f t="shared" si="34"/>
        <v>296.6292208796159</v>
      </c>
      <c r="Q171" s="81"/>
      <c r="R171" s="223">
        <v>120699999.58</v>
      </c>
      <c r="S171" s="156">
        <v>76080693.93348302</v>
      </c>
      <c r="T171" s="156">
        <v>3704380.830284281</v>
      </c>
      <c r="U171" s="156">
        <v>35382288.514482066</v>
      </c>
      <c r="V171" s="156">
        <v>8921094.619052473</v>
      </c>
      <c r="W171" s="156">
        <v>3091500.4091862515</v>
      </c>
      <c r="X171" s="214">
        <f t="shared" si="35"/>
        <v>6479958.7264880985</v>
      </c>
      <c r="Y171" s="215">
        <f t="shared" si="36"/>
        <v>333.1084525002878</v>
      </c>
      <c r="Z171" s="81"/>
      <c r="AA171" s="94">
        <f t="shared" si="37"/>
        <v>-709630.4927169308</v>
      </c>
      <c r="AB171" s="153">
        <f t="shared" si="38"/>
        <v>-36.47923162067192</v>
      </c>
      <c r="AD171" s="216"/>
      <c r="AE171" s="224"/>
      <c r="AF171" s="224"/>
      <c r="AG171" s="224"/>
      <c r="AH171" s="225"/>
      <c r="AJ171" s="81">
        <f t="shared" si="39"/>
        <v>44251447.87900621</v>
      </c>
      <c r="AK171" s="81">
        <f t="shared" si="40"/>
        <v>1234793.6100947605</v>
      </c>
      <c r="AL171" s="81">
        <f t="shared" si="41"/>
        <v>15755942.802574262</v>
      </c>
      <c r="AM171" s="81">
        <f t="shared" si="42"/>
        <v>64544368.183343016</v>
      </c>
      <c r="AN171" s="81">
        <f t="shared" si="43"/>
        <v>0</v>
      </c>
      <c r="AO171" s="81">
        <f t="shared" si="44"/>
        <v>0</v>
      </c>
      <c r="AP171" s="81">
        <f t="shared" si="45"/>
        <v>0</v>
      </c>
      <c r="AQ171" s="81">
        <f t="shared" si="46"/>
        <v>0</v>
      </c>
      <c r="AR171" s="81">
        <f t="shared" si="47"/>
        <v>0</v>
      </c>
      <c r="AS171" s="82">
        <v>8238</v>
      </c>
      <c r="AT171" s="82">
        <v>320</v>
      </c>
      <c r="AU171" s="82"/>
      <c r="AV171" s="82">
        <v>320</v>
      </c>
      <c r="AW171" s="82">
        <f>15992948.3992494*(0.001)</f>
        <v>15992.948399249353</v>
      </c>
      <c r="AX171" s="82">
        <v>-437.7489279957049</v>
      </c>
      <c r="AY171" s="82">
        <v>6310.562823925735</v>
      </c>
      <c r="AZ171" s="408"/>
      <c r="BA171" s="81"/>
      <c r="BB171" s="81"/>
      <c r="BC171" s="81"/>
      <c r="BD171" s="81"/>
      <c r="BE171" s="81"/>
      <c r="BF171" s="81"/>
      <c r="BG171" s="81"/>
      <c r="BO171" s="114"/>
    </row>
    <row r="172" spans="1:67" ht="12.75">
      <c r="A172" s="81">
        <v>500</v>
      </c>
      <c r="B172" s="81" t="s">
        <v>293</v>
      </c>
      <c r="C172" s="81">
        <v>13</v>
      </c>
      <c r="D172" s="81">
        <v>10267</v>
      </c>
      <c r="E172" s="100">
        <v>28067698.85883809</v>
      </c>
      <c r="F172" s="81">
        <v>15350772.297775932</v>
      </c>
      <c r="G172" s="81">
        <v>2400543.5082327067</v>
      </c>
      <c r="H172" s="81">
        <v>1451727.4693450856</v>
      </c>
      <c r="I172" s="156">
        <v>8054738.771088066</v>
      </c>
      <c r="J172" s="156">
        <v>941471.0885321018</v>
      </c>
      <c r="K172" s="81">
        <v>2252836.775596489</v>
      </c>
      <c r="L172" s="81">
        <v>-825503</v>
      </c>
      <c r="M172" s="82">
        <v>-10840</v>
      </c>
      <c r="N172" s="82">
        <v>136456.60717904745</v>
      </c>
      <c r="O172" s="214">
        <f t="shared" si="33"/>
        <v>1684504.65891134</v>
      </c>
      <c r="P172" s="215">
        <f t="shared" si="34"/>
        <v>164.0698021731119</v>
      </c>
      <c r="Q172" s="81"/>
      <c r="R172" s="223">
        <v>56342170</v>
      </c>
      <c r="S172" s="156">
        <v>40971140.32722505</v>
      </c>
      <c r="T172" s="156">
        <v>2177591.2040176284</v>
      </c>
      <c r="U172" s="156">
        <v>11299218.18468304</v>
      </c>
      <c r="V172" s="156">
        <v>3250423.097941948</v>
      </c>
      <c r="W172" s="156">
        <v>1564200.5082327067</v>
      </c>
      <c r="X172" s="214">
        <f t="shared" si="35"/>
        <v>2920403.322100371</v>
      </c>
      <c r="Y172" s="215">
        <f t="shared" si="36"/>
        <v>284.4456337879002</v>
      </c>
      <c r="Z172" s="81"/>
      <c r="AA172" s="94">
        <f t="shared" si="37"/>
        <v>-1235898.6631890312</v>
      </c>
      <c r="AB172" s="153">
        <f t="shared" si="38"/>
        <v>-120.37583161478827</v>
      </c>
      <c r="AD172" s="216"/>
      <c r="AE172" s="224"/>
      <c r="AF172" s="224"/>
      <c r="AG172" s="224"/>
      <c r="AH172" s="225"/>
      <c r="AJ172" s="81">
        <f t="shared" si="39"/>
        <v>25620368.02944912</v>
      </c>
      <c r="AK172" s="81">
        <f t="shared" si="40"/>
        <v>725863.7346725429</v>
      </c>
      <c r="AL172" s="81">
        <f t="shared" si="41"/>
        <v>3244479.413594974</v>
      </c>
      <c r="AM172" s="81">
        <f t="shared" si="42"/>
        <v>28274471.14116191</v>
      </c>
      <c r="AN172" s="81">
        <f t="shared" si="43"/>
        <v>0</v>
      </c>
      <c r="AO172" s="81">
        <f t="shared" si="44"/>
        <v>0</v>
      </c>
      <c r="AP172" s="81">
        <f t="shared" si="45"/>
        <v>0</v>
      </c>
      <c r="AQ172" s="81">
        <f t="shared" si="46"/>
        <v>0</v>
      </c>
      <c r="AR172" s="81">
        <f t="shared" si="47"/>
        <v>0</v>
      </c>
      <c r="AS172" s="82">
        <v>3815</v>
      </c>
      <c r="AT172" s="82">
        <v>68</v>
      </c>
      <c r="AU172" s="82"/>
      <c r="AV172" s="82">
        <v>68</v>
      </c>
      <c r="AW172" s="82">
        <f>4798690.28513631*(0.001)</f>
        <v>4798.69028513631</v>
      </c>
      <c r="AX172" s="82">
        <v>1283.4968976324305</v>
      </c>
      <c r="AY172" s="82">
        <v>2308.952009409846</v>
      </c>
      <c r="AZ172" s="408"/>
      <c r="BA172" s="81"/>
      <c r="BB172" s="81"/>
      <c r="BC172" s="81"/>
      <c r="BD172" s="81"/>
      <c r="BE172" s="81"/>
      <c r="BF172" s="81"/>
      <c r="BG172" s="81"/>
      <c r="BO172" s="114"/>
    </row>
    <row r="173" spans="1:67" ht="12.75">
      <c r="A173" s="81">
        <v>503</v>
      </c>
      <c r="B173" s="81" t="s">
        <v>294</v>
      </c>
      <c r="C173" s="81">
        <v>2</v>
      </c>
      <c r="D173" s="81">
        <v>7645</v>
      </c>
      <c r="E173" s="100">
        <v>17671918.119467713</v>
      </c>
      <c r="F173" s="81">
        <v>12811252.694157813</v>
      </c>
      <c r="G173" s="81">
        <v>1803139.8946515068</v>
      </c>
      <c r="H173" s="81">
        <v>802088.0394356657</v>
      </c>
      <c r="I173" s="156">
        <v>4008285.635795051</v>
      </c>
      <c r="J173" s="156">
        <v>1279322.6538808923</v>
      </c>
      <c r="K173" s="81">
        <v>-432437.4179458756</v>
      </c>
      <c r="L173" s="81">
        <v>-97779</v>
      </c>
      <c r="M173" s="82">
        <v>-70500</v>
      </c>
      <c r="N173" s="82">
        <v>88980.93590611711</v>
      </c>
      <c r="O173" s="214">
        <f t="shared" si="33"/>
        <v>2520435.3164134584</v>
      </c>
      <c r="P173" s="215">
        <f t="shared" si="34"/>
        <v>329.6841486479344</v>
      </c>
      <c r="Q173" s="81"/>
      <c r="R173" s="223">
        <v>49249925</v>
      </c>
      <c r="S173" s="156">
        <v>29590119.625142407</v>
      </c>
      <c r="T173" s="156">
        <v>1203132.0591534986</v>
      </c>
      <c r="U173" s="156">
        <v>14319807.052732132</v>
      </c>
      <c r="V173" s="156">
        <v>4341737.084107758</v>
      </c>
      <c r="W173" s="156">
        <v>1634860.8946515068</v>
      </c>
      <c r="X173" s="214">
        <f t="shared" si="35"/>
        <v>1839731.7157873064</v>
      </c>
      <c r="Y173" s="215">
        <f t="shared" si="36"/>
        <v>240.64509035805185</v>
      </c>
      <c r="Z173" s="81"/>
      <c r="AA173" s="94">
        <f t="shared" si="37"/>
        <v>680703.600626152</v>
      </c>
      <c r="AB173" s="153">
        <f t="shared" si="38"/>
        <v>89.03905828988253</v>
      </c>
      <c r="AD173" s="216"/>
      <c r="AE173" s="224"/>
      <c r="AF173" s="224"/>
      <c r="AG173" s="224"/>
      <c r="AH173" s="225"/>
      <c r="AJ173" s="81">
        <f t="shared" si="39"/>
        <v>16778866.930984594</v>
      </c>
      <c r="AK173" s="81">
        <f t="shared" si="40"/>
        <v>401044.0197178329</v>
      </c>
      <c r="AL173" s="81">
        <f t="shared" si="41"/>
        <v>10311521.416937081</v>
      </c>
      <c r="AM173" s="81">
        <f t="shared" si="42"/>
        <v>31578006.880532287</v>
      </c>
      <c r="AN173" s="81">
        <f t="shared" si="43"/>
        <v>0</v>
      </c>
      <c r="AO173" s="81">
        <f t="shared" si="44"/>
        <v>0</v>
      </c>
      <c r="AP173" s="81">
        <f t="shared" si="45"/>
        <v>0</v>
      </c>
      <c r="AQ173" s="81">
        <f t="shared" si="46"/>
        <v>0</v>
      </c>
      <c r="AR173" s="81">
        <f t="shared" si="47"/>
        <v>0</v>
      </c>
      <c r="AS173" s="82">
        <v>2480</v>
      </c>
      <c r="AT173" s="82"/>
      <c r="AU173" s="82"/>
      <c r="AV173" s="82">
        <v>0</v>
      </c>
      <c r="AW173" s="82">
        <f>9569118.55185849*(0.001)</f>
        <v>9569.11855185849</v>
      </c>
      <c r="AX173" s="82">
        <v>-1138.3305361203286</v>
      </c>
      <c r="AY173" s="82">
        <v>3062.414430226865</v>
      </c>
      <c r="AZ173" s="408"/>
      <c r="BA173" s="81"/>
      <c r="BB173" s="81"/>
      <c r="BC173" s="81"/>
      <c r="BD173" s="81"/>
      <c r="BE173" s="81"/>
      <c r="BF173" s="81"/>
      <c r="BG173" s="81"/>
      <c r="BO173" s="114"/>
    </row>
    <row r="174" spans="1:111" s="314" customFormat="1" ht="12.75">
      <c r="A174" s="81">
        <v>504</v>
      </c>
      <c r="B174" s="81" t="s">
        <v>295</v>
      </c>
      <c r="C174" s="81">
        <v>1</v>
      </c>
      <c r="D174" s="81">
        <v>1871</v>
      </c>
      <c r="E174" s="100">
        <v>5120727.065285563</v>
      </c>
      <c r="F174" s="81">
        <v>2784465.2371437284</v>
      </c>
      <c r="G174" s="81">
        <v>395574.37596517574</v>
      </c>
      <c r="H174" s="81">
        <v>353219.72811439715</v>
      </c>
      <c r="I174" s="156">
        <v>1380969.9997553807</v>
      </c>
      <c r="J174" s="156">
        <v>353425.5914792444</v>
      </c>
      <c r="K174" s="81">
        <v>41186.303969993096</v>
      </c>
      <c r="L174" s="81">
        <v>-474976</v>
      </c>
      <c r="M174" s="82">
        <v>301300</v>
      </c>
      <c r="N174" s="82">
        <v>18716.748886369664</v>
      </c>
      <c r="O174" s="214">
        <f t="shared" si="33"/>
        <v>33154.92002872657</v>
      </c>
      <c r="P174" s="215">
        <f t="shared" si="34"/>
        <v>17.72042759418844</v>
      </c>
      <c r="Q174" s="81"/>
      <c r="R174" s="223">
        <v>12547030.85</v>
      </c>
      <c r="S174" s="156">
        <v>6221574.153182931</v>
      </c>
      <c r="T174" s="156">
        <v>529829.5921715957</v>
      </c>
      <c r="U174" s="156">
        <v>4569264.843975352</v>
      </c>
      <c r="V174" s="156">
        <v>1195609.3717651751</v>
      </c>
      <c r="W174" s="156">
        <v>221898.37596517574</v>
      </c>
      <c r="X174" s="214">
        <f t="shared" si="35"/>
        <v>191145.48706023023</v>
      </c>
      <c r="Y174" s="215">
        <f t="shared" si="36"/>
        <v>102.16220580450573</v>
      </c>
      <c r="Z174" s="81"/>
      <c r="AA174" s="94">
        <f t="shared" si="37"/>
        <v>-157990.56703150366</v>
      </c>
      <c r="AB174" s="153">
        <f t="shared" si="38"/>
        <v>-84.4417782103173</v>
      </c>
      <c r="AC174"/>
      <c r="AD174" s="216"/>
      <c r="AE174" s="224"/>
      <c r="AF174" s="224"/>
      <c r="AG174" s="224"/>
      <c r="AH174" s="225"/>
      <c r="AI174" s="287"/>
      <c r="AJ174" s="81">
        <f t="shared" si="39"/>
        <v>3437108.916039203</v>
      </c>
      <c r="AK174" s="81">
        <f t="shared" si="40"/>
        <v>176609.86405719852</v>
      </c>
      <c r="AL174" s="81">
        <f t="shared" si="41"/>
        <v>3188294.8442199714</v>
      </c>
      <c r="AM174" s="81">
        <f t="shared" si="42"/>
        <v>7426303.784714437</v>
      </c>
      <c r="AN174" s="81">
        <f t="shared" si="43"/>
        <v>0</v>
      </c>
      <c r="AO174" s="81">
        <f t="shared" si="44"/>
        <v>0</v>
      </c>
      <c r="AP174" s="81">
        <f t="shared" si="45"/>
        <v>0</v>
      </c>
      <c r="AQ174" s="81">
        <f t="shared" si="46"/>
        <v>0</v>
      </c>
      <c r="AR174" s="81">
        <f t="shared" si="47"/>
        <v>0</v>
      </c>
      <c r="AS174" s="82">
        <v>483</v>
      </c>
      <c r="AT174" s="82"/>
      <c r="AU174" s="82"/>
      <c r="AV174" s="82">
        <v>0</v>
      </c>
      <c r="AW174" s="82">
        <f>2481070.72611973*(0.001)</f>
        <v>2481.070726119727</v>
      </c>
      <c r="AX174" s="82">
        <v>-577.5514980012597</v>
      </c>
      <c r="AY174" s="82">
        <v>842.1837802859308</v>
      </c>
      <c r="AZ174" s="408"/>
      <c r="BA174" s="81"/>
      <c r="BB174" s="81"/>
      <c r="BC174" s="81"/>
      <c r="BD174" s="81"/>
      <c r="BE174" s="81"/>
      <c r="BF174" s="81"/>
      <c r="BG174" s="81"/>
      <c r="BH174"/>
      <c r="BI174"/>
      <c r="BJ174"/>
      <c r="BK174"/>
      <c r="BL174"/>
      <c r="BM174"/>
      <c r="BN174"/>
      <c r="BO174" s="11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row>
    <row r="175" spans="1:67" ht="12.75">
      <c r="A175" s="81">
        <v>505</v>
      </c>
      <c r="B175" s="81" t="s">
        <v>296</v>
      </c>
      <c r="C175" s="81">
        <v>1</v>
      </c>
      <c r="D175" s="81">
        <v>20783</v>
      </c>
      <c r="E175" s="100">
        <v>56691382.2533904</v>
      </c>
      <c r="F175" s="81">
        <v>35058564.36433646</v>
      </c>
      <c r="G175" s="81">
        <v>8460212.311043905</v>
      </c>
      <c r="H175" s="81">
        <v>2928520.063514182</v>
      </c>
      <c r="I175" s="156">
        <v>14587663.426465971</v>
      </c>
      <c r="J175" s="156">
        <v>2703639.66068884</v>
      </c>
      <c r="K175" s="81">
        <v>-2780532.038897123</v>
      </c>
      <c r="L175" s="81">
        <v>-2750190</v>
      </c>
      <c r="M175" s="82">
        <v>1590000</v>
      </c>
      <c r="N175" s="82">
        <v>254210.91578045144</v>
      </c>
      <c r="O175" s="214">
        <f t="shared" si="33"/>
        <v>3360706.449542284</v>
      </c>
      <c r="P175" s="215">
        <f t="shared" si="34"/>
        <v>161.70458786230495</v>
      </c>
      <c r="Q175" s="81"/>
      <c r="R175" s="223">
        <v>129021630.66</v>
      </c>
      <c r="S175" s="156">
        <v>82675839.06056409</v>
      </c>
      <c r="T175" s="156">
        <v>4392780.095271273</v>
      </c>
      <c r="U175" s="156">
        <v>27140461.49521174</v>
      </c>
      <c r="V175" s="156">
        <v>9241661.835225776</v>
      </c>
      <c r="W175" s="156">
        <v>7300022.311043905</v>
      </c>
      <c r="X175" s="214">
        <f t="shared" si="35"/>
        <v>1729134.1373167932</v>
      </c>
      <c r="Y175" s="215">
        <f t="shared" si="36"/>
        <v>83.19944845868226</v>
      </c>
      <c r="Z175" s="81"/>
      <c r="AA175" s="94">
        <f t="shared" si="37"/>
        <v>1631572.3122254908</v>
      </c>
      <c r="AB175" s="153">
        <f t="shared" si="38"/>
        <v>78.5051394036227</v>
      </c>
      <c r="AD175" s="216"/>
      <c r="AE175" s="224"/>
      <c r="AF175" s="224"/>
      <c r="AG175" s="224"/>
      <c r="AH175" s="225"/>
      <c r="AJ175" s="81">
        <f t="shared" si="39"/>
        <v>47617274.696227625</v>
      </c>
      <c r="AK175" s="81">
        <f t="shared" si="40"/>
        <v>1464260.0317570907</v>
      </c>
      <c r="AL175" s="81">
        <f t="shared" si="41"/>
        <v>12552798.068745768</v>
      </c>
      <c r="AM175" s="81">
        <f t="shared" si="42"/>
        <v>72330248.4066096</v>
      </c>
      <c r="AN175" s="81">
        <f t="shared" si="43"/>
        <v>0</v>
      </c>
      <c r="AO175" s="81">
        <f t="shared" si="44"/>
        <v>0</v>
      </c>
      <c r="AP175" s="81">
        <f t="shared" si="45"/>
        <v>0</v>
      </c>
      <c r="AQ175" s="81">
        <f t="shared" si="46"/>
        <v>0</v>
      </c>
      <c r="AR175" s="81">
        <f t="shared" si="47"/>
        <v>0</v>
      </c>
      <c r="AS175" s="82">
        <v>7038</v>
      </c>
      <c r="AT175" s="82"/>
      <c r="AU175" s="82">
        <v>1</v>
      </c>
      <c r="AV175" s="82">
        <v>1</v>
      </c>
      <c r="AW175" s="82">
        <f>12606195.9725084*(0.001)</f>
        <v>12606.195972508416</v>
      </c>
      <c r="AX175" s="82">
        <v>265.956203878879</v>
      </c>
      <c r="AY175" s="82">
        <v>6538.022174536936</v>
      </c>
      <c r="AZ175" s="408"/>
      <c r="BA175" s="81"/>
      <c r="BB175" s="81"/>
      <c r="BC175" s="81"/>
      <c r="BD175" s="81"/>
      <c r="BE175" s="81"/>
      <c r="BF175" s="81"/>
      <c r="BG175" s="81"/>
      <c r="BO175" s="114"/>
    </row>
    <row r="176" spans="1:67" ht="12.75">
      <c r="A176" s="81">
        <v>507</v>
      </c>
      <c r="B176" s="81" t="s">
        <v>298</v>
      </c>
      <c r="C176" s="81">
        <v>10</v>
      </c>
      <c r="D176" s="81">
        <v>5676</v>
      </c>
      <c r="E176" s="100">
        <v>14495760.660743821</v>
      </c>
      <c r="F176" s="81">
        <v>7314621.561744333</v>
      </c>
      <c r="G176" s="81">
        <v>2810733.721035537</v>
      </c>
      <c r="H176" s="81">
        <v>1908279.9253864393</v>
      </c>
      <c r="I176" s="156">
        <v>833924.3764420998</v>
      </c>
      <c r="J176" s="156">
        <v>1048421.4826250207</v>
      </c>
      <c r="K176" s="81">
        <v>157590.60050978223</v>
      </c>
      <c r="L176" s="81">
        <v>-203881</v>
      </c>
      <c r="M176" s="82">
        <v>141730</v>
      </c>
      <c r="N176" s="82">
        <v>55973.107432090736</v>
      </c>
      <c r="O176" s="214">
        <f t="shared" si="33"/>
        <v>-428366.8855685182</v>
      </c>
      <c r="P176" s="215">
        <f t="shared" si="34"/>
        <v>-75.46985298952048</v>
      </c>
      <c r="Q176" s="81"/>
      <c r="R176" s="223">
        <v>42747370</v>
      </c>
      <c r="S176" s="156">
        <v>17167436.948812854</v>
      </c>
      <c r="T176" s="156">
        <v>2862419.888079659</v>
      </c>
      <c r="U176" s="156">
        <v>16467924.932047302</v>
      </c>
      <c r="V176" s="156">
        <v>3552183.343240641</v>
      </c>
      <c r="W176" s="156">
        <v>2748582.721035537</v>
      </c>
      <c r="X176" s="214">
        <f t="shared" si="35"/>
        <v>51177.83321599662</v>
      </c>
      <c r="Y176" s="215">
        <f t="shared" si="36"/>
        <v>9.016531574347537</v>
      </c>
      <c r="Z176" s="81"/>
      <c r="AA176" s="94">
        <f t="shared" si="37"/>
        <v>-479544.7187845148</v>
      </c>
      <c r="AB176" s="153">
        <f t="shared" si="38"/>
        <v>-84.48638456386801</v>
      </c>
      <c r="AD176" s="216"/>
      <c r="AE176" s="224"/>
      <c r="AF176" s="224"/>
      <c r="AG176" s="224"/>
      <c r="AH176" s="225"/>
      <c r="AJ176" s="81">
        <f t="shared" si="39"/>
        <v>9852815.387068521</v>
      </c>
      <c r="AK176" s="81">
        <f t="shared" si="40"/>
        <v>954139.9626932198</v>
      </c>
      <c r="AL176" s="81">
        <f t="shared" si="41"/>
        <v>15634000.555605203</v>
      </c>
      <c r="AM176" s="81">
        <f t="shared" si="42"/>
        <v>28251609.33925618</v>
      </c>
      <c r="AN176" s="81">
        <f t="shared" si="43"/>
        <v>0</v>
      </c>
      <c r="AO176" s="81">
        <f t="shared" si="44"/>
        <v>0</v>
      </c>
      <c r="AP176" s="81">
        <f t="shared" si="45"/>
        <v>0</v>
      </c>
      <c r="AQ176" s="81">
        <f t="shared" si="46"/>
        <v>0</v>
      </c>
      <c r="AR176" s="81">
        <f t="shared" si="47"/>
        <v>0</v>
      </c>
      <c r="AS176" s="82">
        <v>1887</v>
      </c>
      <c r="AT176" s="82"/>
      <c r="AU176" s="82"/>
      <c r="AV176" s="82">
        <v>0</v>
      </c>
      <c r="AW176" s="82">
        <f>13593362.9941348*(0.001)</f>
        <v>13593.362994134837</v>
      </c>
      <c r="AX176" s="82">
        <v>-1668.7634474973927</v>
      </c>
      <c r="AY176" s="82">
        <v>2503.76186061562</v>
      </c>
      <c r="AZ176" s="408"/>
      <c r="BA176" s="81"/>
      <c r="BB176" s="81"/>
      <c r="BC176" s="81"/>
      <c r="BD176" s="81"/>
      <c r="BE176" s="81"/>
      <c r="BF176" s="81"/>
      <c r="BG176" s="81"/>
      <c r="BO176" s="114"/>
    </row>
    <row r="177" spans="1:67" ht="12.75">
      <c r="A177" s="81">
        <v>508</v>
      </c>
      <c r="B177" s="81" t="s">
        <v>297</v>
      </c>
      <c r="C177" s="81">
        <v>6</v>
      </c>
      <c r="D177" s="81">
        <v>9673</v>
      </c>
      <c r="E177" s="100">
        <v>23620662.28537807</v>
      </c>
      <c r="F177" s="81">
        <v>17859973.63809708</v>
      </c>
      <c r="G177" s="81">
        <v>3067024.72767965</v>
      </c>
      <c r="H177" s="81">
        <v>2956664.4284191304</v>
      </c>
      <c r="I177" s="156">
        <v>374929.9618154778</v>
      </c>
      <c r="J177" s="156">
        <v>1533493.7873693109</v>
      </c>
      <c r="K177" s="81">
        <v>370512.5670973977</v>
      </c>
      <c r="L177" s="81">
        <v>-1216093</v>
      </c>
      <c r="M177" s="82">
        <v>0</v>
      </c>
      <c r="N177" s="82">
        <v>115468.69909134727</v>
      </c>
      <c r="O177" s="214">
        <f t="shared" si="33"/>
        <v>1441312.5241913274</v>
      </c>
      <c r="P177" s="215">
        <f t="shared" si="34"/>
        <v>149.00367251021683</v>
      </c>
      <c r="Q177" s="81"/>
      <c r="R177" s="223">
        <v>70265191</v>
      </c>
      <c r="S177" s="156">
        <v>38675652.469982</v>
      </c>
      <c r="T177" s="156">
        <v>4434996.642628696</v>
      </c>
      <c r="U177" s="156">
        <v>21770331.71198741</v>
      </c>
      <c r="V177" s="156">
        <v>5223847.034504892</v>
      </c>
      <c r="W177" s="156">
        <v>1850931.7276796498</v>
      </c>
      <c r="X177" s="214">
        <f t="shared" si="35"/>
        <v>1690568.5867826492</v>
      </c>
      <c r="Y177" s="215">
        <f t="shared" si="36"/>
        <v>174.77189980178323</v>
      </c>
      <c r="Z177" s="81"/>
      <c r="AA177" s="94">
        <f t="shared" si="37"/>
        <v>-249256.06259132177</v>
      </c>
      <c r="AB177" s="153">
        <f t="shared" si="38"/>
        <v>-25.768227291566397</v>
      </c>
      <c r="AD177" s="216"/>
      <c r="AE177" s="224"/>
      <c r="AF177" s="224"/>
      <c r="AG177" s="224"/>
      <c r="AH177" s="225"/>
      <c r="AJ177" s="81">
        <f t="shared" si="39"/>
        <v>20815678.831884917</v>
      </c>
      <c r="AK177" s="81">
        <f t="shared" si="40"/>
        <v>1478332.2142095654</v>
      </c>
      <c r="AL177" s="81">
        <f t="shared" si="41"/>
        <v>21395401.750171933</v>
      </c>
      <c r="AM177" s="81">
        <f t="shared" si="42"/>
        <v>46644528.71462193</v>
      </c>
      <c r="AN177" s="81">
        <f t="shared" si="43"/>
        <v>0</v>
      </c>
      <c r="AO177" s="81">
        <f t="shared" si="44"/>
        <v>0</v>
      </c>
      <c r="AP177" s="81">
        <f t="shared" si="45"/>
        <v>0</v>
      </c>
      <c r="AQ177" s="81">
        <f t="shared" si="46"/>
        <v>0</v>
      </c>
      <c r="AR177" s="81">
        <f t="shared" si="47"/>
        <v>0</v>
      </c>
      <c r="AS177" s="82">
        <v>2676</v>
      </c>
      <c r="AT177" s="82"/>
      <c r="AU177" s="82"/>
      <c r="AV177" s="82">
        <v>0</v>
      </c>
      <c r="AW177" s="82">
        <f>20416342.5550258*(0.001)</f>
        <v>20416.342555025833</v>
      </c>
      <c r="AX177" s="82">
        <v>-981.2598030535785</v>
      </c>
      <c r="AY177" s="82">
        <v>3690.3532471355816</v>
      </c>
      <c r="AZ177" s="408"/>
      <c r="BA177" s="81"/>
      <c r="BB177" s="81"/>
      <c r="BC177" s="81"/>
      <c r="BD177" s="81"/>
      <c r="BE177" s="81"/>
      <c r="BF177" s="81"/>
      <c r="BG177" s="81"/>
      <c r="BO177" s="114"/>
    </row>
    <row r="178" spans="1:67" ht="12.75">
      <c r="A178" s="81">
        <v>529</v>
      </c>
      <c r="B178" s="81" t="s">
        <v>299</v>
      </c>
      <c r="C178" s="81">
        <v>2</v>
      </c>
      <c r="D178" s="81">
        <v>19427</v>
      </c>
      <c r="E178" s="100">
        <v>50893947.181640625</v>
      </c>
      <c r="F178" s="81">
        <v>28280561.92478687</v>
      </c>
      <c r="G178" s="81">
        <v>6981970.50746242</v>
      </c>
      <c r="H178" s="81">
        <v>6500941.628941798</v>
      </c>
      <c r="I178" s="156">
        <v>3860219.6423266907</v>
      </c>
      <c r="J178" s="156">
        <v>2045270.9664201634</v>
      </c>
      <c r="K178" s="81">
        <v>1434989.8255881038</v>
      </c>
      <c r="L178" s="81">
        <v>-1792814</v>
      </c>
      <c r="M178" s="82">
        <v>1549100</v>
      </c>
      <c r="N178" s="82">
        <v>279228.80988101783</v>
      </c>
      <c r="O178" s="214">
        <f t="shared" si="33"/>
        <v>-1754477.8762335628</v>
      </c>
      <c r="P178" s="215">
        <f t="shared" si="34"/>
        <v>-90.31131292703778</v>
      </c>
      <c r="Q178" s="81"/>
      <c r="R178" s="223">
        <v>119454589</v>
      </c>
      <c r="S178" s="156">
        <v>78941932.3353611</v>
      </c>
      <c r="T178" s="156">
        <v>9751412.443412697</v>
      </c>
      <c r="U178" s="156">
        <v>14679762.435897226</v>
      </c>
      <c r="V178" s="156">
        <v>7064713.577353627</v>
      </c>
      <c r="W178" s="156">
        <v>6738256.50746242</v>
      </c>
      <c r="X178" s="214">
        <f t="shared" si="35"/>
        <v>-2278511.7005129457</v>
      </c>
      <c r="Y178" s="215">
        <f t="shared" si="36"/>
        <v>-117.28582387980366</v>
      </c>
      <c r="Z178" s="81"/>
      <c r="AA178" s="94">
        <f t="shared" si="37"/>
        <v>524033.8242793828</v>
      </c>
      <c r="AB178" s="153">
        <f t="shared" si="38"/>
        <v>26.974510952765883</v>
      </c>
      <c r="AD178" s="216"/>
      <c r="AE178" s="224"/>
      <c r="AF178" s="224"/>
      <c r="AG178" s="224"/>
      <c r="AH178" s="225"/>
      <c r="AJ178" s="81">
        <f t="shared" si="39"/>
        <v>50661370.41057423</v>
      </c>
      <c r="AK178" s="81">
        <f t="shared" si="40"/>
        <v>3250470.8144708993</v>
      </c>
      <c r="AL178" s="81">
        <f t="shared" si="41"/>
        <v>10819542.793570535</v>
      </c>
      <c r="AM178" s="81">
        <f t="shared" si="42"/>
        <v>68560641.81835938</v>
      </c>
      <c r="AN178" s="81">
        <f t="shared" si="43"/>
        <v>0</v>
      </c>
      <c r="AO178" s="81">
        <f t="shared" si="44"/>
        <v>0</v>
      </c>
      <c r="AP178" s="81">
        <f t="shared" si="45"/>
        <v>0</v>
      </c>
      <c r="AQ178" s="81">
        <f t="shared" si="46"/>
        <v>0</v>
      </c>
      <c r="AR178" s="81">
        <f t="shared" si="47"/>
        <v>0</v>
      </c>
      <c r="AS178" s="82">
        <v>8909</v>
      </c>
      <c r="AT178" s="82">
        <v>220</v>
      </c>
      <c r="AU178" s="82"/>
      <c r="AV178" s="82">
        <v>220</v>
      </c>
      <c r="AW178" s="82">
        <f>16799660.8863816*(0.001)</f>
        <v>16799.660886381596</v>
      </c>
      <c r="AX178" s="82">
        <v>4490.490550720423</v>
      </c>
      <c r="AY178" s="82">
        <v>5019.442610933464</v>
      </c>
      <c r="AZ178" s="408"/>
      <c r="BA178" s="81"/>
      <c r="BB178" s="81"/>
      <c r="BC178" s="81"/>
      <c r="BD178" s="81"/>
      <c r="BE178" s="81"/>
      <c r="BF178" s="81"/>
      <c r="BG178" s="81"/>
      <c r="BO178" s="114"/>
    </row>
    <row r="179" spans="1:67" ht="12.75">
      <c r="A179" s="81">
        <v>531</v>
      </c>
      <c r="B179" s="81" t="s">
        <v>300</v>
      </c>
      <c r="C179" s="81">
        <v>4</v>
      </c>
      <c r="D179" s="81">
        <v>5256</v>
      </c>
      <c r="E179" s="100">
        <v>12700834.412320703</v>
      </c>
      <c r="F179" s="81">
        <v>8579765.149879426</v>
      </c>
      <c r="G179" s="81">
        <v>1634177.8834836653</v>
      </c>
      <c r="H179" s="81">
        <v>437518.3917585827</v>
      </c>
      <c r="I179" s="156">
        <v>2925471.3483715486</v>
      </c>
      <c r="J179" s="156">
        <v>812061.4695029364</v>
      </c>
      <c r="K179" s="81">
        <v>98572.72768086045</v>
      </c>
      <c r="L179" s="81">
        <v>-480038</v>
      </c>
      <c r="M179" s="82">
        <v>10000</v>
      </c>
      <c r="N179" s="82">
        <v>59685.01474861974</v>
      </c>
      <c r="O179" s="214">
        <f t="shared" si="33"/>
        <v>1376379.5731049366</v>
      </c>
      <c r="P179" s="215">
        <f t="shared" si="34"/>
        <v>261.8682597231615</v>
      </c>
      <c r="Q179" s="81"/>
      <c r="R179" s="223">
        <v>33627000</v>
      </c>
      <c r="S179" s="156">
        <v>19884634.336089972</v>
      </c>
      <c r="T179" s="156">
        <v>656277.5876378741</v>
      </c>
      <c r="U179" s="156">
        <v>10318904.712796092</v>
      </c>
      <c r="V179" s="156">
        <v>2760834.131891488</v>
      </c>
      <c r="W179" s="156">
        <v>1164139.8834836653</v>
      </c>
      <c r="X179" s="214">
        <f t="shared" si="35"/>
        <v>1157790.651899092</v>
      </c>
      <c r="Y179" s="215">
        <f t="shared" si="36"/>
        <v>220.2798043948044</v>
      </c>
      <c r="Z179" s="81"/>
      <c r="AA179" s="94">
        <f t="shared" si="37"/>
        <v>218588.92120584473</v>
      </c>
      <c r="AB179" s="153">
        <f t="shared" si="38"/>
        <v>41.588455328357064</v>
      </c>
      <c r="AD179" s="216"/>
      <c r="AE179" s="224"/>
      <c r="AF179" s="224"/>
      <c r="AG179" s="224"/>
      <c r="AH179" s="225"/>
      <c r="AJ179" s="81">
        <f t="shared" si="39"/>
        <v>11304869.186210547</v>
      </c>
      <c r="AK179" s="81">
        <f t="shared" si="40"/>
        <v>218759.1958792914</v>
      </c>
      <c r="AL179" s="81">
        <f t="shared" si="41"/>
        <v>7393433.364424543</v>
      </c>
      <c r="AM179" s="81">
        <f t="shared" si="42"/>
        <v>20926165.587679297</v>
      </c>
      <c r="AN179" s="81">
        <f t="shared" si="43"/>
        <v>0</v>
      </c>
      <c r="AO179" s="81">
        <f t="shared" si="44"/>
        <v>0</v>
      </c>
      <c r="AP179" s="81">
        <f t="shared" si="45"/>
        <v>0</v>
      </c>
      <c r="AQ179" s="81">
        <f t="shared" si="46"/>
        <v>0</v>
      </c>
      <c r="AR179" s="81">
        <f t="shared" si="47"/>
        <v>0</v>
      </c>
      <c r="AS179" s="82">
        <v>1467</v>
      </c>
      <c r="AT179" s="82">
        <v>69</v>
      </c>
      <c r="AU179" s="82">
        <v>28</v>
      </c>
      <c r="AV179" s="82">
        <v>97</v>
      </c>
      <c r="AW179" s="82">
        <f>6608833.83301603*(0.001)</f>
        <v>6608.833833016029</v>
      </c>
      <c r="AX179" s="82">
        <v>-1071.320664779183</v>
      </c>
      <c r="AY179" s="82">
        <v>1948.7726623885517</v>
      </c>
      <c r="AZ179" s="408"/>
      <c r="BA179" s="81"/>
      <c r="BB179" s="81"/>
      <c r="BC179" s="81"/>
      <c r="BD179" s="81"/>
      <c r="BE179" s="81"/>
      <c r="BF179" s="81"/>
      <c r="BG179" s="81"/>
      <c r="BO179" s="114"/>
    </row>
    <row r="180" spans="1:67" ht="12.75">
      <c r="A180" s="81">
        <v>535</v>
      </c>
      <c r="B180" s="81" t="s">
        <v>301</v>
      </c>
      <c r="C180" s="81">
        <v>17</v>
      </c>
      <c r="D180" s="81">
        <v>10500</v>
      </c>
      <c r="E180" s="100">
        <v>31369225.041293234</v>
      </c>
      <c r="F180" s="81">
        <v>14527994.69117997</v>
      </c>
      <c r="G180" s="81">
        <v>2539786.884224033</v>
      </c>
      <c r="H180" s="81">
        <v>1007186.9755514201</v>
      </c>
      <c r="I180" s="156">
        <v>14622111.61344277</v>
      </c>
      <c r="J180" s="156">
        <v>1801471.1822060933</v>
      </c>
      <c r="K180" s="81">
        <v>389685.66965787805</v>
      </c>
      <c r="L180" s="81">
        <v>-954032</v>
      </c>
      <c r="M180" s="82">
        <v>690000</v>
      </c>
      <c r="N180" s="82">
        <v>88514.46806349035</v>
      </c>
      <c r="O180" s="214">
        <f t="shared" si="33"/>
        <v>3343494.443032421</v>
      </c>
      <c r="P180" s="215">
        <f t="shared" si="34"/>
        <v>318.4280421935639</v>
      </c>
      <c r="Q180" s="81"/>
      <c r="R180" s="223">
        <v>76430855</v>
      </c>
      <c r="S180" s="156">
        <v>31114249.311812583</v>
      </c>
      <c r="T180" s="156">
        <v>1510780.4633271303</v>
      </c>
      <c r="U180" s="156">
        <v>38269583.756805435</v>
      </c>
      <c r="V180" s="156">
        <v>6094793.519815528</v>
      </c>
      <c r="W180" s="156">
        <v>2275754.884224033</v>
      </c>
      <c r="X180" s="214">
        <f t="shared" si="35"/>
        <v>2834306.935984716</v>
      </c>
      <c r="Y180" s="215">
        <f t="shared" si="36"/>
        <v>269.93399390330626</v>
      </c>
      <c r="Z180" s="81"/>
      <c r="AA180" s="94">
        <f t="shared" si="37"/>
        <v>509187.50704770535</v>
      </c>
      <c r="AB180" s="153">
        <f t="shared" si="38"/>
        <v>48.49404829025765</v>
      </c>
      <c r="AD180" s="216"/>
      <c r="AE180" s="224"/>
      <c r="AF180" s="224"/>
      <c r="AG180" s="224"/>
      <c r="AH180" s="225"/>
      <c r="AJ180" s="81">
        <f t="shared" si="39"/>
        <v>16586254.620632613</v>
      </c>
      <c r="AK180" s="81">
        <f t="shared" si="40"/>
        <v>503593.4877757102</v>
      </c>
      <c r="AL180" s="81">
        <f t="shared" si="41"/>
        <v>23647472.143362664</v>
      </c>
      <c r="AM180" s="81">
        <f t="shared" si="42"/>
        <v>45061629.95870677</v>
      </c>
      <c r="AN180" s="81">
        <f t="shared" si="43"/>
        <v>0</v>
      </c>
      <c r="AO180" s="81">
        <f t="shared" si="44"/>
        <v>0</v>
      </c>
      <c r="AP180" s="81">
        <f t="shared" si="45"/>
        <v>0</v>
      </c>
      <c r="AQ180" s="81">
        <f t="shared" si="46"/>
        <v>0</v>
      </c>
      <c r="AR180" s="81">
        <f t="shared" si="47"/>
        <v>0</v>
      </c>
      <c r="AS180" s="82">
        <v>2294</v>
      </c>
      <c r="AT180" s="82">
        <v>7</v>
      </c>
      <c r="AU180" s="82"/>
      <c r="AV180" s="82">
        <v>7</v>
      </c>
      <c r="AW180" s="82">
        <f>18774531.0121961*(0.001)</f>
        <v>18774.531012196072</v>
      </c>
      <c r="AX180" s="82">
        <v>-5646.747687005371</v>
      </c>
      <c r="AY180" s="82">
        <v>4293.322337609435</v>
      </c>
      <c r="AZ180" s="408"/>
      <c r="BA180" s="81"/>
      <c r="BB180" s="81"/>
      <c r="BC180" s="81"/>
      <c r="BD180" s="81"/>
      <c r="BE180" s="81"/>
      <c r="BF180" s="81"/>
      <c r="BG180" s="81"/>
      <c r="BO180" s="114"/>
    </row>
    <row r="181" spans="1:67" ht="12.75">
      <c r="A181" s="81">
        <v>536</v>
      </c>
      <c r="B181" s="81" t="s">
        <v>302</v>
      </c>
      <c r="C181" s="81">
        <v>6</v>
      </c>
      <c r="D181" s="81">
        <v>34476</v>
      </c>
      <c r="E181" s="100">
        <v>87141560.15746608</v>
      </c>
      <c r="F181" s="81">
        <v>57108016.84254208</v>
      </c>
      <c r="G181" s="81">
        <v>9547201.40116454</v>
      </c>
      <c r="H181" s="81">
        <v>5893970.378156281</v>
      </c>
      <c r="I181" s="156">
        <v>19689622.27727725</v>
      </c>
      <c r="J181" s="156">
        <v>3828542.1005838513</v>
      </c>
      <c r="K181" s="81">
        <v>1656113.3094226038</v>
      </c>
      <c r="L181" s="81">
        <v>-3672600</v>
      </c>
      <c r="M181" s="82">
        <v>-160840</v>
      </c>
      <c r="N181" s="82">
        <v>418379.2296224181</v>
      </c>
      <c r="O181" s="214">
        <f t="shared" si="33"/>
        <v>7166845.381302938</v>
      </c>
      <c r="P181" s="215">
        <f t="shared" si="34"/>
        <v>207.8792603928222</v>
      </c>
      <c r="Q181" s="81"/>
      <c r="R181" s="223">
        <v>195620149</v>
      </c>
      <c r="S181" s="156">
        <v>134939209.98281208</v>
      </c>
      <c r="T181" s="156">
        <v>8840955.567234421</v>
      </c>
      <c r="U181" s="156">
        <v>40910561.08827324</v>
      </c>
      <c r="V181" s="156">
        <v>13158674.089057604</v>
      </c>
      <c r="W181" s="156">
        <v>5713761.401164539</v>
      </c>
      <c r="X181" s="214">
        <f t="shared" si="35"/>
        <v>7943013.128541887</v>
      </c>
      <c r="Y181" s="215">
        <f t="shared" si="36"/>
        <v>230.39253766509708</v>
      </c>
      <c r="Z181" s="81"/>
      <c r="AA181" s="94">
        <f t="shared" si="37"/>
        <v>-776167.7472389489</v>
      </c>
      <c r="AB181" s="153">
        <f t="shared" si="38"/>
        <v>-22.513277272274884</v>
      </c>
      <c r="AD181" s="216"/>
      <c r="AE181" s="224"/>
      <c r="AF181" s="224"/>
      <c r="AG181" s="224"/>
      <c r="AH181" s="225"/>
      <c r="AJ181" s="81">
        <f t="shared" si="39"/>
        <v>77831193.14027</v>
      </c>
      <c r="AK181" s="81">
        <f t="shared" si="40"/>
        <v>2946985.18907814</v>
      </c>
      <c r="AL181" s="81">
        <f t="shared" si="41"/>
        <v>21220938.810995992</v>
      </c>
      <c r="AM181" s="81">
        <f t="shared" si="42"/>
        <v>108478588.84253392</v>
      </c>
      <c r="AN181" s="81">
        <f t="shared" si="43"/>
        <v>0</v>
      </c>
      <c r="AO181" s="81">
        <f t="shared" si="44"/>
        <v>0</v>
      </c>
      <c r="AP181" s="81">
        <f t="shared" si="45"/>
        <v>0</v>
      </c>
      <c r="AQ181" s="81">
        <f t="shared" si="46"/>
        <v>0</v>
      </c>
      <c r="AR181" s="81">
        <f t="shared" si="47"/>
        <v>0</v>
      </c>
      <c r="AS181" s="82">
        <v>13425</v>
      </c>
      <c r="AT181" s="82">
        <v>46</v>
      </c>
      <c r="AU181" s="82"/>
      <c r="AV181" s="82">
        <v>46</v>
      </c>
      <c r="AW181" s="82">
        <f>22571559.9969138*(0.001)</f>
        <v>22571.559996913787</v>
      </c>
      <c r="AX181" s="82">
        <v>1006.8590226174707</v>
      </c>
      <c r="AY181" s="82">
        <v>9330.131988473753</v>
      </c>
      <c r="AZ181" s="408"/>
      <c r="BA181" s="81"/>
      <c r="BB181" s="81"/>
      <c r="BC181" s="81"/>
      <c r="BD181" s="81"/>
      <c r="BE181" s="81"/>
      <c r="BF181" s="81"/>
      <c r="BG181" s="81"/>
      <c r="BO181" s="114"/>
    </row>
    <row r="182" spans="1:67" ht="12.75">
      <c r="A182" s="81">
        <v>538</v>
      </c>
      <c r="B182" s="81" t="s">
        <v>303</v>
      </c>
      <c r="C182" s="81">
        <v>2</v>
      </c>
      <c r="D182" s="81">
        <v>4693</v>
      </c>
      <c r="E182" s="100">
        <v>13956691.296798905</v>
      </c>
      <c r="F182" s="81">
        <v>8387240.269098179</v>
      </c>
      <c r="G182" s="81">
        <v>858582.4155069886</v>
      </c>
      <c r="H182" s="81">
        <v>259305.66977511736</v>
      </c>
      <c r="I182" s="156">
        <v>4081451.30916349</v>
      </c>
      <c r="J182" s="156">
        <v>701246.5523761685</v>
      </c>
      <c r="K182" s="81">
        <v>323826.13754941407</v>
      </c>
      <c r="L182" s="81">
        <v>674348</v>
      </c>
      <c r="M182" s="82">
        <v>-113900</v>
      </c>
      <c r="N182" s="82">
        <v>55881.53100737603</v>
      </c>
      <c r="O182" s="214">
        <f t="shared" si="33"/>
        <v>1271290.587677829</v>
      </c>
      <c r="P182" s="215">
        <f t="shared" si="34"/>
        <v>270.8908134834496</v>
      </c>
      <c r="Q182" s="81"/>
      <c r="R182" s="223">
        <v>29518628</v>
      </c>
      <c r="S182" s="156">
        <v>19046861.751448244</v>
      </c>
      <c r="T182" s="156">
        <v>388958.5046626761</v>
      </c>
      <c r="U182" s="156">
        <v>7537856.79407516</v>
      </c>
      <c r="V182" s="156">
        <v>2387112.15736211</v>
      </c>
      <c r="W182" s="156">
        <v>1419030.4155069888</v>
      </c>
      <c r="X182" s="214">
        <f t="shared" si="35"/>
        <v>1261191.6230551787</v>
      </c>
      <c r="Y182" s="215">
        <f t="shared" si="36"/>
        <v>268.7388926177666</v>
      </c>
      <c r="Z182" s="81"/>
      <c r="AA182" s="94">
        <f t="shared" si="37"/>
        <v>10098.964622650295</v>
      </c>
      <c r="AB182" s="153">
        <f t="shared" si="38"/>
        <v>2.151920865682995</v>
      </c>
      <c r="AD182" s="216"/>
      <c r="AE182" s="224"/>
      <c r="AF182" s="224"/>
      <c r="AG182" s="224"/>
      <c r="AH182" s="225"/>
      <c r="AJ182" s="81">
        <f t="shared" si="39"/>
        <v>10659621.482350064</v>
      </c>
      <c r="AK182" s="81">
        <f t="shared" si="40"/>
        <v>129652.83488755871</v>
      </c>
      <c r="AL182" s="81">
        <f t="shared" si="41"/>
        <v>3456405.4849116704</v>
      </c>
      <c r="AM182" s="81">
        <f t="shared" si="42"/>
        <v>15561936.703201095</v>
      </c>
      <c r="AN182" s="81">
        <f t="shared" si="43"/>
        <v>0</v>
      </c>
      <c r="AO182" s="81">
        <f t="shared" si="44"/>
        <v>0</v>
      </c>
      <c r="AP182" s="81">
        <f t="shared" si="45"/>
        <v>0</v>
      </c>
      <c r="AQ182" s="81">
        <f t="shared" si="46"/>
        <v>0</v>
      </c>
      <c r="AR182" s="81">
        <f t="shared" si="47"/>
        <v>0</v>
      </c>
      <c r="AS182" s="82">
        <v>1054</v>
      </c>
      <c r="AT182" s="82"/>
      <c r="AU182" s="82"/>
      <c r="AV182" s="82">
        <v>0</v>
      </c>
      <c r="AW182" s="82">
        <f>3217281.23931733*(0.001)</f>
        <v>3217.28123931733</v>
      </c>
      <c r="AX182" s="82">
        <v>-467.2654572347139</v>
      </c>
      <c r="AY182" s="82">
        <v>1685.8656049859414</v>
      </c>
      <c r="AZ182" s="408"/>
      <c r="BA182" s="81"/>
      <c r="BB182" s="81"/>
      <c r="BC182" s="81"/>
      <c r="BD182" s="81"/>
      <c r="BE182" s="81"/>
      <c r="BF182" s="81"/>
      <c r="BG182" s="81"/>
      <c r="BO182" s="114"/>
    </row>
    <row r="183" spans="1:67" ht="12.75">
      <c r="A183" s="81">
        <v>541</v>
      </c>
      <c r="B183" s="81" t="s">
        <v>304</v>
      </c>
      <c r="C183" s="81">
        <v>12</v>
      </c>
      <c r="D183" s="81">
        <v>9501</v>
      </c>
      <c r="E183" s="100">
        <v>31176608.76170028</v>
      </c>
      <c r="F183" s="81">
        <v>11115528.711855587</v>
      </c>
      <c r="G183" s="81">
        <v>2103954.755783904</v>
      </c>
      <c r="H183" s="81">
        <v>2358191.9989123116</v>
      </c>
      <c r="I183" s="156">
        <v>5709710.607827787</v>
      </c>
      <c r="J183" s="156">
        <v>1864703.1438609408</v>
      </c>
      <c r="K183" s="81">
        <v>4803728.971784369</v>
      </c>
      <c r="L183" s="81">
        <v>-988214</v>
      </c>
      <c r="M183" s="82">
        <v>401597</v>
      </c>
      <c r="N183" s="82">
        <v>84554.6504866017</v>
      </c>
      <c r="O183" s="214">
        <f t="shared" si="33"/>
        <v>-3722852.921188779</v>
      </c>
      <c r="P183" s="215">
        <f t="shared" si="34"/>
        <v>-391.8380087557919</v>
      </c>
      <c r="Q183" s="81"/>
      <c r="R183" s="223">
        <v>75840222</v>
      </c>
      <c r="S183" s="156">
        <v>26261742.746902235</v>
      </c>
      <c r="T183" s="156">
        <v>3537287.998368468</v>
      </c>
      <c r="U183" s="156">
        <v>37898888.7416924</v>
      </c>
      <c r="V183" s="156">
        <v>6296639.89962689</v>
      </c>
      <c r="W183" s="156">
        <v>1517337.7557839039</v>
      </c>
      <c r="X183" s="214">
        <f t="shared" si="35"/>
        <v>-328324.8576261103</v>
      </c>
      <c r="Y183" s="215">
        <f t="shared" si="36"/>
        <v>-34.55687376340494</v>
      </c>
      <c r="Z183" s="81"/>
      <c r="AA183" s="94">
        <f t="shared" si="37"/>
        <v>-3394528.063562669</v>
      </c>
      <c r="AB183" s="153">
        <f t="shared" si="38"/>
        <v>-357.281134992387</v>
      </c>
      <c r="AD183" s="216"/>
      <c r="AE183" s="224"/>
      <c r="AF183" s="224"/>
      <c r="AG183" s="224"/>
      <c r="AH183" s="225"/>
      <c r="AJ183" s="81">
        <f t="shared" si="39"/>
        <v>15146214.035046648</v>
      </c>
      <c r="AK183" s="81">
        <f t="shared" si="40"/>
        <v>1179095.9994561565</v>
      </c>
      <c r="AL183" s="81">
        <f t="shared" si="41"/>
        <v>32189178.133864615</v>
      </c>
      <c r="AM183" s="81">
        <f t="shared" si="42"/>
        <v>44663613.23829972</v>
      </c>
      <c r="AN183" s="81">
        <f t="shared" si="43"/>
        <v>0</v>
      </c>
      <c r="AO183" s="81">
        <f t="shared" si="44"/>
        <v>0</v>
      </c>
      <c r="AP183" s="81">
        <f t="shared" si="45"/>
        <v>0</v>
      </c>
      <c r="AQ183" s="81">
        <f t="shared" si="46"/>
        <v>0</v>
      </c>
      <c r="AR183" s="81">
        <f t="shared" si="47"/>
        <v>0</v>
      </c>
      <c r="AS183" s="82">
        <v>5178</v>
      </c>
      <c r="AT183" s="82"/>
      <c r="AU183" s="82"/>
      <c r="AV183" s="82">
        <v>0</v>
      </c>
      <c r="AW183" s="82">
        <f>27650315.720961*(0.001)</f>
        <v>27650.315720961033</v>
      </c>
      <c r="AX183" s="82">
        <v>-4351.189525859142</v>
      </c>
      <c r="AY183" s="82">
        <v>4431.93675576595</v>
      </c>
      <c r="AZ183" s="408"/>
      <c r="BA183" s="81"/>
      <c r="BB183" s="81"/>
      <c r="BC183" s="81"/>
      <c r="BD183" s="81"/>
      <c r="BE183" s="81"/>
      <c r="BF183" s="81"/>
      <c r="BG183" s="81"/>
      <c r="BO183" s="114"/>
    </row>
    <row r="184" spans="1:67" ht="12.75">
      <c r="A184" s="81">
        <v>543</v>
      </c>
      <c r="B184" s="81" t="s">
        <v>305</v>
      </c>
      <c r="C184" s="81">
        <v>1</v>
      </c>
      <c r="D184" s="81">
        <v>43663</v>
      </c>
      <c r="E184" s="100">
        <v>117492182.30678196</v>
      </c>
      <c r="F184" s="81">
        <v>69755268.0339936</v>
      </c>
      <c r="G184" s="81">
        <v>11940793.7485285</v>
      </c>
      <c r="H184" s="81">
        <v>5589713.762931987</v>
      </c>
      <c r="I184" s="156">
        <v>27121977.31165323</v>
      </c>
      <c r="J184" s="156">
        <v>4414075.462229388</v>
      </c>
      <c r="K184" s="81">
        <v>-566084.5831942551</v>
      </c>
      <c r="L184" s="81">
        <v>-6641010</v>
      </c>
      <c r="M184" s="82">
        <v>1114000</v>
      </c>
      <c r="N184" s="82">
        <v>596720.0964523121</v>
      </c>
      <c r="O184" s="214">
        <f t="shared" si="33"/>
        <v>-4166728.4741871953</v>
      </c>
      <c r="P184" s="215">
        <f t="shared" si="34"/>
        <v>-95.42927591295137</v>
      </c>
      <c r="Q184" s="81"/>
      <c r="R184" s="223">
        <v>251502208.57</v>
      </c>
      <c r="S184" s="156">
        <v>182171585.4917326</v>
      </c>
      <c r="T184" s="156">
        <v>8384570.6443979805</v>
      </c>
      <c r="U184" s="156">
        <v>35276048.331290446</v>
      </c>
      <c r="V184" s="156">
        <v>15252185.684689501</v>
      </c>
      <c r="W184" s="156">
        <v>6413783.748528499</v>
      </c>
      <c r="X184" s="214">
        <f t="shared" si="35"/>
        <v>-4004034.6693609655</v>
      </c>
      <c r="Y184" s="215">
        <f t="shared" si="36"/>
        <v>-91.70315070794415</v>
      </c>
      <c r="Z184" s="81"/>
      <c r="AA184" s="94">
        <f t="shared" si="37"/>
        <v>-162693.8048262298</v>
      </c>
      <c r="AB184" s="153">
        <f t="shared" si="38"/>
        <v>-3.72612520500721</v>
      </c>
      <c r="AD184" s="216"/>
      <c r="AE184" s="224"/>
      <c r="AF184" s="224"/>
      <c r="AG184" s="224"/>
      <c r="AH184" s="225"/>
      <c r="AJ184" s="81">
        <f t="shared" si="39"/>
        <v>112416317.457739</v>
      </c>
      <c r="AK184" s="81">
        <f t="shared" si="40"/>
        <v>2794856.881465994</v>
      </c>
      <c r="AL184" s="81">
        <f t="shared" si="41"/>
        <v>8154071.019637216</v>
      </c>
      <c r="AM184" s="81">
        <f t="shared" si="42"/>
        <v>134010026.26321803</v>
      </c>
      <c r="AN184" s="81">
        <f t="shared" si="43"/>
        <v>0</v>
      </c>
      <c r="AO184" s="81">
        <f t="shared" si="44"/>
        <v>0</v>
      </c>
      <c r="AP184" s="81">
        <f t="shared" si="45"/>
        <v>0</v>
      </c>
      <c r="AQ184" s="81">
        <f t="shared" si="46"/>
        <v>0</v>
      </c>
      <c r="AR184" s="81">
        <f t="shared" si="47"/>
        <v>0</v>
      </c>
      <c r="AS184" s="82">
        <v>18033</v>
      </c>
      <c r="AT184" s="82"/>
      <c r="AU184" s="82"/>
      <c r="AV184" s="82">
        <v>0</v>
      </c>
      <c r="AW184" s="82">
        <f>15715356.3490118*(0.001)</f>
        <v>15715.356349011752</v>
      </c>
      <c r="AX184" s="82">
        <v>8081.289688281089</v>
      </c>
      <c r="AY184" s="82">
        <v>10838.110222460113</v>
      </c>
      <c r="AZ184" s="408"/>
      <c r="BA184" s="81"/>
      <c r="BB184" s="81"/>
      <c r="BC184" s="81"/>
      <c r="BD184" s="81"/>
      <c r="BE184" s="81"/>
      <c r="BF184" s="81"/>
      <c r="BG184" s="81"/>
      <c r="BO184" s="114"/>
    </row>
    <row r="185" spans="1:67" ht="12.75">
      <c r="A185" s="81">
        <v>545</v>
      </c>
      <c r="B185" s="81" t="s">
        <v>306</v>
      </c>
      <c r="C185" s="81">
        <v>15</v>
      </c>
      <c r="D185" s="81">
        <v>9558</v>
      </c>
      <c r="E185" s="100">
        <v>29775475.26975114</v>
      </c>
      <c r="F185" s="81">
        <v>13493942.056100694</v>
      </c>
      <c r="G185" s="81">
        <v>4066840.9721077406</v>
      </c>
      <c r="H185" s="81">
        <v>2237148.3482235475</v>
      </c>
      <c r="I185" s="156">
        <v>10549105.328274766</v>
      </c>
      <c r="J185" s="156">
        <v>1997237.7620835472</v>
      </c>
      <c r="K185" s="81">
        <v>1912601.558278106</v>
      </c>
      <c r="L185" s="81">
        <v>110823</v>
      </c>
      <c r="M185" s="82">
        <v>150000</v>
      </c>
      <c r="N185" s="82">
        <v>94970.29440675728</v>
      </c>
      <c r="O185" s="214">
        <f t="shared" si="33"/>
        <v>4837194.04972402</v>
      </c>
      <c r="P185" s="215">
        <f t="shared" si="34"/>
        <v>506.0885174434003</v>
      </c>
      <c r="Q185" s="81"/>
      <c r="R185" s="223">
        <v>68843973</v>
      </c>
      <c r="S185" s="156">
        <v>30711668.621638898</v>
      </c>
      <c r="T185" s="156">
        <v>3355722.5223353216</v>
      </c>
      <c r="U185" s="156">
        <v>30119022.737692285</v>
      </c>
      <c r="V185" s="156">
        <v>6744507.287459534</v>
      </c>
      <c r="W185" s="156">
        <v>4327663.97210774</v>
      </c>
      <c r="X185" s="214">
        <f t="shared" si="35"/>
        <v>6414612.141233772</v>
      </c>
      <c r="Y185" s="215">
        <f t="shared" si="36"/>
        <v>671.1249363081996</v>
      </c>
      <c r="Z185" s="81"/>
      <c r="AA185" s="94">
        <f t="shared" si="37"/>
        <v>-1577418.091509752</v>
      </c>
      <c r="AB185" s="153">
        <f t="shared" si="38"/>
        <v>-165.03641886479932</v>
      </c>
      <c r="AD185" s="216"/>
      <c r="AE185" s="224"/>
      <c r="AF185" s="224"/>
      <c r="AG185" s="224"/>
      <c r="AH185" s="225"/>
      <c r="AJ185" s="81">
        <f t="shared" si="39"/>
        <v>17217726.565538205</v>
      </c>
      <c r="AK185" s="81">
        <f t="shared" si="40"/>
        <v>1118574.1741117742</v>
      </c>
      <c r="AL185" s="81">
        <f t="shared" si="41"/>
        <v>19569917.409417517</v>
      </c>
      <c r="AM185" s="81">
        <f t="shared" si="42"/>
        <v>39068497.73024886</v>
      </c>
      <c r="AN185" s="81">
        <f t="shared" si="43"/>
        <v>0</v>
      </c>
      <c r="AO185" s="81">
        <f t="shared" si="44"/>
        <v>0</v>
      </c>
      <c r="AP185" s="81">
        <f t="shared" si="45"/>
        <v>0</v>
      </c>
      <c r="AQ185" s="81">
        <f t="shared" si="46"/>
        <v>0</v>
      </c>
      <c r="AR185" s="81">
        <f t="shared" si="47"/>
        <v>0</v>
      </c>
      <c r="AS185" s="82">
        <v>3161</v>
      </c>
      <c r="AT185" s="82">
        <v>47</v>
      </c>
      <c r="AU185" s="82"/>
      <c r="AV185" s="82">
        <v>47</v>
      </c>
      <c r="AW185" s="82">
        <f>15634784.6312795*(0.001)</f>
        <v>15634.784631279506</v>
      </c>
      <c r="AX185" s="82">
        <v>-3637.17779988842</v>
      </c>
      <c r="AY185" s="82">
        <v>4747.269525375987</v>
      </c>
      <c r="AZ185" s="408"/>
      <c r="BA185" s="81"/>
      <c r="BB185" s="81"/>
      <c r="BC185" s="81"/>
      <c r="BD185" s="81"/>
      <c r="BE185" s="81"/>
      <c r="BF185" s="81"/>
      <c r="BG185" s="81"/>
      <c r="BO185" s="114"/>
    </row>
    <row r="186" spans="1:67" ht="12.75">
      <c r="A186" s="81">
        <v>560</v>
      </c>
      <c r="B186" s="81" t="s">
        <v>307</v>
      </c>
      <c r="C186" s="81">
        <v>7</v>
      </c>
      <c r="D186" s="81">
        <v>15882</v>
      </c>
      <c r="E186" s="100">
        <v>42323955.86174259</v>
      </c>
      <c r="F186" s="81">
        <v>25415176.07725837</v>
      </c>
      <c r="G186" s="81">
        <v>4420622.614171761</v>
      </c>
      <c r="H186" s="81">
        <v>2026439.8475814862</v>
      </c>
      <c r="I186" s="156">
        <v>10502981.63561899</v>
      </c>
      <c r="J186" s="156">
        <v>2522589.351836227</v>
      </c>
      <c r="K186" s="81">
        <v>1050959.4989816544</v>
      </c>
      <c r="L186" s="81">
        <v>-2121936</v>
      </c>
      <c r="M186" s="82">
        <v>1632000</v>
      </c>
      <c r="N186" s="82">
        <v>176430.43703156483</v>
      </c>
      <c r="O186" s="214">
        <f t="shared" si="33"/>
        <v>3301307.60073746</v>
      </c>
      <c r="P186" s="215">
        <f t="shared" si="34"/>
        <v>207.8647274107455</v>
      </c>
      <c r="Q186" s="81"/>
      <c r="R186" s="223">
        <v>100630000</v>
      </c>
      <c r="S186" s="156">
        <v>58466097.717384584</v>
      </c>
      <c r="T186" s="156">
        <v>3039659.7713722293</v>
      </c>
      <c r="U186" s="156">
        <v>30607882.39169614</v>
      </c>
      <c r="V186" s="156">
        <v>8564844.004304074</v>
      </c>
      <c r="W186" s="156">
        <v>3930686.614171761</v>
      </c>
      <c r="X186" s="214">
        <f t="shared" si="35"/>
        <v>3979170.4989287853</v>
      </c>
      <c r="Y186" s="215">
        <f t="shared" si="36"/>
        <v>250.5459324347554</v>
      </c>
      <c r="Z186" s="81"/>
      <c r="AA186" s="94">
        <f t="shared" si="37"/>
        <v>-677862.8981913254</v>
      </c>
      <c r="AB186" s="153">
        <f t="shared" si="38"/>
        <v>-42.681205024009905</v>
      </c>
      <c r="AD186" s="216"/>
      <c r="AE186" s="224"/>
      <c r="AF186" s="224"/>
      <c r="AG186" s="224"/>
      <c r="AH186" s="225"/>
      <c r="AJ186" s="81">
        <f t="shared" si="39"/>
        <v>33050921.640126213</v>
      </c>
      <c r="AK186" s="81">
        <f t="shared" si="40"/>
        <v>1013219.9237907431</v>
      </c>
      <c r="AL186" s="81">
        <f t="shared" si="41"/>
        <v>20104900.756077148</v>
      </c>
      <c r="AM186" s="81">
        <f t="shared" si="42"/>
        <v>58306044.13825741</v>
      </c>
      <c r="AN186" s="81">
        <f t="shared" si="43"/>
        <v>0</v>
      </c>
      <c r="AO186" s="81">
        <f t="shared" si="44"/>
        <v>0</v>
      </c>
      <c r="AP186" s="81">
        <f t="shared" si="45"/>
        <v>0</v>
      </c>
      <c r="AQ186" s="81">
        <f t="shared" si="46"/>
        <v>0</v>
      </c>
      <c r="AR186" s="81">
        <f t="shared" si="47"/>
        <v>0</v>
      </c>
      <c r="AS186" s="82">
        <v>4654</v>
      </c>
      <c r="AT186" s="82"/>
      <c r="AU186" s="82"/>
      <c r="AV186" s="82">
        <v>0</v>
      </c>
      <c r="AW186" s="82">
        <f>16721784.3792049*(0.001)</f>
        <v>16721.78437920493</v>
      </c>
      <c r="AX186" s="82">
        <v>-3413.1967506269566</v>
      </c>
      <c r="AY186" s="82">
        <v>6042.254652467846</v>
      </c>
      <c r="AZ186" s="408"/>
      <c r="BA186" s="81"/>
      <c r="BB186" s="81"/>
      <c r="BC186" s="81"/>
      <c r="BD186" s="81"/>
      <c r="BE186" s="81"/>
      <c r="BF186" s="81"/>
      <c r="BG186" s="81"/>
      <c r="BO186" s="114"/>
    </row>
    <row r="187" spans="1:67" ht="12.75">
      <c r="A187" s="81">
        <v>561</v>
      </c>
      <c r="B187" s="81" t="s">
        <v>308</v>
      </c>
      <c r="C187" s="81">
        <v>2</v>
      </c>
      <c r="D187" s="81">
        <v>1334</v>
      </c>
      <c r="E187" s="100">
        <v>3194555.8423164496</v>
      </c>
      <c r="F187" s="81">
        <v>1850587.289239641</v>
      </c>
      <c r="G187" s="81">
        <v>370673.90915286954</v>
      </c>
      <c r="H187" s="81">
        <v>349855.850129581</v>
      </c>
      <c r="I187" s="156">
        <v>910072.5342608332</v>
      </c>
      <c r="J187" s="156">
        <v>265701.57026486204</v>
      </c>
      <c r="K187" s="81">
        <v>94831.77244010847</v>
      </c>
      <c r="L187" s="81">
        <v>-339970</v>
      </c>
      <c r="M187" s="82">
        <v>-46000</v>
      </c>
      <c r="N187" s="82">
        <v>13382.346292741873</v>
      </c>
      <c r="O187" s="214">
        <f t="shared" si="33"/>
        <v>274579.4294641875</v>
      </c>
      <c r="P187" s="215">
        <f t="shared" si="34"/>
        <v>205.8316562700056</v>
      </c>
      <c r="Q187" s="81"/>
      <c r="R187" s="223">
        <v>8670220</v>
      </c>
      <c r="S187" s="156">
        <v>4259443.354302143</v>
      </c>
      <c r="T187" s="156">
        <v>524783.7751943715</v>
      </c>
      <c r="U187" s="156">
        <v>3413939.7933505056</v>
      </c>
      <c r="V187" s="156">
        <v>897571.4849398877</v>
      </c>
      <c r="W187" s="156">
        <v>-15296.090847130457</v>
      </c>
      <c r="X187" s="214">
        <f t="shared" si="35"/>
        <v>410222.31693977676</v>
      </c>
      <c r="Y187" s="215">
        <f t="shared" si="36"/>
        <v>307.5129812142255</v>
      </c>
      <c r="Z187" s="81"/>
      <c r="AA187" s="94">
        <f t="shared" si="37"/>
        <v>-135642.8874755893</v>
      </c>
      <c r="AB187" s="153">
        <f t="shared" si="38"/>
        <v>-101.68132494421985</v>
      </c>
      <c r="AD187" s="216"/>
      <c r="AE187" s="224"/>
      <c r="AF187" s="224"/>
      <c r="AG187" s="224"/>
      <c r="AH187" s="225"/>
      <c r="AJ187" s="81">
        <f t="shared" si="39"/>
        <v>2408856.0650625015</v>
      </c>
      <c r="AK187" s="81">
        <f t="shared" si="40"/>
        <v>174927.92506479047</v>
      </c>
      <c r="AL187" s="81">
        <f t="shared" si="41"/>
        <v>2503867.2590896725</v>
      </c>
      <c r="AM187" s="81">
        <f t="shared" si="42"/>
        <v>5475664.15768355</v>
      </c>
      <c r="AN187" s="81">
        <f t="shared" si="43"/>
        <v>0</v>
      </c>
      <c r="AO187" s="81">
        <f t="shared" si="44"/>
        <v>0</v>
      </c>
      <c r="AP187" s="81">
        <f t="shared" si="45"/>
        <v>0</v>
      </c>
      <c r="AQ187" s="81">
        <f t="shared" si="46"/>
        <v>0</v>
      </c>
      <c r="AR187" s="81">
        <f t="shared" si="47"/>
        <v>0</v>
      </c>
      <c r="AS187" s="82">
        <v>443</v>
      </c>
      <c r="AT187" s="82"/>
      <c r="AU187" s="82"/>
      <c r="AV187" s="82">
        <v>0</v>
      </c>
      <c r="AW187" s="82">
        <f>2053948.46031714*(0.001)</f>
        <v>2053.948460317145</v>
      </c>
      <c r="AX187" s="82">
        <v>-378.1105553558878</v>
      </c>
      <c r="AY187" s="82">
        <v>631.8699146750256</v>
      </c>
      <c r="AZ187" s="408"/>
      <c r="BA187" s="81"/>
      <c r="BB187" s="81"/>
      <c r="BC187" s="81"/>
      <c r="BD187" s="81"/>
      <c r="BE187" s="81"/>
      <c r="BF187" s="81"/>
      <c r="BG187" s="81"/>
      <c r="BO187" s="114"/>
    </row>
    <row r="188" spans="1:67" ht="12.75">
      <c r="A188" s="81">
        <v>562</v>
      </c>
      <c r="B188" s="81" t="s">
        <v>309</v>
      </c>
      <c r="C188" s="81">
        <v>6</v>
      </c>
      <c r="D188" s="81">
        <v>9008</v>
      </c>
      <c r="E188" s="100">
        <v>24433822.428451575</v>
      </c>
      <c r="F188" s="81">
        <v>14291476.040395228</v>
      </c>
      <c r="G188" s="81">
        <v>3041421.49504712</v>
      </c>
      <c r="H188" s="81">
        <v>1390962.468036874</v>
      </c>
      <c r="I188" s="156">
        <v>4869173.874172607</v>
      </c>
      <c r="J188" s="156">
        <v>1536312.9368832647</v>
      </c>
      <c r="K188" s="81">
        <v>508312.3096731093</v>
      </c>
      <c r="L188" s="81">
        <v>-513162</v>
      </c>
      <c r="M188" s="82">
        <v>-228000</v>
      </c>
      <c r="N188" s="82">
        <v>91251.67752638487</v>
      </c>
      <c r="O188" s="214">
        <f t="shared" si="33"/>
        <v>553926.3732830137</v>
      </c>
      <c r="P188" s="215">
        <f t="shared" si="34"/>
        <v>61.492714618451785</v>
      </c>
      <c r="Q188" s="81"/>
      <c r="R188" s="223">
        <v>61774285</v>
      </c>
      <c r="S188" s="156">
        <v>31214327.07093698</v>
      </c>
      <c r="T188" s="156">
        <v>2086443.7020553108</v>
      </c>
      <c r="U188" s="156">
        <v>21753815.137507964</v>
      </c>
      <c r="V188" s="156">
        <v>5213907.9714073315</v>
      </c>
      <c r="W188" s="156">
        <v>2300259.49504712</v>
      </c>
      <c r="X188" s="214">
        <f t="shared" si="35"/>
        <v>794468.3769547045</v>
      </c>
      <c r="Y188" s="215">
        <f t="shared" si="36"/>
        <v>88.19586777916346</v>
      </c>
      <c r="Z188" s="81"/>
      <c r="AA188" s="94">
        <f t="shared" si="37"/>
        <v>-240542.00367169082</v>
      </c>
      <c r="AB188" s="153">
        <f t="shared" si="38"/>
        <v>-26.703153160711683</v>
      </c>
      <c r="AD188" s="216"/>
      <c r="AE188" s="224"/>
      <c r="AF188" s="224"/>
      <c r="AG188" s="224"/>
      <c r="AH188" s="225"/>
      <c r="AJ188" s="81">
        <f t="shared" si="39"/>
        <v>16922851.030541755</v>
      </c>
      <c r="AK188" s="81">
        <f t="shared" si="40"/>
        <v>695481.2340184369</v>
      </c>
      <c r="AL188" s="81">
        <f t="shared" si="41"/>
        <v>16884641.263335355</v>
      </c>
      <c r="AM188" s="81">
        <f t="shared" si="42"/>
        <v>37340462.571548425</v>
      </c>
      <c r="AN188" s="81">
        <f t="shared" si="43"/>
        <v>0</v>
      </c>
      <c r="AO188" s="81">
        <f t="shared" si="44"/>
        <v>0</v>
      </c>
      <c r="AP188" s="81">
        <f t="shared" si="45"/>
        <v>0</v>
      </c>
      <c r="AQ188" s="81">
        <f t="shared" si="46"/>
        <v>0</v>
      </c>
      <c r="AR188" s="81">
        <f t="shared" si="47"/>
        <v>0</v>
      </c>
      <c r="AS188" s="82">
        <v>3140</v>
      </c>
      <c r="AT188" s="82"/>
      <c r="AU188" s="82"/>
      <c r="AV188" s="82">
        <v>0</v>
      </c>
      <c r="AW188" s="82">
        <f>14360294.7209803*(0.001)</f>
        <v>14360.294720980277</v>
      </c>
      <c r="AX188" s="82">
        <v>-2626.8218927503226</v>
      </c>
      <c r="AY188" s="82">
        <v>3677.5950345240667</v>
      </c>
      <c r="AZ188" s="408"/>
      <c r="BA188" s="81"/>
      <c r="BB188" s="81"/>
      <c r="BC188" s="81"/>
      <c r="BD188" s="81"/>
      <c r="BE188" s="81"/>
      <c r="BF188" s="81"/>
      <c r="BG188" s="81"/>
      <c r="BO188" s="114"/>
    </row>
    <row r="189" spans="1:67" ht="12.75">
      <c r="A189" s="81">
        <v>563</v>
      </c>
      <c r="B189" s="81" t="s">
        <v>310</v>
      </c>
      <c r="C189" s="81">
        <v>17</v>
      </c>
      <c r="D189" s="81">
        <v>7155</v>
      </c>
      <c r="E189" s="100">
        <v>21368373.97248003</v>
      </c>
      <c r="F189" s="81">
        <v>10950470.243801646</v>
      </c>
      <c r="G189" s="81">
        <v>2095963.118717477</v>
      </c>
      <c r="H189" s="81">
        <v>1047844.891051962</v>
      </c>
      <c r="I189" s="156">
        <v>6343177.428003065</v>
      </c>
      <c r="J189" s="156">
        <v>1198874.9814744755</v>
      </c>
      <c r="K189" s="81">
        <v>731890.5142876906</v>
      </c>
      <c r="L189" s="81">
        <v>-266385</v>
      </c>
      <c r="M189" s="82">
        <v>820000</v>
      </c>
      <c r="N189" s="82">
        <v>68859.4251286007</v>
      </c>
      <c r="O189" s="214">
        <f t="shared" si="33"/>
        <v>1622321.6299848892</v>
      </c>
      <c r="P189" s="215">
        <f t="shared" si="34"/>
        <v>226.73957092730805</v>
      </c>
      <c r="Q189" s="81"/>
      <c r="R189" s="223">
        <v>55520000</v>
      </c>
      <c r="S189" s="156">
        <v>23721516.88102493</v>
      </c>
      <c r="T189" s="156">
        <v>1571767.336577943</v>
      </c>
      <c r="U189" s="156">
        <v>25001679.265279002</v>
      </c>
      <c r="V189" s="156">
        <v>4067183.64150839</v>
      </c>
      <c r="W189" s="156">
        <v>2649578.1187174767</v>
      </c>
      <c r="X189" s="214">
        <f t="shared" si="35"/>
        <v>1491725.2431077436</v>
      </c>
      <c r="Y189" s="215">
        <f t="shared" si="36"/>
        <v>208.48710595496067</v>
      </c>
      <c r="Z189" s="81"/>
      <c r="AA189" s="94">
        <f t="shared" si="37"/>
        <v>130596.38687714562</v>
      </c>
      <c r="AB189" s="153">
        <f t="shared" si="38"/>
        <v>18.252464972347397</v>
      </c>
      <c r="AD189" s="216"/>
      <c r="AE189" s="224"/>
      <c r="AF189" s="224"/>
      <c r="AG189" s="224"/>
      <c r="AH189" s="225"/>
      <c r="AJ189" s="81">
        <f t="shared" si="39"/>
        <v>12771046.637223285</v>
      </c>
      <c r="AK189" s="81">
        <f t="shared" si="40"/>
        <v>523922.445525981</v>
      </c>
      <c r="AL189" s="81">
        <f t="shared" si="41"/>
        <v>18658501.837275937</v>
      </c>
      <c r="AM189" s="81">
        <f t="shared" si="42"/>
        <v>34151626.02751997</v>
      </c>
      <c r="AN189" s="81">
        <f t="shared" si="43"/>
        <v>0</v>
      </c>
      <c r="AO189" s="81">
        <f t="shared" si="44"/>
        <v>0</v>
      </c>
      <c r="AP189" s="81">
        <f t="shared" si="45"/>
        <v>0</v>
      </c>
      <c r="AQ189" s="81">
        <f t="shared" si="46"/>
        <v>0</v>
      </c>
      <c r="AR189" s="81">
        <f t="shared" si="47"/>
        <v>0</v>
      </c>
      <c r="AS189" s="82">
        <v>2370</v>
      </c>
      <c r="AT189" s="82">
        <v>79</v>
      </c>
      <c r="AU189" s="82"/>
      <c r="AV189" s="82">
        <v>79</v>
      </c>
      <c r="AW189" s="82">
        <f>16646257.0566852*(0.001)</f>
        <v>16646.257056685194</v>
      </c>
      <c r="AX189" s="82">
        <v>-2634.0585245960615</v>
      </c>
      <c r="AY189" s="82">
        <v>2868.3086600339147</v>
      </c>
      <c r="AZ189" s="408"/>
      <c r="BA189" s="81"/>
      <c r="BB189" s="81"/>
      <c r="BC189" s="81"/>
      <c r="BD189" s="81"/>
      <c r="BE189" s="81"/>
      <c r="BF189" s="81"/>
      <c r="BG189" s="81"/>
      <c r="BO189" s="114"/>
    </row>
    <row r="190" spans="1:67" ht="12.75">
      <c r="A190" s="81">
        <v>564</v>
      </c>
      <c r="B190" s="81" t="s">
        <v>311</v>
      </c>
      <c r="C190" s="81">
        <v>17</v>
      </c>
      <c r="D190" s="81">
        <v>207327</v>
      </c>
      <c r="E190" s="100">
        <v>566734153.7299216</v>
      </c>
      <c r="F190" s="81">
        <v>311385294.6432627</v>
      </c>
      <c r="G190" s="81">
        <v>63522739.633739136</v>
      </c>
      <c r="H190" s="81">
        <v>32474796.489891138</v>
      </c>
      <c r="I190" s="156">
        <v>122470180.19969872</v>
      </c>
      <c r="J190" s="156">
        <v>26402539.986860923</v>
      </c>
      <c r="K190" s="81">
        <v>-33614100.612830855</v>
      </c>
      <c r="L190" s="81">
        <v>-3559865</v>
      </c>
      <c r="M190" s="82">
        <v>-452926.28</v>
      </c>
      <c r="N190" s="82">
        <v>2390819.4634096758</v>
      </c>
      <c r="O190" s="214">
        <f t="shared" si="33"/>
        <v>-45714675.20589018</v>
      </c>
      <c r="P190" s="215">
        <f t="shared" si="34"/>
        <v>-220.49552256044885</v>
      </c>
      <c r="Q190" s="81"/>
      <c r="R190" s="223">
        <v>1283371999.46</v>
      </c>
      <c r="S190" s="156">
        <v>756753127.4774914</v>
      </c>
      <c r="T190" s="156">
        <v>48712194.73483671</v>
      </c>
      <c r="U190" s="156">
        <v>261740029.0386421</v>
      </c>
      <c r="V190" s="156">
        <v>90223621.64522775</v>
      </c>
      <c r="W190" s="156">
        <v>59509948.353739135</v>
      </c>
      <c r="X190" s="214">
        <f t="shared" si="35"/>
        <v>-66433078.21006298</v>
      </c>
      <c r="Y190" s="215">
        <f t="shared" si="36"/>
        <v>-320.42656388248025</v>
      </c>
      <c r="Z190" s="81"/>
      <c r="AA190" s="94">
        <f t="shared" si="37"/>
        <v>20718403.004172802</v>
      </c>
      <c r="AB190" s="153">
        <f t="shared" si="38"/>
        <v>99.93104132203139</v>
      </c>
      <c r="AD190" s="216"/>
      <c r="AE190" s="224"/>
      <c r="AF190" s="224"/>
      <c r="AG190" s="224"/>
      <c r="AH190" s="225"/>
      <c r="AJ190" s="81">
        <f t="shared" si="39"/>
        <v>445367832.8342287</v>
      </c>
      <c r="AK190" s="81">
        <f t="shared" si="40"/>
        <v>16237398.244945575</v>
      </c>
      <c r="AL190" s="81">
        <f t="shared" si="41"/>
        <v>139269848.8389434</v>
      </c>
      <c r="AM190" s="81">
        <f t="shared" si="42"/>
        <v>716637845.7300785</v>
      </c>
      <c r="AN190" s="81">
        <f t="shared" si="43"/>
        <v>0</v>
      </c>
      <c r="AO190" s="81">
        <f t="shared" si="44"/>
        <v>0</v>
      </c>
      <c r="AP190" s="81">
        <f t="shared" si="45"/>
        <v>0</v>
      </c>
      <c r="AQ190" s="81">
        <f t="shared" si="46"/>
        <v>0</v>
      </c>
      <c r="AR190" s="81">
        <f t="shared" si="47"/>
        <v>0</v>
      </c>
      <c r="AS190" s="82">
        <v>87249</v>
      </c>
      <c r="AT190" s="82">
        <v>1242</v>
      </c>
      <c r="AU190" s="82">
        <v>666</v>
      </c>
      <c r="AV190" s="82">
        <v>1908</v>
      </c>
      <c r="AW190" s="82">
        <f>125132924.099638*(0.001)</f>
        <v>125132.92409963826</v>
      </c>
      <c r="AX190" s="82">
        <v>-12541.270157774883</v>
      </c>
      <c r="AY190" s="82">
        <v>63821.08165836682</v>
      </c>
      <c r="AZ190" s="408"/>
      <c r="BA190" s="81"/>
      <c r="BB190" s="81"/>
      <c r="BC190" s="81"/>
      <c r="BD190" s="81"/>
      <c r="BE190" s="81"/>
      <c r="BF190" s="81"/>
      <c r="BG190" s="81"/>
      <c r="BO190" s="114"/>
    </row>
    <row r="191" spans="1:67" ht="12.75">
      <c r="A191" s="81">
        <v>576</v>
      </c>
      <c r="B191" s="81" t="s">
        <v>313</v>
      </c>
      <c r="C191" s="81">
        <v>7</v>
      </c>
      <c r="D191" s="81">
        <v>2861</v>
      </c>
      <c r="E191" s="100">
        <v>7259295.2847758755</v>
      </c>
      <c r="F191" s="81">
        <v>3581619.199235495</v>
      </c>
      <c r="G191" s="81">
        <v>1684870.6427776723</v>
      </c>
      <c r="H191" s="81">
        <v>868897.5848428562</v>
      </c>
      <c r="I191" s="156">
        <v>465724.07728519227</v>
      </c>
      <c r="J191" s="156">
        <v>578547.1780416667</v>
      </c>
      <c r="K191" s="81">
        <v>734904.1913459684</v>
      </c>
      <c r="L191" s="81">
        <v>-246992</v>
      </c>
      <c r="M191" s="82">
        <v>75000</v>
      </c>
      <c r="N191" s="82">
        <v>26125.70718471873</v>
      </c>
      <c r="O191" s="214">
        <f t="shared" si="33"/>
        <v>509401.2959376946</v>
      </c>
      <c r="P191" s="215">
        <f t="shared" si="34"/>
        <v>178.0500859621442</v>
      </c>
      <c r="Q191" s="81"/>
      <c r="R191" s="223">
        <v>21088735</v>
      </c>
      <c r="S191" s="156">
        <v>8191366.878642122</v>
      </c>
      <c r="T191" s="156">
        <v>1303346.3772642843</v>
      </c>
      <c r="U191" s="156">
        <v>9293974.85926025</v>
      </c>
      <c r="V191" s="156">
        <v>1956906.6146547364</v>
      </c>
      <c r="W191" s="156">
        <v>1512878.6427776723</v>
      </c>
      <c r="X191" s="214">
        <f t="shared" si="35"/>
        <v>1169738.3725990653</v>
      </c>
      <c r="Y191" s="215">
        <f t="shared" si="36"/>
        <v>408.85647416954396</v>
      </c>
      <c r="Z191" s="81"/>
      <c r="AA191" s="94">
        <f t="shared" si="37"/>
        <v>-660337.0766613707</v>
      </c>
      <c r="AB191" s="153">
        <f t="shared" si="38"/>
        <v>-230.80638820739975</v>
      </c>
      <c r="AD191" s="216"/>
      <c r="AE191" s="224"/>
      <c r="AF191" s="224"/>
      <c r="AG191" s="224"/>
      <c r="AH191" s="225"/>
      <c r="AJ191" s="81">
        <f t="shared" si="39"/>
        <v>4609747.679406627</v>
      </c>
      <c r="AK191" s="81">
        <f t="shared" si="40"/>
        <v>434448.79242142814</v>
      </c>
      <c r="AL191" s="81">
        <f t="shared" si="41"/>
        <v>8828250.781975057</v>
      </c>
      <c r="AM191" s="81">
        <f t="shared" si="42"/>
        <v>13829439.715224124</v>
      </c>
      <c r="AN191" s="81">
        <f t="shared" si="43"/>
        <v>0</v>
      </c>
      <c r="AO191" s="81">
        <f t="shared" si="44"/>
        <v>0</v>
      </c>
      <c r="AP191" s="81">
        <f t="shared" si="45"/>
        <v>0</v>
      </c>
      <c r="AQ191" s="81">
        <f t="shared" si="46"/>
        <v>0</v>
      </c>
      <c r="AR191" s="81">
        <f t="shared" si="47"/>
        <v>0</v>
      </c>
      <c r="AS191" s="82">
        <v>1512</v>
      </c>
      <c r="AT191" s="82"/>
      <c r="AU191" s="82"/>
      <c r="AV191" s="82">
        <v>0</v>
      </c>
      <c r="AW191" s="82">
        <f>7543038.20285835*(0.001)</f>
        <v>7543.038202858351</v>
      </c>
      <c r="AX191" s="82">
        <v>-1116.1273091936432</v>
      </c>
      <c r="AY191" s="82">
        <v>1378.3594366130696</v>
      </c>
      <c r="AZ191" s="408"/>
      <c r="BA191" s="81"/>
      <c r="BB191" s="81"/>
      <c r="BC191" s="81"/>
      <c r="BD191" s="81"/>
      <c r="BE191" s="81"/>
      <c r="BF191" s="81"/>
      <c r="BG191" s="81"/>
      <c r="BO191" s="114"/>
    </row>
    <row r="192" spans="1:67" ht="12.75">
      <c r="A192" s="81">
        <v>577</v>
      </c>
      <c r="B192" s="81" t="s">
        <v>314</v>
      </c>
      <c r="C192" s="81">
        <v>2</v>
      </c>
      <c r="D192" s="81">
        <v>10922</v>
      </c>
      <c r="E192" s="100">
        <v>28822693.140603498</v>
      </c>
      <c r="F192" s="81">
        <v>17013944.102221686</v>
      </c>
      <c r="G192" s="81">
        <v>2381345.889287603</v>
      </c>
      <c r="H192" s="81">
        <v>867092.5409682876</v>
      </c>
      <c r="I192" s="156">
        <v>7908747.282051335</v>
      </c>
      <c r="J192" s="156">
        <v>1411802.6129051382</v>
      </c>
      <c r="K192" s="81">
        <v>-1060080.6150269136</v>
      </c>
      <c r="L192" s="81">
        <v>-913285</v>
      </c>
      <c r="M192" s="82">
        <v>680000</v>
      </c>
      <c r="N192" s="82">
        <v>122902.43730926335</v>
      </c>
      <c r="O192" s="214">
        <f t="shared" si="33"/>
        <v>-410223.8908870965</v>
      </c>
      <c r="P192" s="215">
        <f t="shared" si="34"/>
        <v>-37.55941136120642</v>
      </c>
      <c r="Q192" s="81"/>
      <c r="R192" s="223">
        <v>65490030</v>
      </c>
      <c r="S192" s="156">
        <v>40309670.92935032</v>
      </c>
      <c r="T192" s="156">
        <v>1300638.8114524316</v>
      </c>
      <c r="U192" s="156">
        <v>15353714.546142012</v>
      </c>
      <c r="V192" s="156">
        <v>4827087.32277736</v>
      </c>
      <c r="W192" s="156">
        <v>2148060.889287603</v>
      </c>
      <c r="X192" s="214">
        <f t="shared" si="35"/>
        <v>-1550857.500990279</v>
      </c>
      <c r="Y192" s="215">
        <f t="shared" si="36"/>
        <v>-141.99391146221197</v>
      </c>
      <c r="Z192" s="81"/>
      <c r="AA192" s="94">
        <f t="shared" si="37"/>
        <v>1140633.6101031825</v>
      </c>
      <c r="AB192" s="153">
        <f t="shared" si="38"/>
        <v>104.43450010100554</v>
      </c>
      <c r="AD192" s="216"/>
      <c r="AE192" s="224"/>
      <c r="AF192" s="224"/>
      <c r="AG192" s="224"/>
      <c r="AH192" s="225"/>
      <c r="AJ192" s="81">
        <f t="shared" si="39"/>
        <v>23295726.82712863</v>
      </c>
      <c r="AK192" s="81">
        <f t="shared" si="40"/>
        <v>433546.270484144</v>
      </c>
      <c r="AL192" s="81">
        <f t="shared" si="41"/>
        <v>7444967.264090677</v>
      </c>
      <c r="AM192" s="81">
        <f t="shared" si="42"/>
        <v>36667336.8593965</v>
      </c>
      <c r="AN192" s="81">
        <f t="shared" si="43"/>
        <v>0</v>
      </c>
      <c r="AO192" s="81">
        <f t="shared" si="44"/>
        <v>0</v>
      </c>
      <c r="AP192" s="81">
        <f t="shared" si="45"/>
        <v>0</v>
      </c>
      <c r="AQ192" s="81">
        <f t="shared" si="46"/>
        <v>0</v>
      </c>
      <c r="AR192" s="81">
        <f t="shared" si="47"/>
        <v>0</v>
      </c>
      <c r="AS192" s="82">
        <v>2172</v>
      </c>
      <c r="AT192" s="82"/>
      <c r="AU192" s="82"/>
      <c r="AV192" s="82">
        <v>0</v>
      </c>
      <c r="AW192" s="82">
        <f>7378860.38385354*(0.001)</f>
        <v>7378.860383853536</v>
      </c>
      <c r="AX192" s="82">
        <v>-505.04274650274334</v>
      </c>
      <c r="AY192" s="82">
        <v>3415.2847098722214</v>
      </c>
      <c r="AZ192" s="408"/>
      <c r="BA192" s="81"/>
      <c r="BB192" s="81"/>
      <c r="BC192" s="81"/>
      <c r="BD192" s="81"/>
      <c r="BE192" s="81"/>
      <c r="BF192" s="81"/>
      <c r="BG192" s="81"/>
      <c r="BO192" s="114"/>
    </row>
    <row r="193" spans="1:67" ht="12.75">
      <c r="A193" s="81">
        <v>578</v>
      </c>
      <c r="B193" s="81" t="s">
        <v>315</v>
      </c>
      <c r="C193" s="81">
        <v>18</v>
      </c>
      <c r="D193" s="81">
        <v>3235</v>
      </c>
      <c r="E193" s="100">
        <v>9889400.41375797</v>
      </c>
      <c r="F193" s="81">
        <v>4797126.510239512</v>
      </c>
      <c r="G193" s="81">
        <v>1304531.9148196208</v>
      </c>
      <c r="H193" s="81">
        <v>493343.1523466692</v>
      </c>
      <c r="I193" s="156">
        <v>2091112.3182598888</v>
      </c>
      <c r="J193" s="156">
        <v>626157.2404252007</v>
      </c>
      <c r="K193" s="81">
        <v>776598.9949464436</v>
      </c>
      <c r="L193" s="81">
        <v>-7846</v>
      </c>
      <c r="M193" s="82">
        <v>-76300</v>
      </c>
      <c r="N193" s="82">
        <v>30592.639675613013</v>
      </c>
      <c r="O193" s="214">
        <f t="shared" si="33"/>
        <v>145916.35695497692</v>
      </c>
      <c r="P193" s="215">
        <f t="shared" si="34"/>
        <v>45.10551992425871</v>
      </c>
      <c r="Q193" s="81"/>
      <c r="R193" s="223">
        <v>25146773</v>
      </c>
      <c r="S193" s="156">
        <v>10457100.217371473</v>
      </c>
      <c r="T193" s="156">
        <v>740014.7285200037</v>
      </c>
      <c r="U193" s="156">
        <v>11236698.67385059</v>
      </c>
      <c r="V193" s="156">
        <v>2117174.7223331127</v>
      </c>
      <c r="W193" s="156">
        <v>1220385.9148196208</v>
      </c>
      <c r="X193" s="214">
        <f t="shared" si="35"/>
        <v>624601.2568948008</v>
      </c>
      <c r="Y193" s="215">
        <f t="shared" si="36"/>
        <v>193.07612268772823</v>
      </c>
      <c r="Z193" s="81"/>
      <c r="AA193" s="94">
        <f t="shared" si="37"/>
        <v>-478684.8999398239</v>
      </c>
      <c r="AB193" s="153">
        <f t="shared" si="38"/>
        <v>-147.97060276346951</v>
      </c>
      <c r="AD193" s="216"/>
      <c r="AE193" s="224"/>
      <c r="AF193" s="224"/>
      <c r="AG193" s="224"/>
      <c r="AH193" s="225"/>
      <c r="AJ193" s="81">
        <f t="shared" si="39"/>
        <v>5659973.707131961</v>
      </c>
      <c r="AK193" s="81">
        <f t="shared" si="40"/>
        <v>246671.57617333456</v>
      </c>
      <c r="AL193" s="81">
        <f t="shared" si="41"/>
        <v>9145586.355590701</v>
      </c>
      <c r="AM193" s="81">
        <f t="shared" si="42"/>
        <v>15257372.58624203</v>
      </c>
      <c r="AN193" s="81">
        <f t="shared" si="43"/>
        <v>0</v>
      </c>
      <c r="AO193" s="81">
        <f t="shared" si="44"/>
        <v>0</v>
      </c>
      <c r="AP193" s="81">
        <f t="shared" si="45"/>
        <v>0</v>
      </c>
      <c r="AQ193" s="81">
        <f t="shared" si="46"/>
        <v>0</v>
      </c>
      <c r="AR193" s="81">
        <f t="shared" si="47"/>
        <v>0</v>
      </c>
      <c r="AS193" s="82">
        <v>1341</v>
      </c>
      <c r="AT193" s="82"/>
      <c r="AU193" s="82"/>
      <c r="AV193" s="82">
        <v>0</v>
      </c>
      <c r="AW193" s="82">
        <f>7761407.48554264*(0.001)</f>
        <v>7761.407485542641</v>
      </c>
      <c r="AX193" s="82">
        <v>-1424.7143027973218</v>
      </c>
      <c r="AY193" s="82">
        <v>1491.017481907912</v>
      </c>
      <c r="AZ193" s="408"/>
      <c r="BA193" s="81"/>
      <c r="BB193" s="81"/>
      <c r="BC193" s="81"/>
      <c r="BD193" s="81"/>
      <c r="BE193" s="81"/>
      <c r="BF193" s="81"/>
      <c r="BG193" s="81"/>
      <c r="BO193" s="114"/>
    </row>
    <row r="194" spans="1:67" ht="12.75">
      <c r="A194" s="81">
        <v>580</v>
      </c>
      <c r="B194" s="81" t="s">
        <v>316</v>
      </c>
      <c r="C194" s="81">
        <v>9</v>
      </c>
      <c r="D194" s="81">
        <v>4655</v>
      </c>
      <c r="E194" s="100">
        <v>10563022.982976459</v>
      </c>
      <c r="F194" s="81">
        <v>5808369.4994874885</v>
      </c>
      <c r="G194" s="81">
        <v>1346524.0602723781</v>
      </c>
      <c r="H194" s="81">
        <v>998457.1809286472</v>
      </c>
      <c r="I194" s="156">
        <v>1474830.5547064096</v>
      </c>
      <c r="J194" s="156">
        <v>946421.216766764</v>
      </c>
      <c r="K194" s="81">
        <v>-90023.14545628309</v>
      </c>
      <c r="L194" s="81">
        <v>-254356</v>
      </c>
      <c r="M194" s="82">
        <v>14000</v>
      </c>
      <c r="N194" s="82">
        <v>44720.974441079255</v>
      </c>
      <c r="O194" s="214">
        <f t="shared" si="33"/>
        <v>-274078.64182997495</v>
      </c>
      <c r="P194" s="215">
        <f t="shared" si="34"/>
        <v>-58.878333368415674</v>
      </c>
      <c r="Q194" s="81"/>
      <c r="R194" s="223">
        <v>35340386</v>
      </c>
      <c r="S194" s="156">
        <v>13943601.208890194</v>
      </c>
      <c r="T194" s="156">
        <v>1497685.7713929708</v>
      </c>
      <c r="U194" s="156">
        <v>15501585.58626849</v>
      </c>
      <c r="V194" s="156">
        <v>3196715.57308631</v>
      </c>
      <c r="W194" s="156">
        <v>1106168.0602723781</v>
      </c>
      <c r="X194" s="214">
        <f t="shared" si="35"/>
        <v>-94629.8000896573</v>
      </c>
      <c r="Y194" s="215">
        <f t="shared" si="36"/>
        <v>-20.328635894663226</v>
      </c>
      <c r="Z194" s="81"/>
      <c r="AA194" s="94">
        <f t="shared" si="37"/>
        <v>-179448.84174031764</v>
      </c>
      <c r="AB194" s="153">
        <f t="shared" si="38"/>
        <v>-38.549697473752445</v>
      </c>
      <c r="AD194" s="216"/>
      <c r="AE194" s="224"/>
      <c r="AF194" s="224"/>
      <c r="AG194" s="224"/>
      <c r="AH194" s="225"/>
      <c r="AJ194" s="81">
        <f t="shared" si="39"/>
        <v>8135231.709402706</v>
      </c>
      <c r="AK194" s="81">
        <f t="shared" si="40"/>
        <v>499228.59046432364</v>
      </c>
      <c r="AL194" s="81">
        <f t="shared" si="41"/>
        <v>14026755.03156208</v>
      </c>
      <c r="AM194" s="81">
        <f t="shared" si="42"/>
        <v>24777363.01702354</v>
      </c>
      <c r="AN194" s="81">
        <f t="shared" si="43"/>
        <v>0</v>
      </c>
      <c r="AO194" s="81">
        <f t="shared" si="44"/>
        <v>0</v>
      </c>
      <c r="AP194" s="81">
        <f t="shared" si="45"/>
        <v>0</v>
      </c>
      <c r="AQ194" s="81">
        <f t="shared" si="46"/>
        <v>0</v>
      </c>
      <c r="AR194" s="81">
        <f t="shared" si="47"/>
        <v>0</v>
      </c>
      <c r="AS194" s="82">
        <v>1511</v>
      </c>
      <c r="AT194" s="82"/>
      <c r="AU194" s="82">
        <v>52</v>
      </c>
      <c r="AV194" s="82">
        <v>52</v>
      </c>
      <c r="AW194" s="82">
        <f>12011472.1596099*(0.001)</f>
        <v>12011.472159609946</v>
      </c>
      <c r="AX194" s="82">
        <v>-1777.9592802838933</v>
      </c>
      <c r="AY194" s="82">
        <v>2250.2943563195463</v>
      </c>
      <c r="AZ194" s="408"/>
      <c r="BA194" s="81"/>
      <c r="BB194" s="81"/>
      <c r="BC194" s="81"/>
      <c r="BD194" s="81"/>
      <c r="BE194" s="81"/>
      <c r="BF194" s="81"/>
      <c r="BG194" s="81"/>
      <c r="BO194" s="114"/>
    </row>
    <row r="195" spans="1:67" ht="12.75">
      <c r="A195" s="81">
        <v>581</v>
      </c>
      <c r="B195" s="81" t="s">
        <v>317</v>
      </c>
      <c r="C195" s="81">
        <v>6</v>
      </c>
      <c r="D195" s="81">
        <v>6352</v>
      </c>
      <c r="E195" s="100">
        <v>17050488.61163767</v>
      </c>
      <c r="F195" s="81">
        <v>8725563.05621196</v>
      </c>
      <c r="G195" s="81">
        <v>1983451.0083588532</v>
      </c>
      <c r="H195" s="81">
        <v>1570484.038970099</v>
      </c>
      <c r="I195" s="156">
        <v>3513694.803563456</v>
      </c>
      <c r="J195" s="156">
        <v>1145502.3630867475</v>
      </c>
      <c r="K195" s="81">
        <v>865036.662875832</v>
      </c>
      <c r="L195" s="81">
        <v>-426525</v>
      </c>
      <c r="M195" s="82">
        <v>0</v>
      </c>
      <c r="N195" s="82">
        <v>55759.692776954325</v>
      </c>
      <c r="O195" s="214">
        <f t="shared" si="33"/>
        <v>382478.01420623064</v>
      </c>
      <c r="P195" s="215">
        <f t="shared" si="34"/>
        <v>60.21379316848719</v>
      </c>
      <c r="Q195" s="81"/>
      <c r="R195" s="223">
        <v>44450000</v>
      </c>
      <c r="S195" s="156">
        <v>18706071.55161608</v>
      </c>
      <c r="T195" s="156">
        <v>2355726.0584551487</v>
      </c>
      <c r="U195" s="156">
        <v>18800200.811710086</v>
      </c>
      <c r="V195" s="156">
        <v>3880419.002314473</v>
      </c>
      <c r="W195" s="156">
        <v>1556926.0083588532</v>
      </c>
      <c r="X195" s="214">
        <f t="shared" si="35"/>
        <v>849343.4324546382</v>
      </c>
      <c r="Y195" s="215">
        <f t="shared" si="36"/>
        <v>133.71275699852617</v>
      </c>
      <c r="Z195" s="81"/>
      <c r="AA195" s="94">
        <f t="shared" si="37"/>
        <v>-466865.41824840754</v>
      </c>
      <c r="AB195" s="153">
        <f t="shared" si="38"/>
        <v>-73.49896383003897</v>
      </c>
      <c r="AD195" s="216"/>
      <c r="AE195" s="224"/>
      <c r="AF195" s="224"/>
      <c r="AG195" s="224"/>
      <c r="AH195" s="225"/>
      <c r="AJ195" s="81">
        <f t="shared" si="39"/>
        <v>9980508.49540412</v>
      </c>
      <c r="AK195" s="81">
        <f t="shared" si="40"/>
        <v>785242.0194850496</v>
      </c>
      <c r="AL195" s="81">
        <f t="shared" si="41"/>
        <v>15286506.008146629</v>
      </c>
      <c r="AM195" s="81">
        <f t="shared" si="42"/>
        <v>27399511.38836233</v>
      </c>
      <c r="AN195" s="81">
        <f t="shared" si="43"/>
        <v>0</v>
      </c>
      <c r="AO195" s="81">
        <f t="shared" si="44"/>
        <v>0</v>
      </c>
      <c r="AP195" s="81">
        <f t="shared" si="45"/>
        <v>0</v>
      </c>
      <c r="AQ195" s="81">
        <f t="shared" si="46"/>
        <v>0</v>
      </c>
      <c r="AR195" s="81">
        <f t="shared" si="47"/>
        <v>0</v>
      </c>
      <c r="AS195" s="82">
        <v>1974</v>
      </c>
      <c r="AT195" s="82">
        <v>408</v>
      </c>
      <c r="AU195" s="82"/>
      <c r="AV195" s="82">
        <v>408</v>
      </c>
      <c r="AW195" s="82">
        <f>12858429.0080038*(0.001)</f>
        <v>12858.42900800376</v>
      </c>
      <c r="AX195" s="82">
        <v>-2540.823764968154</v>
      </c>
      <c r="AY195" s="82">
        <v>2734.9166392277257</v>
      </c>
      <c r="AZ195" s="408"/>
      <c r="BA195" s="81"/>
      <c r="BB195" s="81"/>
      <c r="BC195" s="81"/>
      <c r="BD195" s="81"/>
      <c r="BE195" s="81"/>
      <c r="BF195" s="81"/>
      <c r="BG195" s="81"/>
      <c r="BO195" s="114"/>
    </row>
    <row r="196" spans="1:67" ht="12.75">
      <c r="A196" s="81">
        <v>583</v>
      </c>
      <c r="B196" s="81" t="s">
        <v>318</v>
      </c>
      <c r="C196" s="81">
        <v>19</v>
      </c>
      <c r="D196" s="81">
        <v>931</v>
      </c>
      <c r="E196" s="100">
        <v>3476082.909615337</v>
      </c>
      <c r="F196" s="81">
        <v>1520554.1410940082</v>
      </c>
      <c r="G196" s="81">
        <v>1996929.5138717007</v>
      </c>
      <c r="H196" s="81">
        <v>280249.6800116693</v>
      </c>
      <c r="I196" s="156">
        <v>760621.8675427438</v>
      </c>
      <c r="J196" s="156">
        <v>176214.4601304388</v>
      </c>
      <c r="K196" s="81">
        <v>-942906.3060418463</v>
      </c>
      <c r="L196" s="81">
        <v>-225724</v>
      </c>
      <c r="M196" s="82">
        <v>-35200</v>
      </c>
      <c r="N196" s="82">
        <v>9763.571260977275</v>
      </c>
      <c r="O196" s="214">
        <f t="shared" si="33"/>
        <v>64420.018254354596</v>
      </c>
      <c r="P196" s="215">
        <f t="shared" si="34"/>
        <v>69.19443421520364</v>
      </c>
      <c r="Q196" s="81"/>
      <c r="R196" s="223">
        <v>10514751</v>
      </c>
      <c r="S196" s="156">
        <v>3265521.6876349375</v>
      </c>
      <c r="T196" s="156">
        <v>420374.520017504</v>
      </c>
      <c r="U196" s="156">
        <v>4596957.456442237</v>
      </c>
      <c r="V196" s="156">
        <v>601626.7264655306</v>
      </c>
      <c r="W196" s="156">
        <v>1736005.5138717007</v>
      </c>
      <c r="X196" s="214">
        <f t="shared" si="35"/>
        <v>105734.90443190932</v>
      </c>
      <c r="Y196" s="215">
        <f t="shared" si="36"/>
        <v>113.57132592041818</v>
      </c>
      <c r="Z196" s="81"/>
      <c r="AA196" s="94">
        <f t="shared" si="37"/>
        <v>-41314.88617755473</v>
      </c>
      <c r="AB196" s="153">
        <f t="shared" si="38"/>
        <v>-44.37689170521453</v>
      </c>
      <c r="AD196" s="216"/>
      <c r="AE196" s="224"/>
      <c r="AF196" s="224"/>
      <c r="AG196" s="224"/>
      <c r="AH196" s="225"/>
      <c r="AJ196" s="81">
        <f t="shared" si="39"/>
        <v>1744967.5465409292</v>
      </c>
      <c r="AK196" s="81">
        <f t="shared" si="40"/>
        <v>140124.8400058347</v>
      </c>
      <c r="AL196" s="81">
        <f t="shared" si="41"/>
        <v>3836335.588899493</v>
      </c>
      <c r="AM196" s="81">
        <f t="shared" si="42"/>
        <v>7038668.090384663</v>
      </c>
      <c r="AN196" s="81">
        <f t="shared" si="43"/>
        <v>0</v>
      </c>
      <c r="AO196" s="81">
        <f t="shared" si="44"/>
        <v>0</v>
      </c>
      <c r="AP196" s="81">
        <f t="shared" si="45"/>
        <v>0</v>
      </c>
      <c r="AQ196" s="81">
        <f t="shared" si="46"/>
        <v>0</v>
      </c>
      <c r="AR196" s="81">
        <f t="shared" si="47"/>
        <v>0</v>
      </c>
      <c r="AS196" s="82">
        <v>251</v>
      </c>
      <c r="AT196" s="82">
        <v>28</v>
      </c>
      <c r="AU196" s="82">
        <v>1</v>
      </c>
      <c r="AV196" s="82">
        <v>29</v>
      </c>
      <c r="AW196" s="82">
        <f>2919695.17952215*(0.001)</f>
        <v>2919.695179522154</v>
      </c>
      <c r="AX196" s="82">
        <v>-247.14945524714057</v>
      </c>
      <c r="AY196" s="82">
        <v>425.4122663350918</v>
      </c>
      <c r="AZ196" s="408"/>
      <c r="BA196" s="81"/>
      <c r="BB196" s="81"/>
      <c r="BC196" s="81"/>
      <c r="BD196" s="81"/>
      <c r="BE196" s="81"/>
      <c r="BF196" s="81"/>
      <c r="BG196" s="81"/>
      <c r="BO196" s="114"/>
    </row>
    <row r="197" spans="1:67" ht="12.75">
      <c r="A197" s="81">
        <v>584</v>
      </c>
      <c r="B197" s="81" t="s">
        <v>320</v>
      </c>
      <c r="C197" s="81">
        <v>16</v>
      </c>
      <c r="D197" s="81">
        <v>2706</v>
      </c>
      <c r="E197" s="100">
        <v>9686958.815634098</v>
      </c>
      <c r="F197" s="81">
        <v>2964771.652984638</v>
      </c>
      <c r="G197" s="81">
        <v>794589.8636328147</v>
      </c>
      <c r="H197" s="81">
        <v>502976.4801735568</v>
      </c>
      <c r="I197" s="156">
        <v>5551720.514310539</v>
      </c>
      <c r="J197" s="156">
        <v>502410.46286527463</v>
      </c>
      <c r="K197" s="81">
        <v>-563894.6209399565</v>
      </c>
      <c r="L197" s="81">
        <v>-72504</v>
      </c>
      <c r="M197" s="82">
        <v>164000</v>
      </c>
      <c r="N197" s="82">
        <v>19171.15569840968</v>
      </c>
      <c r="O197" s="214">
        <f t="shared" si="33"/>
        <v>176282.6930911783</v>
      </c>
      <c r="P197" s="215">
        <f t="shared" si="34"/>
        <v>65.14511939807034</v>
      </c>
      <c r="Q197" s="81"/>
      <c r="R197" s="223">
        <v>21801000</v>
      </c>
      <c r="S197" s="156">
        <v>6414736.363091963</v>
      </c>
      <c r="T197" s="156">
        <v>754464.7202603352</v>
      </c>
      <c r="U197" s="156">
        <v>11690348.746748157</v>
      </c>
      <c r="V197" s="156">
        <v>1696178.517037565</v>
      </c>
      <c r="W197" s="156">
        <v>886085.8636328147</v>
      </c>
      <c r="X197" s="214">
        <f t="shared" si="35"/>
        <v>-359185.78922916576</v>
      </c>
      <c r="Y197" s="215">
        <f t="shared" si="36"/>
        <v>-132.73680311499103</v>
      </c>
      <c r="Z197" s="81"/>
      <c r="AA197" s="94">
        <f t="shared" si="37"/>
        <v>535468.4823203441</v>
      </c>
      <c r="AB197" s="153">
        <f t="shared" si="38"/>
        <v>197.88192251306137</v>
      </c>
      <c r="AD197" s="216"/>
      <c r="AE197" s="224"/>
      <c r="AF197" s="224"/>
      <c r="AG197" s="224"/>
      <c r="AH197" s="225"/>
      <c r="AJ197" s="81">
        <f t="shared" si="39"/>
        <v>3449964.710107325</v>
      </c>
      <c r="AK197" s="81">
        <f t="shared" si="40"/>
        <v>251488.24008677847</v>
      </c>
      <c r="AL197" s="81">
        <f t="shared" si="41"/>
        <v>6138628.232437618</v>
      </c>
      <c r="AM197" s="81">
        <f t="shared" si="42"/>
        <v>12114041.184365902</v>
      </c>
      <c r="AN197" s="81">
        <f t="shared" si="43"/>
        <v>0</v>
      </c>
      <c r="AO197" s="81">
        <f t="shared" si="44"/>
        <v>0</v>
      </c>
      <c r="AP197" s="81">
        <f t="shared" si="45"/>
        <v>0</v>
      </c>
      <c r="AQ197" s="81">
        <f t="shared" si="46"/>
        <v>0</v>
      </c>
      <c r="AR197" s="81">
        <f t="shared" si="47"/>
        <v>0</v>
      </c>
      <c r="AS197" s="82">
        <v>1491</v>
      </c>
      <c r="AT197" s="82"/>
      <c r="AU197" s="82">
        <v>25</v>
      </c>
      <c r="AV197" s="82">
        <v>25</v>
      </c>
      <c r="AW197" s="82">
        <f>4395626.77209449*(0.001)</f>
        <v>4395.62677209449</v>
      </c>
      <c r="AX197" s="82">
        <v>-1903.784595176434</v>
      </c>
      <c r="AY197" s="82">
        <v>1193.7680541722902</v>
      </c>
      <c r="AZ197" s="408"/>
      <c r="BA197" s="81"/>
      <c r="BB197" s="81"/>
      <c r="BC197" s="81"/>
      <c r="BD197" s="81"/>
      <c r="BE197" s="81"/>
      <c r="BF197" s="81"/>
      <c r="BG197" s="81"/>
      <c r="BO197" s="114"/>
    </row>
    <row r="198" spans="1:67" ht="12.75">
      <c r="A198" s="81">
        <v>588</v>
      </c>
      <c r="B198" s="81" t="s">
        <v>321</v>
      </c>
      <c r="C198" s="81">
        <v>10</v>
      </c>
      <c r="D198" s="81">
        <v>1654</v>
      </c>
      <c r="E198" s="100">
        <v>2281392.8581142332</v>
      </c>
      <c r="F198" s="81">
        <v>2050830.6853678492</v>
      </c>
      <c r="G198" s="81">
        <v>918568.30549908</v>
      </c>
      <c r="H198" s="81">
        <v>648979.4097580779</v>
      </c>
      <c r="I198" s="156">
        <v>452310.08535526047</v>
      </c>
      <c r="J198" s="156">
        <v>361955.16447912273</v>
      </c>
      <c r="K198" s="81">
        <v>-88875.88686513624</v>
      </c>
      <c r="L198" s="81">
        <v>-378520</v>
      </c>
      <c r="M198" s="82">
        <v>38800</v>
      </c>
      <c r="N198" s="82">
        <v>14702.83194011278</v>
      </c>
      <c r="O198" s="214">
        <f t="shared" si="33"/>
        <v>1737357.7374201338</v>
      </c>
      <c r="P198" s="215">
        <f t="shared" si="34"/>
        <v>1050.3976647038294</v>
      </c>
      <c r="Q198" s="81"/>
      <c r="R198" s="223">
        <v>11002380</v>
      </c>
      <c r="S198" s="156">
        <v>4565076.501553565</v>
      </c>
      <c r="T198" s="156">
        <v>973469.1146371169</v>
      </c>
      <c r="U198" s="156">
        <v>5399352.7203784445</v>
      </c>
      <c r="V198" s="156">
        <v>1221539.2189150115</v>
      </c>
      <c r="W198" s="156">
        <v>578848.30549908</v>
      </c>
      <c r="X198" s="214">
        <f t="shared" si="35"/>
        <v>1735905.860983219</v>
      </c>
      <c r="Y198" s="215">
        <f t="shared" si="36"/>
        <v>1049.5198675835666</v>
      </c>
      <c r="Z198" s="81"/>
      <c r="AA198" s="94">
        <f t="shared" si="37"/>
        <v>1451.876436914783</v>
      </c>
      <c r="AB198" s="153">
        <f t="shared" si="38"/>
        <v>0.8777971202628676</v>
      </c>
      <c r="AD198" s="216"/>
      <c r="AE198" s="224"/>
      <c r="AF198" s="224"/>
      <c r="AG198" s="224"/>
      <c r="AH198" s="225"/>
      <c r="AJ198" s="81">
        <f t="shared" si="39"/>
        <v>2514245.816185716</v>
      </c>
      <c r="AK198" s="81">
        <f t="shared" si="40"/>
        <v>324489.70487903897</v>
      </c>
      <c r="AL198" s="81">
        <f t="shared" si="41"/>
        <v>4947042.635023184</v>
      </c>
      <c r="AM198" s="81">
        <f t="shared" si="42"/>
        <v>8720987.141885767</v>
      </c>
      <c r="AN198" s="81">
        <f t="shared" si="43"/>
        <v>0</v>
      </c>
      <c r="AO198" s="81">
        <f t="shared" si="44"/>
        <v>0</v>
      </c>
      <c r="AP198" s="81">
        <f t="shared" si="45"/>
        <v>0</v>
      </c>
      <c r="AQ198" s="81">
        <f t="shared" si="46"/>
        <v>0</v>
      </c>
      <c r="AR198" s="81">
        <f t="shared" si="47"/>
        <v>0</v>
      </c>
      <c r="AS198" s="82">
        <v>691</v>
      </c>
      <c r="AT198" s="82">
        <v>2</v>
      </c>
      <c r="AU198" s="82"/>
      <c r="AV198" s="82">
        <v>2</v>
      </c>
      <c r="AW198" s="82">
        <f>4106804.16604876*(0.001)</f>
        <v>4106.804166048756</v>
      </c>
      <c r="AX198" s="82">
        <v>-783.200374005157</v>
      </c>
      <c r="AY198" s="82">
        <v>859.5840544358888</v>
      </c>
      <c r="AZ198" s="408"/>
      <c r="BA198" s="81"/>
      <c r="BB198" s="81"/>
      <c r="BC198" s="81"/>
      <c r="BD198" s="81"/>
      <c r="BE198" s="81"/>
      <c r="BF198" s="81"/>
      <c r="BG198" s="81"/>
      <c r="BO198" s="114"/>
    </row>
    <row r="199" spans="1:67" ht="12.75">
      <c r="A199" s="81">
        <v>592</v>
      </c>
      <c r="B199" s="81" t="s">
        <v>322</v>
      </c>
      <c r="C199" s="81">
        <v>13</v>
      </c>
      <c r="D199" s="81">
        <v>3772</v>
      </c>
      <c r="E199" s="100">
        <v>11818203.30328523</v>
      </c>
      <c r="F199" s="81">
        <v>5389547.012156706</v>
      </c>
      <c r="G199" s="81">
        <v>1070618.09236517</v>
      </c>
      <c r="H199" s="81">
        <v>958234.5146719319</v>
      </c>
      <c r="I199" s="156">
        <v>3595570.5653844834</v>
      </c>
      <c r="J199" s="156">
        <v>627813.9925299033</v>
      </c>
      <c r="K199" s="81">
        <v>20323.747115839138</v>
      </c>
      <c r="L199" s="81">
        <v>-63548</v>
      </c>
      <c r="M199" s="82">
        <v>187000</v>
      </c>
      <c r="N199" s="82">
        <v>35694.376102464834</v>
      </c>
      <c r="O199" s="214">
        <f t="shared" si="33"/>
        <v>3050.997041270137</v>
      </c>
      <c r="P199" s="215">
        <f t="shared" si="34"/>
        <v>0.8088539345891137</v>
      </c>
      <c r="Q199" s="81"/>
      <c r="R199" s="223">
        <v>25514442</v>
      </c>
      <c r="S199" s="156">
        <v>11802088.025624223</v>
      </c>
      <c r="T199" s="156">
        <v>1437351.772007898</v>
      </c>
      <c r="U199" s="156">
        <v>8899026.486765612</v>
      </c>
      <c r="V199" s="156">
        <v>2128986.787800166</v>
      </c>
      <c r="W199" s="156">
        <v>1194070.09236517</v>
      </c>
      <c r="X199" s="214">
        <f t="shared" si="35"/>
        <v>-52918.83543693274</v>
      </c>
      <c r="Y199" s="215">
        <f t="shared" si="36"/>
        <v>-14.029383731954598</v>
      </c>
      <c r="Z199" s="81"/>
      <c r="AA199" s="94">
        <f t="shared" si="37"/>
        <v>55969.83247820288</v>
      </c>
      <c r="AB199" s="153">
        <f t="shared" si="38"/>
        <v>14.838237666543712</v>
      </c>
      <c r="AD199" s="216"/>
      <c r="AE199" s="224"/>
      <c r="AF199" s="224"/>
      <c r="AG199" s="224"/>
      <c r="AH199" s="225"/>
      <c r="AJ199" s="81">
        <f t="shared" si="39"/>
        <v>6412541.013467517</v>
      </c>
      <c r="AK199" s="81">
        <f t="shared" si="40"/>
        <v>479117.2573359661</v>
      </c>
      <c r="AL199" s="81">
        <f t="shared" si="41"/>
        <v>5303455.921381129</v>
      </c>
      <c r="AM199" s="81">
        <f t="shared" si="42"/>
        <v>13696238.69671477</v>
      </c>
      <c r="AN199" s="81">
        <f t="shared" si="43"/>
        <v>0</v>
      </c>
      <c r="AO199" s="81">
        <f t="shared" si="44"/>
        <v>0</v>
      </c>
      <c r="AP199" s="81">
        <f t="shared" si="45"/>
        <v>0</v>
      </c>
      <c r="AQ199" s="81">
        <f t="shared" si="46"/>
        <v>0</v>
      </c>
      <c r="AR199" s="81">
        <f t="shared" si="47"/>
        <v>0</v>
      </c>
      <c r="AS199" s="82">
        <v>1017</v>
      </c>
      <c r="AT199" s="82"/>
      <c r="AU199" s="82"/>
      <c r="AV199" s="82">
        <v>0</v>
      </c>
      <c r="AW199" s="82">
        <f>3971799.70603057*(0.001)</f>
        <v>3971.7997060305747</v>
      </c>
      <c r="AX199" s="82">
        <v>-1402.909830484413</v>
      </c>
      <c r="AY199" s="82">
        <v>1501.1727952702624</v>
      </c>
      <c r="AZ199" s="408"/>
      <c r="BA199" s="81"/>
      <c r="BB199" s="81"/>
      <c r="BC199" s="81"/>
      <c r="BD199" s="81"/>
      <c r="BE199" s="81"/>
      <c r="BF199" s="81"/>
      <c r="BG199" s="81"/>
      <c r="BO199" s="114"/>
    </row>
    <row r="200" spans="1:67" ht="12.75">
      <c r="A200" s="81">
        <v>593</v>
      </c>
      <c r="B200" s="81" t="s">
        <v>323</v>
      </c>
      <c r="C200" s="81">
        <v>10</v>
      </c>
      <c r="D200" s="81">
        <v>17375</v>
      </c>
      <c r="E200" s="100">
        <v>35404857.24443039</v>
      </c>
      <c r="F200" s="81">
        <v>27425050.468548108</v>
      </c>
      <c r="G200" s="81">
        <v>4435249.284597212</v>
      </c>
      <c r="H200" s="81">
        <v>3573762.2355736406</v>
      </c>
      <c r="I200" s="156">
        <v>4345297.876355608</v>
      </c>
      <c r="J200" s="156">
        <v>3088056.780964366</v>
      </c>
      <c r="K200" s="81">
        <v>-997867.6503012665</v>
      </c>
      <c r="L200" s="81">
        <v>-2049848</v>
      </c>
      <c r="M200" s="82">
        <v>852800</v>
      </c>
      <c r="N200" s="82">
        <v>176658.72891031287</v>
      </c>
      <c r="O200" s="214">
        <f t="shared" si="33"/>
        <v>5444302.480217591</v>
      </c>
      <c r="P200" s="215">
        <f t="shared" si="34"/>
        <v>313.34114994058075</v>
      </c>
      <c r="Q200" s="81"/>
      <c r="R200" s="223">
        <v>121170153</v>
      </c>
      <c r="S200" s="156">
        <v>59746388.15558071</v>
      </c>
      <c r="T200" s="156">
        <v>5360643.353360461</v>
      </c>
      <c r="U200" s="156">
        <v>46523329.05432607</v>
      </c>
      <c r="V200" s="156">
        <v>10476652.306106882</v>
      </c>
      <c r="W200" s="156">
        <v>3238201.2845972124</v>
      </c>
      <c r="X200" s="214">
        <f t="shared" si="35"/>
        <v>4175061.153971344</v>
      </c>
      <c r="Y200" s="215">
        <f t="shared" si="36"/>
        <v>240.29128943719968</v>
      </c>
      <c r="Z200" s="81"/>
      <c r="AA200" s="94">
        <f t="shared" si="37"/>
        <v>1269241.3262462467</v>
      </c>
      <c r="AB200" s="153">
        <f t="shared" si="38"/>
        <v>73.04986050338111</v>
      </c>
      <c r="AD200" s="216"/>
      <c r="AE200" s="224"/>
      <c r="AF200" s="224"/>
      <c r="AG200" s="224"/>
      <c r="AH200" s="225"/>
      <c r="AJ200" s="81">
        <f t="shared" si="39"/>
        <v>32321337.6870326</v>
      </c>
      <c r="AK200" s="81">
        <f t="shared" si="40"/>
        <v>1786881.1177868205</v>
      </c>
      <c r="AL200" s="81">
        <f t="shared" si="41"/>
        <v>42178031.17797046</v>
      </c>
      <c r="AM200" s="81">
        <f t="shared" si="42"/>
        <v>85765295.7555696</v>
      </c>
      <c r="AN200" s="81">
        <f t="shared" si="43"/>
        <v>0</v>
      </c>
      <c r="AO200" s="81">
        <f t="shared" si="44"/>
        <v>0</v>
      </c>
      <c r="AP200" s="81">
        <f t="shared" si="45"/>
        <v>0</v>
      </c>
      <c r="AQ200" s="81">
        <f t="shared" si="46"/>
        <v>0</v>
      </c>
      <c r="AR200" s="81">
        <f t="shared" si="47"/>
        <v>0</v>
      </c>
      <c r="AS200" s="82">
        <v>4854</v>
      </c>
      <c r="AT200" s="82">
        <v>89</v>
      </c>
      <c r="AU200" s="82"/>
      <c r="AV200" s="82">
        <v>89</v>
      </c>
      <c r="AW200" s="82">
        <f>37893516.4172168*(0.001)</f>
        <v>37893.51641721678</v>
      </c>
      <c r="AX200" s="82">
        <v>-4896.501174025224</v>
      </c>
      <c r="AY200" s="82">
        <v>7388.595525142516</v>
      </c>
      <c r="AZ200" s="408"/>
      <c r="BA200" s="81"/>
      <c r="BB200" s="81"/>
      <c r="BC200" s="81"/>
      <c r="BD200" s="81"/>
      <c r="BE200" s="81"/>
      <c r="BF200" s="81"/>
      <c r="BG200" s="81"/>
      <c r="BO200" s="114"/>
    </row>
    <row r="201" spans="1:67" ht="12.75">
      <c r="A201" s="81">
        <v>595</v>
      </c>
      <c r="B201" s="81" t="s">
        <v>324</v>
      </c>
      <c r="C201" s="81">
        <v>11</v>
      </c>
      <c r="D201" s="81">
        <v>4321</v>
      </c>
      <c r="E201" s="100">
        <v>11862278.631327689</v>
      </c>
      <c r="F201" s="81">
        <v>5138611.1838876745</v>
      </c>
      <c r="G201" s="81">
        <v>1205121.832327628</v>
      </c>
      <c r="H201" s="81">
        <v>1281475.9791932493</v>
      </c>
      <c r="I201" s="156">
        <v>3580670.3119226587</v>
      </c>
      <c r="J201" s="156">
        <v>885669.0596942408</v>
      </c>
      <c r="K201" s="81">
        <v>782995.950029588</v>
      </c>
      <c r="L201" s="81">
        <v>888</v>
      </c>
      <c r="M201" s="82">
        <v>367400</v>
      </c>
      <c r="N201" s="82">
        <v>34352.7819155242</v>
      </c>
      <c r="O201" s="214">
        <f t="shared" si="33"/>
        <v>1414906.4676428735</v>
      </c>
      <c r="P201" s="215">
        <f t="shared" si="34"/>
        <v>327.4488469435023</v>
      </c>
      <c r="Q201" s="81"/>
      <c r="R201" s="223">
        <v>35558500</v>
      </c>
      <c r="S201" s="156">
        <v>11130504.42262851</v>
      </c>
      <c r="T201" s="156">
        <v>1922213.968789874</v>
      </c>
      <c r="U201" s="156">
        <v>19603125.723845053</v>
      </c>
      <c r="V201" s="156">
        <v>2988315.291417837</v>
      </c>
      <c r="W201" s="156">
        <v>1573409.832327628</v>
      </c>
      <c r="X201" s="214">
        <f t="shared" si="35"/>
        <v>1659069.2390089035</v>
      </c>
      <c r="Y201" s="215">
        <f t="shared" si="36"/>
        <v>383.9549268708409</v>
      </c>
      <c r="Z201" s="81"/>
      <c r="AA201" s="94">
        <f t="shared" si="37"/>
        <v>-244162.77136602998</v>
      </c>
      <c r="AB201" s="153">
        <f t="shared" si="38"/>
        <v>-56.506079927338575</v>
      </c>
      <c r="AD201" s="216"/>
      <c r="AE201" s="224"/>
      <c r="AF201" s="224"/>
      <c r="AG201" s="224"/>
      <c r="AH201" s="225"/>
      <c r="AJ201" s="81">
        <f t="shared" si="39"/>
        <v>5991893.238740836</v>
      </c>
      <c r="AK201" s="81">
        <f t="shared" si="40"/>
        <v>640737.9895966249</v>
      </c>
      <c r="AL201" s="81">
        <f t="shared" si="41"/>
        <v>16022455.411922395</v>
      </c>
      <c r="AM201" s="81">
        <f t="shared" si="42"/>
        <v>23696221.36867231</v>
      </c>
      <c r="AN201" s="81">
        <f t="shared" si="43"/>
        <v>0</v>
      </c>
      <c r="AO201" s="81">
        <f t="shared" si="44"/>
        <v>0</v>
      </c>
      <c r="AP201" s="81">
        <f t="shared" si="45"/>
        <v>0</v>
      </c>
      <c r="AQ201" s="81">
        <f t="shared" si="46"/>
        <v>0</v>
      </c>
      <c r="AR201" s="81">
        <f t="shared" si="47"/>
        <v>0</v>
      </c>
      <c r="AS201" s="82">
        <v>1523</v>
      </c>
      <c r="AT201" s="82">
        <v>5</v>
      </c>
      <c r="AU201" s="82"/>
      <c r="AV201" s="82">
        <v>5</v>
      </c>
      <c r="AW201" s="82">
        <f>13772793.1558669*(0.001)</f>
        <v>13772.79315586687</v>
      </c>
      <c r="AX201" s="82">
        <v>-2529.483869543992</v>
      </c>
      <c r="AY201" s="82">
        <v>2102.6462317235964</v>
      </c>
      <c r="AZ201" s="408"/>
      <c r="BA201" s="81"/>
      <c r="BB201" s="81"/>
      <c r="BC201" s="81"/>
      <c r="BD201" s="81"/>
      <c r="BE201" s="81"/>
      <c r="BF201" s="81"/>
      <c r="BG201" s="81"/>
      <c r="BO201" s="114"/>
    </row>
    <row r="202" spans="1:67" ht="12.75">
      <c r="A202" s="81">
        <v>598</v>
      </c>
      <c r="B202" s="81" t="s">
        <v>325</v>
      </c>
      <c r="C202" s="81">
        <v>15</v>
      </c>
      <c r="D202" s="81">
        <v>19066</v>
      </c>
      <c r="E202" s="100">
        <v>47920716.86649224</v>
      </c>
      <c r="F202" s="81">
        <v>30909718.856037047</v>
      </c>
      <c r="G202" s="81">
        <v>6894852.449409702</v>
      </c>
      <c r="H202" s="81">
        <v>5483625.669980991</v>
      </c>
      <c r="I202" s="156">
        <v>11385321.633950144</v>
      </c>
      <c r="J202" s="156">
        <v>2785540.2845203206</v>
      </c>
      <c r="K202" s="81">
        <v>-3194629.446678097</v>
      </c>
      <c r="L202" s="81">
        <v>569736</v>
      </c>
      <c r="M202" s="82">
        <v>603390</v>
      </c>
      <c r="N202" s="82">
        <v>222362.21848196143</v>
      </c>
      <c r="O202" s="214">
        <f t="shared" si="33"/>
        <v>7739200.799209826</v>
      </c>
      <c r="P202" s="215">
        <f t="shared" si="34"/>
        <v>405.9163326974628</v>
      </c>
      <c r="Q202" s="81"/>
      <c r="R202" s="223">
        <v>129605074</v>
      </c>
      <c r="S202" s="156">
        <v>71100283.31533968</v>
      </c>
      <c r="T202" s="156">
        <v>8225438.5049714865</v>
      </c>
      <c r="U202" s="156">
        <v>39058541.39686494</v>
      </c>
      <c r="V202" s="156">
        <v>9504720.933254179</v>
      </c>
      <c r="W202" s="156">
        <v>8067978.449409702</v>
      </c>
      <c r="X202" s="214">
        <f t="shared" si="35"/>
        <v>6351888.599839985</v>
      </c>
      <c r="Y202" s="215">
        <f t="shared" si="36"/>
        <v>333.1526591754949</v>
      </c>
      <c r="Z202" s="81"/>
      <c r="AA202" s="94">
        <f t="shared" si="37"/>
        <v>1387312.1993698403</v>
      </c>
      <c r="AB202" s="153">
        <f t="shared" si="38"/>
        <v>72.76367352196792</v>
      </c>
      <c r="AD202" s="216"/>
      <c r="AE202" s="224"/>
      <c r="AF202" s="224"/>
      <c r="AG202" s="224"/>
      <c r="AH202" s="225"/>
      <c r="AJ202" s="81">
        <f t="shared" si="39"/>
        <v>40190564.459302634</v>
      </c>
      <c r="AK202" s="81">
        <f t="shared" si="40"/>
        <v>2741812.834990496</v>
      </c>
      <c r="AL202" s="81">
        <f t="shared" si="41"/>
        <v>27673219.7629148</v>
      </c>
      <c r="AM202" s="81">
        <f t="shared" si="42"/>
        <v>81684357.13350776</v>
      </c>
      <c r="AN202" s="81">
        <f t="shared" si="43"/>
        <v>0</v>
      </c>
      <c r="AO202" s="81">
        <f t="shared" si="44"/>
        <v>0</v>
      </c>
      <c r="AP202" s="81">
        <f t="shared" si="45"/>
        <v>0</v>
      </c>
      <c r="AQ202" s="81">
        <f t="shared" si="46"/>
        <v>0</v>
      </c>
      <c r="AR202" s="81">
        <f t="shared" si="47"/>
        <v>0</v>
      </c>
      <c r="AS202" s="82">
        <v>7516</v>
      </c>
      <c r="AT202" s="82">
        <v>188</v>
      </c>
      <c r="AU202" s="82">
        <v>149</v>
      </c>
      <c r="AV202" s="82">
        <v>337</v>
      </c>
      <c r="AW202" s="82">
        <f>25631764.097271*(0.001)</f>
        <v>25631.76409727103</v>
      </c>
      <c r="AX202" s="82">
        <v>-1307.7827226998677</v>
      </c>
      <c r="AY202" s="82">
        <v>6719.180648733858</v>
      </c>
      <c r="AZ202" s="408"/>
      <c r="BA202" s="81"/>
      <c r="BB202" s="81"/>
      <c r="BC202" s="81"/>
      <c r="BD202" s="81"/>
      <c r="BE202" s="81"/>
      <c r="BF202" s="81"/>
      <c r="BG202" s="81"/>
      <c r="BO202" s="114"/>
    </row>
    <row r="203" spans="1:67" ht="12.75">
      <c r="A203" s="81">
        <v>599</v>
      </c>
      <c r="B203" s="81" t="s">
        <v>590</v>
      </c>
      <c r="C203" s="81">
        <v>15</v>
      </c>
      <c r="D203" s="81">
        <v>11174</v>
      </c>
      <c r="E203" s="223">
        <v>31201709.808771014</v>
      </c>
      <c r="F203" s="81">
        <v>14703542.095161455</v>
      </c>
      <c r="G203" s="81">
        <v>2561755.4416477215</v>
      </c>
      <c r="H203" s="81">
        <v>1952536.8721187718</v>
      </c>
      <c r="I203" s="156">
        <v>17683134.89006296</v>
      </c>
      <c r="J203" s="156">
        <v>1839753.1483936934</v>
      </c>
      <c r="K203" s="81">
        <v>-1772266.2416052865</v>
      </c>
      <c r="L203" s="81">
        <v>-880137</v>
      </c>
      <c r="M203" s="84">
        <v>79700</v>
      </c>
      <c r="N203" s="82">
        <v>102892.79842030982</v>
      </c>
      <c r="O203" s="214">
        <f t="shared" si="33"/>
        <v>5069202.19542861</v>
      </c>
      <c r="P203" s="215">
        <f t="shared" si="34"/>
        <v>453.66047927587346</v>
      </c>
      <c r="Q203" s="81"/>
      <c r="R203" s="223">
        <v>67939475</v>
      </c>
      <c r="S203" s="156">
        <v>33593204.44898012</v>
      </c>
      <c r="T203" s="156">
        <v>2928805.308178158</v>
      </c>
      <c r="U203" s="156">
        <v>26707654.24340458</v>
      </c>
      <c r="V203" s="156">
        <v>6230692.805965776</v>
      </c>
      <c r="W203" s="156">
        <v>1761318.4416477215</v>
      </c>
      <c r="X203" s="214">
        <f t="shared" si="35"/>
        <v>3282200.248176351</v>
      </c>
      <c r="Y203" s="215">
        <f t="shared" si="36"/>
        <v>293.73547952177836</v>
      </c>
      <c r="Z203" s="81"/>
      <c r="AA203" s="94">
        <f t="shared" si="37"/>
        <v>1787001.9472522587</v>
      </c>
      <c r="AB203" s="153">
        <f t="shared" si="38"/>
        <v>159.9249997540951</v>
      </c>
      <c r="AD203" s="216"/>
      <c r="AE203" s="224"/>
      <c r="AF203" s="224"/>
      <c r="AG203" s="224"/>
      <c r="AH203" s="225"/>
      <c r="AJ203" s="81">
        <f t="shared" si="39"/>
        <v>18889662.35381867</v>
      </c>
      <c r="AK203" s="81">
        <f t="shared" si="40"/>
        <v>976268.4360593862</v>
      </c>
      <c r="AL203" s="81">
        <f t="shared" si="41"/>
        <v>9024519.353341617</v>
      </c>
      <c r="AM203" s="81">
        <f t="shared" si="42"/>
        <v>36737765.191228986</v>
      </c>
      <c r="AN203" s="81">
        <f t="shared" si="43"/>
        <v>0</v>
      </c>
      <c r="AO203" s="81">
        <f t="shared" si="44"/>
        <v>0</v>
      </c>
      <c r="AP203" s="81">
        <f t="shared" si="45"/>
        <v>0</v>
      </c>
      <c r="AQ203" s="81">
        <f t="shared" si="46"/>
        <v>0</v>
      </c>
      <c r="AR203" s="81">
        <f t="shared" si="47"/>
        <v>0</v>
      </c>
      <c r="AS203" s="82">
        <v>2297</v>
      </c>
      <c r="AT203" s="82"/>
      <c r="AU203" s="82">
        <v>2</v>
      </c>
      <c r="AV203" s="82">
        <v>2</v>
      </c>
      <c r="AW203" s="82">
        <f>5270319.4484845*(0.001)</f>
        <v>5270.319448484495</v>
      </c>
      <c r="AX203" s="82">
        <v>-4364.829577009339</v>
      </c>
      <c r="AY203" s="82">
        <v>4390.939657572082</v>
      </c>
      <c r="AZ203" s="408"/>
      <c r="BA203" s="81"/>
      <c r="BB203" s="81"/>
      <c r="BC203" s="81"/>
      <c r="BD203" s="81"/>
      <c r="BE203" s="81"/>
      <c r="BF203" s="81"/>
      <c r="BG203" s="81"/>
      <c r="BO203" s="114"/>
    </row>
    <row r="204" spans="1:67" ht="12.75">
      <c r="A204" s="81">
        <v>601</v>
      </c>
      <c r="B204" s="81" t="s">
        <v>326</v>
      </c>
      <c r="C204" s="81">
        <v>13</v>
      </c>
      <c r="D204" s="81">
        <v>3931</v>
      </c>
      <c r="E204" s="100">
        <v>13197127.589801878</v>
      </c>
      <c r="F204" s="81">
        <v>4643055.623742078</v>
      </c>
      <c r="G204" s="81">
        <v>942023.352846454</v>
      </c>
      <c r="H204" s="81">
        <v>1313604.061232293</v>
      </c>
      <c r="I204" s="156">
        <v>3380492.061266495</v>
      </c>
      <c r="J204" s="156">
        <v>800903.4801266505</v>
      </c>
      <c r="K204" s="81">
        <v>1470644.4666104612</v>
      </c>
      <c r="L204" s="81">
        <v>394191</v>
      </c>
      <c r="M204" s="82">
        <v>131485</v>
      </c>
      <c r="N204" s="82">
        <v>33725.02490064608</v>
      </c>
      <c r="O204" s="214">
        <f t="shared" si="33"/>
        <v>-87003.51907679811</v>
      </c>
      <c r="P204" s="215">
        <f t="shared" si="34"/>
        <v>-22.132668297328443</v>
      </c>
      <c r="Q204" s="81"/>
      <c r="R204" s="223">
        <v>31808802</v>
      </c>
      <c r="S204" s="156">
        <v>10497681.22313685</v>
      </c>
      <c r="T204" s="156">
        <v>1970406.0918484398</v>
      </c>
      <c r="U204" s="156">
        <v>16012036.21681692</v>
      </c>
      <c r="V204" s="156">
        <v>2701520.5102384873</v>
      </c>
      <c r="W204" s="156">
        <v>1467699.352846454</v>
      </c>
      <c r="X204" s="214">
        <f t="shared" si="35"/>
        <v>840541.3948871531</v>
      </c>
      <c r="Y204" s="215">
        <f t="shared" si="36"/>
        <v>213.82380943453398</v>
      </c>
      <c r="Z204" s="81"/>
      <c r="AA204" s="94">
        <f t="shared" si="37"/>
        <v>-927544.9139639512</v>
      </c>
      <c r="AB204" s="153">
        <f t="shared" si="38"/>
        <v>-235.9564777318624</v>
      </c>
      <c r="AD204" s="216"/>
      <c r="AE204" s="224"/>
      <c r="AF204" s="224"/>
      <c r="AG204" s="224"/>
      <c r="AH204" s="225"/>
      <c r="AJ204" s="81">
        <f t="shared" si="39"/>
        <v>5854625.599394771</v>
      </c>
      <c r="AK204" s="81">
        <f t="shared" si="40"/>
        <v>656802.0306161467</v>
      </c>
      <c r="AL204" s="81">
        <f t="shared" si="41"/>
        <v>12631544.155550426</v>
      </c>
      <c r="AM204" s="81">
        <f t="shared" si="42"/>
        <v>18611674.410198122</v>
      </c>
      <c r="AN204" s="81">
        <f t="shared" si="43"/>
        <v>0</v>
      </c>
      <c r="AO204" s="81">
        <f t="shared" si="44"/>
        <v>0</v>
      </c>
      <c r="AP204" s="81">
        <f t="shared" si="45"/>
        <v>0</v>
      </c>
      <c r="AQ204" s="81">
        <f t="shared" si="46"/>
        <v>0</v>
      </c>
      <c r="AR204" s="81">
        <f t="shared" si="47"/>
        <v>0</v>
      </c>
      <c r="AS204" s="82">
        <v>1721</v>
      </c>
      <c r="AT204" s="82">
        <v>49</v>
      </c>
      <c r="AU204" s="82"/>
      <c r="AV204" s="82">
        <v>49</v>
      </c>
      <c r="AW204" s="82">
        <f>10527996.1452658*(0.001)</f>
        <v>10527.996145265779</v>
      </c>
      <c r="AX204" s="82">
        <v>-2158.2404774750626</v>
      </c>
      <c r="AY204" s="82">
        <v>1900.6170301118368</v>
      </c>
      <c r="AZ204" s="408"/>
      <c r="BA204" s="81"/>
      <c r="BB204" s="81"/>
      <c r="BC204" s="81"/>
      <c r="BD204" s="81"/>
      <c r="BE204" s="81"/>
      <c r="BF204" s="81"/>
      <c r="BG204" s="81"/>
      <c r="BO204" s="114"/>
    </row>
    <row r="205" spans="1:67" ht="12.75">
      <c r="A205" s="81">
        <v>604</v>
      </c>
      <c r="B205" s="81" t="s">
        <v>327</v>
      </c>
      <c r="C205" s="81">
        <v>6</v>
      </c>
      <c r="D205" s="81">
        <v>19803</v>
      </c>
      <c r="E205" s="100">
        <v>69207499.63972196</v>
      </c>
      <c r="F205" s="81">
        <v>34991229.783595204</v>
      </c>
      <c r="G205" s="81">
        <v>6147263.851034953</v>
      </c>
      <c r="H205" s="81">
        <v>3339108.5544133997</v>
      </c>
      <c r="I205" s="156">
        <v>11441857.87907715</v>
      </c>
      <c r="J205" s="156">
        <v>1865698.989405687</v>
      </c>
      <c r="K205" s="81">
        <v>565201.9407514802</v>
      </c>
      <c r="L205" s="81">
        <v>-2221592</v>
      </c>
      <c r="M205" s="82">
        <v>-684000</v>
      </c>
      <c r="N205" s="82">
        <v>273880.47313981265</v>
      </c>
      <c r="O205" s="214">
        <f t="shared" si="33"/>
        <v>-13488850.168304272</v>
      </c>
      <c r="P205" s="215">
        <f t="shared" si="34"/>
        <v>-681.1518541788755</v>
      </c>
      <c r="Q205" s="81"/>
      <c r="R205" s="223">
        <v>129718339</v>
      </c>
      <c r="S205" s="156">
        <v>86200891.61895762</v>
      </c>
      <c r="T205" s="156">
        <v>5008662.8316201</v>
      </c>
      <c r="U205" s="156">
        <v>15344479.914728265</v>
      </c>
      <c r="V205" s="156">
        <v>6474436.943689846</v>
      </c>
      <c r="W205" s="156">
        <v>3241671.8510349533</v>
      </c>
      <c r="X205" s="214">
        <f t="shared" si="35"/>
        <v>-13448195.839969218</v>
      </c>
      <c r="Y205" s="215">
        <f t="shared" si="36"/>
        <v>-679.0989163242548</v>
      </c>
      <c r="Z205" s="81"/>
      <c r="AA205" s="94">
        <f t="shared" si="37"/>
        <v>-40654.32833505422</v>
      </c>
      <c r="AB205" s="153">
        <f t="shared" si="38"/>
        <v>-2.052937854620725</v>
      </c>
      <c r="AD205" s="216"/>
      <c r="AE205" s="224"/>
      <c r="AF205" s="224"/>
      <c r="AG205" s="224"/>
      <c r="AH205" s="225"/>
      <c r="AJ205" s="81">
        <f t="shared" si="39"/>
        <v>51209661.83536242</v>
      </c>
      <c r="AK205" s="81">
        <f t="shared" si="40"/>
        <v>1669554.2772067003</v>
      </c>
      <c r="AL205" s="81">
        <f t="shared" si="41"/>
        <v>3902622.0356511157</v>
      </c>
      <c r="AM205" s="81">
        <f t="shared" si="42"/>
        <v>60510839.36027804</v>
      </c>
      <c r="AN205" s="81">
        <f t="shared" si="43"/>
        <v>0</v>
      </c>
      <c r="AO205" s="81">
        <f t="shared" si="44"/>
        <v>0</v>
      </c>
      <c r="AP205" s="81">
        <f t="shared" si="45"/>
        <v>0</v>
      </c>
      <c r="AQ205" s="81">
        <f t="shared" si="46"/>
        <v>0</v>
      </c>
      <c r="AR205" s="81">
        <f t="shared" si="47"/>
        <v>0</v>
      </c>
      <c r="AS205" s="82">
        <v>7941</v>
      </c>
      <c r="AT205" s="82">
        <v>90</v>
      </c>
      <c r="AU205" s="82"/>
      <c r="AV205" s="82">
        <v>90</v>
      </c>
      <c r="AW205" s="82">
        <f>7881371.36887394*(0.001)</f>
        <v>7881.371368873939</v>
      </c>
      <c r="AX205" s="82">
        <v>3633.495623686777</v>
      </c>
      <c r="AY205" s="82">
        <v>4608.737954284159</v>
      </c>
      <c r="AZ205" s="408"/>
      <c r="BA205" s="81"/>
      <c r="BB205" s="81"/>
      <c r="BC205" s="81"/>
      <c r="BD205" s="81"/>
      <c r="BE205" s="81"/>
      <c r="BF205" s="81"/>
      <c r="BG205" s="81"/>
      <c r="BO205" s="114"/>
    </row>
    <row r="206" spans="1:67" ht="12.75">
      <c r="A206" s="81">
        <v>607</v>
      </c>
      <c r="B206" s="81" t="s">
        <v>328</v>
      </c>
      <c r="C206" s="81">
        <v>12</v>
      </c>
      <c r="D206" s="81">
        <v>4201</v>
      </c>
      <c r="E206" s="100">
        <v>11021070.943462644</v>
      </c>
      <c r="F206" s="81">
        <v>4604291.512767544</v>
      </c>
      <c r="G206" s="81">
        <v>898407.1761276306</v>
      </c>
      <c r="H206" s="81">
        <v>853001.1444460346</v>
      </c>
      <c r="I206" s="156">
        <v>2828104.1162792523</v>
      </c>
      <c r="J206" s="156">
        <v>866664.7915293693</v>
      </c>
      <c r="K206" s="81">
        <v>814462.6997378556</v>
      </c>
      <c r="L206" s="81">
        <v>-488651</v>
      </c>
      <c r="M206" s="82">
        <v>170000</v>
      </c>
      <c r="N206" s="82">
        <v>35756.423111805445</v>
      </c>
      <c r="O206" s="214">
        <f t="shared" si="33"/>
        <v>-439034.0794631522</v>
      </c>
      <c r="P206" s="215">
        <f t="shared" si="34"/>
        <v>-104.5070410528808</v>
      </c>
      <c r="Q206" s="81"/>
      <c r="R206" s="223">
        <v>29500000</v>
      </c>
      <c r="S206" s="156">
        <v>11081428.879626097</v>
      </c>
      <c r="T206" s="156">
        <v>1279501.716669052</v>
      </c>
      <c r="U206" s="156">
        <v>13939436.191850008</v>
      </c>
      <c r="V206" s="156">
        <v>2920053.74375715</v>
      </c>
      <c r="W206" s="156">
        <v>579756.1761276306</v>
      </c>
      <c r="X206" s="214">
        <f t="shared" si="35"/>
        <v>300176.7080299407</v>
      </c>
      <c r="Y206" s="215">
        <f t="shared" si="36"/>
        <v>71.45363199950981</v>
      </c>
      <c r="Z206" s="81"/>
      <c r="AA206" s="94">
        <f t="shared" si="37"/>
        <v>-739210.7874930929</v>
      </c>
      <c r="AB206" s="153">
        <f t="shared" si="38"/>
        <v>-175.9606730523906</v>
      </c>
      <c r="AD206" s="216"/>
      <c r="AE206" s="224"/>
      <c r="AF206" s="224"/>
      <c r="AG206" s="224"/>
      <c r="AH206" s="225"/>
      <c r="AJ206" s="81">
        <f t="shared" si="39"/>
        <v>6477137.366858553</v>
      </c>
      <c r="AK206" s="81">
        <f t="shared" si="40"/>
        <v>426500.57222301734</v>
      </c>
      <c r="AL206" s="81">
        <f t="shared" si="41"/>
        <v>11111332.075570757</v>
      </c>
      <c r="AM206" s="81">
        <f t="shared" si="42"/>
        <v>18478929.056537356</v>
      </c>
      <c r="AN206" s="81">
        <f t="shared" si="43"/>
        <v>0</v>
      </c>
      <c r="AO206" s="81">
        <f t="shared" si="44"/>
        <v>0</v>
      </c>
      <c r="AP206" s="81">
        <f t="shared" si="45"/>
        <v>0</v>
      </c>
      <c r="AQ206" s="81">
        <f t="shared" si="46"/>
        <v>0</v>
      </c>
      <c r="AR206" s="81">
        <f t="shared" si="47"/>
        <v>0</v>
      </c>
      <c r="AS206" s="82">
        <v>2520</v>
      </c>
      <c r="AT206" s="82"/>
      <c r="AU206" s="82"/>
      <c r="AV206" s="82">
        <v>0</v>
      </c>
      <c r="AW206" s="82">
        <f>8501742.76013557*(0.001)</f>
        <v>8501.74276013557</v>
      </c>
      <c r="AX206" s="82">
        <v>-2415.2855619085476</v>
      </c>
      <c r="AY206" s="82">
        <v>2053.388952227781</v>
      </c>
      <c r="AZ206" s="408"/>
      <c r="BA206" s="81"/>
      <c r="BB206" s="81"/>
      <c r="BC206" s="81"/>
      <c r="BD206" s="81"/>
      <c r="BE206" s="81"/>
      <c r="BF206" s="81"/>
      <c r="BG206" s="81"/>
      <c r="BO206" s="114"/>
    </row>
    <row r="207" spans="1:67" ht="12.75">
      <c r="A207" s="81">
        <v>608</v>
      </c>
      <c r="B207" s="81" t="s">
        <v>329</v>
      </c>
      <c r="C207" s="81">
        <v>4</v>
      </c>
      <c r="D207" s="81">
        <v>2063</v>
      </c>
      <c r="E207" s="100">
        <v>5665754.93541833</v>
      </c>
      <c r="F207" s="81">
        <v>2682322.493876792</v>
      </c>
      <c r="G207" s="81">
        <v>546883.147708614</v>
      </c>
      <c r="H207" s="81">
        <v>434686.5749621617</v>
      </c>
      <c r="I207" s="156">
        <v>1432185.9785809615</v>
      </c>
      <c r="J207" s="156">
        <v>386700.2589793779</v>
      </c>
      <c r="K207" s="81">
        <v>-307148.2977553458</v>
      </c>
      <c r="L207" s="81">
        <v>220729</v>
      </c>
      <c r="M207" s="82">
        <v>-49400</v>
      </c>
      <c r="N207" s="82">
        <v>18044.218326528917</v>
      </c>
      <c r="O207" s="214">
        <f t="shared" si="33"/>
        <v>-300751.5607392397</v>
      </c>
      <c r="P207" s="215">
        <f t="shared" si="34"/>
        <v>-145.78359706216173</v>
      </c>
      <c r="Q207" s="81"/>
      <c r="R207" s="223">
        <v>15336393.15</v>
      </c>
      <c r="S207" s="156">
        <v>5948849.777861439</v>
      </c>
      <c r="T207" s="156">
        <v>652029.8624432426</v>
      </c>
      <c r="U207" s="156">
        <v>6174722.852477953</v>
      </c>
      <c r="V207" s="156">
        <v>1307535.4831027058</v>
      </c>
      <c r="W207" s="156">
        <v>718212.147708614</v>
      </c>
      <c r="X207" s="214">
        <f t="shared" si="35"/>
        <v>-535043.026406046</v>
      </c>
      <c r="Y207" s="215">
        <f t="shared" si="36"/>
        <v>-259.3519274871769</v>
      </c>
      <c r="Z207" s="81"/>
      <c r="AA207" s="94">
        <f t="shared" si="37"/>
        <v>234291.46566680633</v>
      </c>
      <c r="AB207" s="153">
        <f t="shared" si="38"/>
        <v>113.56833042501519</v>
      </c>
      <c r="AD207" s="216"/>
      <c r="AE207" s="224"/>
      <c r="AF207" s="224"/>
      <c r="AG207" s="224"/>
      <c r="AH207" s="225"/>
      <c r="AJ207" s="81">
        <f t="shared" si="39"/>
        <v>3266527.2839846467</v>
      </c>
      <c r="AK207" s="81">
        <f t="shared" si="40"/>
        <v>217343.28748108086</v>
      </c>
      <c r="AL207" s="81">
        <f t="shared" si="41"/>
        <v>4742536.873896992</v>
      </c>
      <c r="AM207" s="81">
        <f t="shared" si="42"/>
        <v>9670638.21458167</v>
      </c>
      <c r="AN207" s="81">
        <f t="shared" si="43"/>
        <v>0</v>
      </c>
      <c r="AO207" s="81">
        <f t="shared" si="44"/>
        <v>0</v>
      </c>
      <c r="AP207" s="81">
        <f t="shared" si="45"/>
        <v>0</v>
      </c>
      <c r="AQ207" s="81">
        <f t="shared" si="46"/>
        <v>0</v>
      </c>
      <c r="AR207" s="81">
        <f t="shared" si="47"/>
        <v>0</v>
      </c>
      <c r="AS207" s="82">
        <v>523</v>
      </c>
      <c r="AT207" s="82"/>
      <c r="AU207" s="82"/>
      <c r="AV207" s="82">
        <v>0</v>
      </c>
      <c r="AW207" s="82">
        <f>3821505.09773867*(0.001)</f>
        <v>3821.5050977386745</v>
      </c>
      <c r="AX207" s="82">
        <v>-951.5064153837668</v>
      </c>
      <c r="AY207" s="82">
        <v>920.8352241233279</v>
      </c>
      <c r="AZ207" s="408"/>
      <c r="BA207" s="81"/>
      <c r="BB207" s="81"/>
      <c r="BC207" s="81"/>
      <c r="BD207" s="81"/>
      <c r="BE207" s="81"/>
      <c r="BF207" s="81"/>
      <c r="BG207" s="81"/>
      <c r="BO207" s="114"/>
    </row>
    <row r="208" spans="1:67" ht="12.75">
      <c r="A208" s="81">
        <v>609</v>
      </c>
      <c r="B208" s="81" t="s">
        <v>330</v>
      </c>
      <c r="C208" s="81">
        <v>4</v>
      </c>
      <c r="D208" s="81">
        <v>83684</v>
      </c>
      <c r="E208" s="100">
        <v>182460418.3325361</v>
      </c>
      <c r="F208" s="81">
        <v>126310473.67459022</v>
      </c>
      <c r="G208" s="81">
        <v>24696660.061310466</v>
      </c>
      <c r="H208" s="81">
        <v>11204689.106124245</v>
      </c>
      <c r="I208" s="156">
        <v>29110800.930194966</v>
      </c>
      <c r="J208" s="156">
        <v>12330388.641749952</v>
      </c>
      <c r="K208" s="81">
        <v>-11461999.895892872</v>
      </c>
      <c r="L208" s="81">
        <v>-5790654</v>
      </c>
      <c r="M208" s="82">
        <v>5814981.6</v>
      </c>
      <c r="N208" s="82">
        <v>893996.5235046765</v>
      </c>
      <c r="O208" s="214">
        <f t="shared" si="33"/>
        <v>10648918.309045553</v>
      </c>
      <c r="P208" s="215">
        <f t="shared" si="34"/>
        <v>127.25154520631845</v>
      </c>
      <c r="Q208" s="81"/>
      <c r="R208" s="223">
        <v>515420461.06</v>
      </c>
      <c r="S208" s="156">
        <v>293315671.48602724</v>
      </c>
      <c r="T208" s="156">
        <v>16807033.659186367</v>
      </c>
      <c r="U208" s="156">
        <v>146903609.70062122</v>
      </c>
      <c r="V208" s="156">
        <v>41993348.01029867</v>
      </c>
      <c r="W208" s="156">
        <v>24720987.661310464</v>
      </c>
      <c r="X208" s="214">
        <f t="shared" si="35"/>
        <v>8320189.457443953</v>
      </c>
      <c r="Y208" s="215">
        <f t="shared" si="36"/>
        <v>99.42389772768931</v>
      </c>
      <c r="Z208" s="81"/>
      <c r="AA208" s="94">
        <f t="shared" si="37"/>
        <v>2328728.8516016006</v>
      </c>
      <c r="AB208" s="153">
        <f t="shared" si="38"/>
        <v>27.827647478629135</v>
      </c>
      <c r="AD208" s="216"/>
      <c r="AE208" s="224"/>
      <c r="AF208" s="224"/>
      <c r="AG208" s="224"/>
      <c r="AH208" s="225"/>
      <c r="AJ208" s="81">
        <f t="shared" si="39"/>
        <v>167005197.811437</v>
      </c>
      <c r="AK208" s="81">
        <f t="shared" si="40"/>
        <v>5602344.553062122</v>
      </c>
      <c r="AL208" s="81">
        <f t="shared" si="41"/>
        <v>117792808.77042624</v>
      </c>
      <c r="AM208" s="81">
        <f t="shared" si="42"/>
        <v>332960042.7274639</v>
      </c>
      <c r="AN208" s="81">
        <f t="shared" si="43"/>
        <v>0</v>
      </c>
      <c r="AO208" s="81">
        <f t="shared" si="44"/>
        <v>0</v>
      </c>
      <c r="AP208" s="81">
        <f t="shared" si="45"/>
        <v>0</v>
      </c>
      <c r="AQ208" s="81">
        <f t="shared" si="46"/>
        <v>0</v>
      </c>
      <c r="AR208" s="81">
        <f t="shared" si="47"/>
        <v>0</v>
      </c>
      <c r="AS208" s="82">
        <v>30194</v>
      </c>
      <c r="AT208" s="82">
        <v>330</v>
      </c>
      <c r="AU208" s="82">
        <v>1376</v>
      </c>
      <c r="AV208" s="82">
        <v>1706</v>
      </c>
      <c r="AW208" s="82">
        <f>99464016.7046287*(0.001)</f>
        <v>99464.01670462871</v>
      </c>
      <c r="AX208" s="82">
        <v>-13054.67115435293</v>
      </c>
      <c r="AY208" s="82">
        <v>29662.959368548716</v>
      </c>
      <c r="AZ208" s="408"/>
      <c r="BA208" s="81"/>
      <c r="BB208" s="81"/>
      <c r="BC208" s="81"/>
      <c r="BD208" s="81"/>
      <c r="BE208" s="81"/>
      <c r="BF208" s="81"/>
      <c r="BG208" s="81"/>
      <c r="BO208" s="114"/>
    </row>
    <row r="209" spans="1:67" ht="12.75">
      <c r="A209" s="81">
        <v>611</v>
      </c>
      <c r="B209" s="81" t="s">
        <v>331</v>
      </c>
      <c r="C209" s="81">
        <v>1</v>
      </c>
      <c r="D209" s="81">
        <v>5070</v>
      </c>
      <c r="E209" s="100">
        <v>13859244.067651719</v>
      </c>
      <c r="F209" s="81">
        <v>8392010.830853691</v>
      </c>
      <c r="G209" s="81">
        <v>1212418.3651125391</v>
      </c>
      <c r="H209" s="81">
        <v>308037.00030768</v>
      </c>
      <c r="I209" s="156">
        <v>3917681.2015806776</v>
      </c>
      <c r="J209" s="156">
        <v>649599.4778033255</v>
      </c>
      <c r="K209" s="81">
        <v>405146.79652881576</v>
      </c>
      <c r="L209" s="81">
        <v>-1249686</v>
      </c>
      <c r="M209" s="82">
        <v>-128500</v>
      </c>
      <c r="N209" s="82">
        <v>63732.21232837727</v>
      </c>
      <c r="O209" s="214">
        <f t="shared" si="33"/>
        <v>-288804.1831366122</v>
      </c>
      <c r="P209" s="215">
        <f t="shared" si="34"/>
        <v>-56.96334973108721</v>
      </c>
      <c r="Q209" s="81"/>
      <c r="R209" s="223">
        <v>28116192</v>
      </c>
      <c r="S209" s="156">
        <v>20543029.59899756</v>
      </c>
      <c r="T209" s="156">
        <v>462055.50046152</v>
      </c>
      <c r="U209" s="156">
        <v>4953748.314545114</v>
      </c>
      <c r="V209" s="156">
        <v>2219786.4129082174</v>
      </c>
      <c r="W209" s="156">
        <v>-165767.63488746085</v>
      </c>
      <c r="X209" s="214">
        <f t="shared" si="35"/>
        <v>-103339.80797505006</v>
      </c>
      <c r="Y209" s="215">
        <f t="shared" si="36"/>
        <v>-20.382605123284037</v>
      </c>
      <c r="Z209" s="81"/>
      <c r="AA209" s="94">
        <f t="shared" si="37"/>
        <v>-185464.37516156211</v>
      </c>
      <c r="AB209" s="153">
        <f t="shared" si="38"/>
        <v>-36.580744607803176</v>
      </c>
      <c r="AD209" s="216"/>
      <c r="AE209" s="224"/>
      <c r="AF209" s="224"/>
      <c r="AG209" s="224"/>
      <c r="AH209" s="225"/>
      <c r="AJ209" s="81">
        <f t="shared" si="39"/>
        <v>12151018.768143868</v>
      </c>
      <c r="AK209" s="81">
        <f t="shared" si="40"/>
        <v>154018.50015384</v>
      </c>
      <c r="AL209" s="81">
        <f t="shared" si="41"/>
        <v>1036067.112964436</v>
      </c>
      <c r="AM209" s="81">
        <f t="shared" si="42"/>
        <v>14256947.932348281</v>
      </c>
      <c r="AN209" s="81">
        <f t="shared" si="43"/>
        <v>0</v>
      </c>
      <c r="AO209" s="81">
        <f t="shared" si="44"/>
        <v>0</v>
      </c>
      <c r="AP209" s="81">
        <f t="shared" si="45"/>
        <v>0</v>
      </c>
      <c r="AQ209" s="81">
        <f t="shared" si="46"/>
        <v>0</v>
      </c>
      <c r="AR209" s="81">
        <f t="shared" si="47"/>
        <v>0</v>
      </c>
      <c r="AS209" s="82">
        <v>1667</v>
      </c>
      <c r="AT209" s="82"/>
      <c r="AU209" s="82"/>
      <c r="AV209" s="82">
        <v>0</v>
      </c>
      <c r="AW209" s="82">
        <f>1475880.25492421*(0.001)</f>
        <v>1475.8802549242112</v>
      </c>
      <c r="AX209" s="82">
        <v>352.8481276328806</v>
      </c>
      <c r="AY209" s="82">
        <v>1570.186935104892</v>
      </c>
      <c r="AZ209" s="408"/>
      <c r="BA209" s="81"/>
      <c r="BB209" s="81"/>
      <c r="BC209" s="81"/>
      <c r="BD209" s="81"/>
      <c r="BE209" s="81"/>
      <c r="BF209" s="81"/>
      <c r="BG209" s="81"/>
      <c r="BO209" s="114"/>
    </row>
    <row r="210" spans="1:67" ht="12.75">
      <c r="A210" s="81">
        <v>614</v>
      </c>
      <c r="B210" s="81" t="s">
        <v>333</v>
      </c>
      <c r="C210" s="81">
        <v>19</v>
      </c>
      <c r="D210" s="81">
        <v>3117</v>
      </c>
      <c r="E210" s="100">
        <v>7664351.78567278</v>
      </c>
      <c r="F210" s="81">
        <v>4190648.8418342313</v>
      </c>
      <c r="G210" s="81">
        <v>1291697.3865254144</v>
      </c>
      <c r="H210" s="81">
        <v>522216.3035474307</v>
      </c>
      <c r="I210" s="156">
        <v>3517932.517117146</v>
      </c>
      <c r="J210" s="156">
        <v>706036.1121304189</v>
      </c>
      <c r="K210" s="81">
        <v>-1376047.8800798538</v>
      </c>
      <c r="L210" s="81">
        <v>227942</v>
      </c>
      <c r="M210" s="82">
        <v>-20000</v>
      </c>
      <c r="N210" s="82">
        <v>27387.087817349126</v>
      </c>
      <c r="O210" s="214">
        <f t="shared" si="33"/>
        <v>1423460.5832193568</v>
      </c>
      <c r="P210" s="215">
        <f t="shared" si="34"/>
        <v>456.6764784149364</v>
      </c>
      <c r="Q210" s="81"/>
      <c r="R210" s="223">
        <v>29220627</v>
      </c>
      <c r="S210" s="156">
        <v>9217277.04740287</v>
      </c>
      <c r="T210" s="156">
        <v>783324.4553211461</v>
      </c>
      <c r="U210" s="156">
        <v>15841539.116452709</v>
      </c>
      <c r="V210" s="156">
        <v>2380559.0807131333</v>
      </c>
      <c r="W210" s="156">
        <v>1499639.3865254144</v>
      </c>
      <c r="X210" s="214">
        <f t="shared" si="35"/>
        <v>501712.0864152722</v>
      </c>
      <c r="Y210" s="215">
        <f t="shared" si="36"/>
        <v>160.95992506104338</v>
      </c>
      <c r="Z210" s="81"/>
      <c r="AA210" s="94">
        <f t="shared" si="37"/>
        <v>921748.4968040846</v>
      </c>
      <c r="AB210" s="153">
        <f t="shared" si="38"/>
        <v>295.71655335389306</v>
      </c>
      <c r="AD210" s="216"/>
      <c r="AE210" s="224"/>
      <c r="AF210" s="224"/>
      <c r="AG210" s="224"/>
      <c r="AH210" s="225"/>
      <c r="AJ210" s="81">
        <f t="shared" si="39"/>
        <v>5026628.205568639</v>
      </c>
      <c r="AK210" s="81">
        <f t="shared" si="40"/>
        <v>261108.15177371533</v>
      </c>
      <c r="AL210" s="81">
        <f t="shared" si="41"/>
        <v>12323606.599335562</v>
      </c>
      <c r="AM210" s="81">
        <f t="shared" si="42"/>
        <v>21556275.21432722</v>
      </c>
      <c r="AN210" s="81">
        <f t="shared" si="43"/>
        <v>0</v>
      </c>
      <c r="AO210" s="81">
        <f t="shared" si="44"/>
        <v>0</v>
      </c>
      <c r="AP210" s="81">
        <f t="shared" si="45"/>
        <v>0</v>
      </c>
      <c r="AQ210" s="81">
        <f t="shared" si="46"/>
        <v>0</v>
      </c>
      <c r="AR210" s="81">
        <f t="shared" si="47"/>
        <v>0</v>
      </c>
      <c r="AS210" s="82">
        <v>1111</v>
      </c>
      <c r="AT210" s="82">
        <v>44</v>
      </c>
      <c r="AU210" s="82"/>
      <c r="AV210" s="82">
        <v>44</v>
      </c>
      <c r="AW210" s="82">
        <f>10591368.4862577*(0.001)</f>
        <v>10591.36848625767</v>
      </c>
      <c r="AX210" s="82">
        <v>-1738.05476159376</v>
      </c>
      <c r="AY210" s="82">
        <v>1674.5229685827144</v>
      </c>
      <c r="AZ210" s="408"/>
      <c r="BA210" s="81"/>
      <c r="BB210" s="81"/>
      <c r="BC210" s="81"/>
      <c r="BD210" s="81"/>
      <c r="BE210" s="81"/>
      <c r="BF210" s="81"/>
      <c r="BG210" s="81"/>
      <c r="BO210" s="114"/>
    </row>
    <row r="211" spans="1:67" ht="12.75">
      <c r="A211" s="81">
        <v>615</v>
      </c>
      <c r="B211" s="81" t="s">
        <v>334</v>
      </c>
      <c r="C211" s="81">
        <v>17</v>
      </c>
      <c r="D211" s="81">
        <v>7779</v>
      </c>
      <c r="E211" s="100">
        <v>25207475.492637172</v>
      </c>
      <c r="F211" s="81">
        <v>8137240.7790882755</v>
      </c>
      <c r="G211" s="81">
        <v>2687459.416471392</v>
      </c>
      <c r="H211" s="81">
        <v>2110890.740592549</v>
      </c>
      <c r="I211" s="156">
        <v>11602226.374860687</v>
      </c>
      <c r="J211" s="156">
        <v>1460202.257750859</v>
      </c>
      <c r="K211" s="81">
        <v>1692798.5331174333</v>
      </c>
      <c r="L211" s="81">
        <v>-538335</v>
      </c>
      <c r="M211" s="82">
        <v>597540</v>
      </c>
      <c r="N211" s="82">
        <v>57345.20396953581</v>
      </c>
      <c r="O211" s="214">
        <f t="shared" si="33"/>
        <v>2599892.813213557</v>
      </c>
      <c r="P211" s="215">
        <f t="shared" si="34"/>
        <v>334.2194129339963</v>
      </c>
      <c r="Q211" s="81"/>
      <c r="R211" s="223">
        <v>61772998</v>
      </c>
      <c r="S211" s="156">
        <v>18153667.013805818</v>
      </c>
      <c r="T211" s="156">
        <v>3166336.110888824</v>
      </c>
      <c r="U211" s="156">
        <v>35571570.95307441</v>
      </c>
      <c r="V211" s="156">
        <v>4928264.551800689</v>
      </c>
      <c r="W211" s="156">
        <v>2746664.416471392</v>
      </c>
      <c r="X211" s="214">
        <f t="shared" si="35"/>
        <v>2793505.046041131</v>
      </c>
      <c r="Y211" s="215">
        <f t="shared" si="36"/>
        <v>359.1085031547925</v>
      </c>
      <c r="Z211" s="81"/>
      <c r="AA211" s="94">
        <f t="shared" si="37"/>
        <v>-193612.23282757401</v>
      </c>
      <c r="AB211" s="153">
        <f t="shared" si="38"/>
        <v>-24.88909022079625</v>
      </c>
      <c r="AD211" s="216"/>
      <c r="AE211" s="224"/>
      <c r="AF211" s="224"/>
      <c r="AG211" s="224"/>
      <c r="AH211" s="225"/>
      <c r="AJ211" s="81">
        <f t="shared" si="39"/>
        <v>10016426.234717542</v>
      </c>
      <c r="AK211" s="81">
        <f t="shared" si="40"/>
        <v>1055445.3702962748</v>
      </c>
      <c r="AL211" s="81">
        <f t="shared" si="41"/>
        <v>23969344.57821372</v>
      </c>
      <c r="AM211" s="81">
        <f t="shared" si="42"/>
        <v>36565522.50736283</v>
      </c>
      <c r="AN211" s="81">
        <f t="shared" si="43"/>
        <v>0</v>
      </c>
      <c r="AO211" s="81">
        <f t="shared" si="44"/>
        <v>0</v>
      </c>
      <c r="AP211" s="81">
        <f t="shared" si="45"/>
        <v>0</v>
      </c>
      <c r="AQ211" s="81">
        <f t="shared" si="46"/>
        <v>0</v>
      </c>
      <c r="AR211" s="81">
        <f t="shared" si="47"/>
        <v>0</v>
      </c>
      <c r="AS211" s="82">
        <v>3646</v>
      </c>
      <c r="AT211" s="82"/>
      <c r="AU211" s="82"/>
      <c r="AV211" s="82">
        <v>0</v>
      </c>
      <c r="AW211" s="82">
        <f>19997892.4872497*(0.001)</f>
        <v>19997.892487249665</v>
      </c>
      <c r="AX211" s="82">
        <v>-4909.949518090958</v>
      </c>
      <c r="AY211" s="82">
        <v>3468.0622940498297</v>
      </c>
      <c r="AZ211" s="408"/>
      <c r="BA211" s="81"/>
      <c r="BB211" s="81"/>
      <c r="BC211" s="81"/>
      <c r="BD211" s="81"/>
      <c r="BE211" s="81"/>
      <c r="BF211" s="81"/>
      <c r="BG211" s="81"/>
      <c r="BO211" s="114"/>
    </row>
    <row r="212" spans="1:67" ht="12.75">
      <c r="A212" s="81">
        <v>616</v>
      </c>
      <c r="B212" s="81" t="s">
        <v>335</v>
      </c>
      <c r="C212" s="81">
        <v>1</v>
      </c>
      <c r="D212" s="81">
        <v>1833</v>
      </c>
      <c r="E212" s="100">
        <v>5115664.012816199</v>
      </c>
      <c r="F212" s="81">
        <v>2872178.5605538217</v>
      </c>
      <c r="G212" s="81">
        <v>434148.3149781416</v>
      </c>
      <c r="H212" s="81">
        <v>202893.7002474816</v>
      </c>
      <c r="I212" s="156">
        <v>1252900.9067723663</v>
      </c>
      <c r="J212" s="156">
        <v>343900.4848502864</v>
      </c>
      <c r="K212" s="81">
        <v>-48547.106787587356</v>
      </c>
      <c r="L212" s="81">
        <v>-498809</v>
      </c>
      <c r="M212" s="82">
        <v>141999.96</v>
      </c>
      <c r="N212" s="82">
        <v>18882.940862313117</v>
      </c>
      <c r="O212" s="214">
        <f aca="true" t="shared" si="48" ref="O212:O275">N212+M212+L212+K212+J212+I212+H212+G212+F212-E212</f>
        <v>-396115.251339376</v>
      </c>
      <c r="P212" s="215">
        <f aca="true" t="shared" si="49" ref="P212:P275">O212/D212</f>
        <v>-216.10215566796288</v>
      </c>
      <c r="Q212" s="81"/>
      <c r="R212" s="223">
        <v>11746593.489999998</v>
      </c>
      <c r="S212" s="156">
        <v>6416537.850794779</v>
      </c>
      <c r="T212" s="156">
        <v>304340.55037122243</v>
      </c>
      <c r="U212" s="156">
        <v>3325011.75409396</v>
      </c>
      <c r="V212" s="156">
        <v>1165072.4462963673</v>
      </c>
      <c r="W212" s="156">
        <v>77339.27497814162</v>
      </c>
      <c r="X212" s="214">
        <f aca="true" t="shared" si="50" ref="X212:X275">W212+V212+U212+T212+S212-R212</f>
        <v>-458291.61346552894</v>
      </c>
      <c r="Y212" s="215">
        <f aca="true" t="shared" si="51" ref="Y212:Y275">X212/D212</f>
        <v>-250.02270238163064</v>
      </c>
      <c r="Z212" s="81"/>
      <c r="AA212" s="94">
        <f aca="true" t="shared" si="52" ref="AA212:AA275">O212-X212</f>
        <v>62176.36212615296</v>
      </c>
      <c r="AB212" s="153">
        <f aca="true" t="shared" si="53" ref="AB212:AB275">AA212/D212</f>
        <v>33.92054671366774</v>
      </c>
      <c r="AD212" s="216"/>
      <c r="AE212" s="224"/>
      <c r="AF212" s="224"/>
      <c r="AG212" s="224"/>
      <c r="AH212" s="225"/>
      <c r="AJ212" s="81">
        <f aca="true" t="shared" si="54" ref="AJ212:AJ275">S212-F212</f>
        <v>3544359.2902409574</v>
      </c>
      <c r="AK212" s="81">
        <f aca="true" t="shared" si="55" ref="AK212:AK275">T212-H212</f>
        <v>101446.85012374082</v>
      </c>
      <c r="AL212" s="81">
        <f aca="true" t="shared" si="56" ref="AL212:AL275">U212-I212</f>
        <v>2072110.8473215937</v>
      </c>
      <c r="AM212" s="81">
        <f aca="true" t="shared" si="57" ref="AM212:AM275">R212-E212</f>
        <v>6630929.477183799</v>
      </c>
      <c r="AN212" s="81">
        <f aca="true" t="shared" si="58" ref="AN212:AN275">AD212</f>
        <v>0</v>
      </c>
      <c r="AO212" s="81">
        <f aca="true" t="shared" si="59" ref="AO212:AO275">AE212</f>
        <v>0</v>
      </c>
      <c r="AP212" s="81">
        <f aca="true" t="shared" si="60" ref="AP212:AP275">AF212</f>
        <v>0</v>
      </c>
      <c r="AQ212" s="81">
        <f aca="true" t="shared" si="61" ref="AQ212:AQ275">AG212</f>
        <v>0</v>
      </c>
      <c r="AR212" s="81">
        <f aca="true" t="shared" si="62" ref="AR212:AR275">AH212</f>
        <v>0</v>
      </c>
      <c r="AS212" s="82">
        <v>348</v>
      </c>
      <c r="AT212" s="82"/>
      <c r="AU212" s="82">
        <v>10</v>
      </c>
      <c r="AV212" s="82">
        <v>10</v>
      </c>
      <c r="AW212" s="82">
        <f>1691075.84698871*(0.001)</f>
        <v>1691.0758469887144</v>
      </c>
      <c r="AX212" s="82">
        <v>-411.68956061131615</v>
      </c>
      <c r="AY212" s="82">
        <v>821.1719614460809</v>
      </c>
      <c r="AZ212" s="408"/>
      <c r="BA212" s="81"/>
      <c r="BB212" s="81"/>
      <c r="BC212" s="81"/>
      <c r="BD212" s="81"/>
      <c r="BE212" s="81"/>
      <c r="BF212" s="81"/>
      <c r="BG212" s="81"/>
      <c r="BO212" s="114"/>
    </row>
    <row r="213" spans="1:67" ht="12.75">
      <c r="A213" s="81">
        <v>619</v>
      </c>
      <c r="B213" s="81" t="s">
        <v>336</v>
      </c>
      <c r="C213" s="81">
        <v>6</v>
      </c>
      <c r="D213" s="81">
        <v>2785</v>
      </c>
      <c r="E213" s="100">
        <v>7828789.4324773215</v>
      </c>
      <c r="F213" s="81">
        <v>3913037.148566033</v>
      </c>
      <c r="G213" s="81">
        <v>654925.0606866988</v>
      </c>
      <c r="H213" s="81">
        <v>397819.69655561907</v>
      </c>
      <c r="I213" s="156">
        <v>1730802.2724259086</v>
      </c>
      <c r="J213" s="156">
        <v>613450.4094304985</v>
      </c>
      <c r="K213" s="81">
        <v>666946.1161288519</v>
      </c>
      <c r="L213" s="81">
        <v>125646</v>
      </c>
      <c r="M213" s="82">
        <v>-35400</v>
      </c>
      <c r="N213" s="82">
        <v>24537.857020054373</v>
      </c>
      <c r="O213" s="214">
        <f t="shared" si="48"/>
        <v>262975.128336343</v>
      </c>
      <c r="P213" s="215">
        <f t="shared" si="49"/>
        <v>94.42553979760969</v>
      </c>
      <c r="Q213" s="81"/>
      <c r="R213" s="223">
        <v>20855650</v>
      </c>
      <c r="S213" s="156">
        <v>8451751.087145044</v>
      </c>
      <c r="T213" s="156">
        <v>596729.5448334286</v>
      </c>
      <c r="U213" s="156">
        <v>9621899.552710608</v>
      </c>
      <c r="V213" s="156">
        <v>2069136.4540144694</v>
      </c>
      <c r="W213" s="156">
        <v>745171.0606866988</v>
      </c>
      <c r="X213" s="214">
        <f t="shared" si="50"/>
        <v>629037.6993902475</v>
      </c>
      <c r="Y213" s="215">
        <f t="shared" si="51"/>
        <v>225.86631935017863</v>
      </c>
      <c r="Z213" s="81"/>
      <c r="AA213" s="94">
        <f t="shared" si="52"/>
        <v>-366062.5710539045</v>
      </c>
      <c r="AB213" s="153">
        <f t="shared" si="53"/>
        <v>-131.44077955256893</v>
      </c>
      <c r="AD213" s="216"/>
      <c r="AE213" s="224"/>
      <c r="AF213" s="224"/>
      <c r="AG213" s="224"/>
      <c r="AH213" s="225"/>
      <c r="AJ213" s="81">
        <f t="shared" si="54"/>
        <v>4538713.93857901</v>
      </c>
      <c r="AK213" s="81">
        <f t="shared" si="55"/>
        <v>198909.8482778095</v>
      </c>
      <c r="AL213" s="81">
        <f t="shared" si="56"/>
        <v>7891097.280284699</v>
      </c>
      <c r="AM213" s="81">
        <f t="shared" si="57"/>
        <v>13026860.567522679</v>
      </c>
      <c r="AN213" s="81">
        <f t="shared" si="58"/>
        <v>0</v>
      </c>
      <c r="AO213" s="81">
        <f t="shared" si="59"/>
        <v>0</v>
      </c>
      <c r="AP213" s="81">
        <f t="shared" si="60"/>
        <v>0</v>
      </c>
      <c r="AQ213" s="81">
        <f t="shared" si="61"/>
        <v>0</v>
      </c>
      <c r="AR213" s="81">
        <f t="shared" si="62"/>
        <v>0</v>
      </c>
      <c r="AS213" s="82">
        <v>928</v>
      </c>
      <c r="AT213" s="82"/>
      <c r="AU213" s="82"/>
      <c r="AV213" s="82">
        <v>0</v>
      </c>
      <c r="AW213" s="82">
        <f>6601614.52119489*(0.001)</f>
        <v>6601.614521194892</v>
      </c>
      <c r="AX213" s="82">
        <v>-1369.3316614124385</v>
      </c>
      <c r="AY213" s="82">
        <v>1455.686044583971</v>
      </c>
      <c r="AZ213" s="408"/>
      <c r="BA213" s="81"/>
      <c r="BB213" s="81"/>
      <c r="BC213" s="81"/>
      <c r="BD213" s="81"/>
      <c r="BE213" s="81"/>
      <c r="BF213" s="81"/>
      <c r="BG213" s="81"/>
      <c r="BO213" s="114"/>
    </row>
    <row r="214" spans="1:67" ht="12.75">
      <c r="A214" s="81">
        <v>620</v>
      </c>
      <c r="B214" s="81" t="s">
        <v>337</v>
      </c>
      <c r="C214" s="81">
        <v>18</v>
      </c>
      <c r="D214" s="81">
        <v>2491</v>
      </c>
      <c r="E214" s="100">
        <v>7320913.243674548</v>
      </c>
      <c r="F214" s="81">
        <v>2951710.3961546877</v>
      </c>
      <c r="G214" s="81">
        <v>802008.6049376571</v>
      </c>
      <c r="H214" s="81">
        <v>966393.0109532881</v>
      </c>
      <c r="I214" s="156">
        <v>2583177.027753555</v>
      </c>
      <c r="J214" s="156">
        <v>529235.4841448751</v>
      </c>
      <c r="K214" s="81">
        <v>278668.82411139284</v>
      </c>
      <c r="L214" s="81">
        <v>-195190</v>
      </c>
      <c r="M214" s="82">
        <v>-45000</v>
      </c>
      <c r="N214" s="82">
        <v>20851.95876288507</v>
      </c>
      <c r="O214" s="214">
        <f t="shared" si="48"/>
        <v>570942.0631437926</v>
      </c>
      <c r="P214" s="215">
        <f t="shared" si="49"/>
        <v>229.2019522857457</v>
      </c>
      <c r="Q214" s="81"/>
      <c r="R214" s="223">
        <v>22979391</v>
      </c>
      <c r="S214" s="156">
        <v>6494486.320008912</v>
      </c>
      <c r="T214" s="156">
        <v>1449589.516429932</v>
      </c>
      <c r="U214" s="156">
        <v>13627979.786525141</v>
      </c>
      <c r="V214" s="156">
        <v>1785977.9941751612</v>
      </c>
      <c r="W214" s="156">
        <v>561818.6049376571</v>
      </c>
      <c r="X214" s="214">
        <f t="shared" si="50"/>
        <v>940461.2220768034</v>
      </c>
      <c r="Y214" s="215">
        <f t="shared" si="51"/>
        <v>377.5436459561636</v>
      </c>
      <c r="Z214" s="81"/>
      <c r="AA214" s="94">
        <f t="shared" si="52"/>
        <v>-369519.1589330109</v>
      </c>
      <c r="AB214" s="153">
        <f t="shared" si="53"/>
        <v>-148.34169367041787</v>
      </c>
      <c r="AD214" s="216"/>
      <c r="AE214" s="224"/>
      <c r="AF214" s="224"/>
      <c r="AG214" s="224"/>
      <c r="AH214" s="225"/>
      <c r="AJ214" s="81">
        <f t="shared" si="54"/>
        <v>3542775.9238542244</v>
      </c>
      <c r="AK214" s="81">
        <f t="shared" si="55"/>
        <v>483196.50547664403</v>
      </c>
      <c r="AL214" s="81">
        <f t="shared" si="56"/>
        <v>11044802.758771587</v>
      </c>
      <c r="AM214" s="81">
        <f t="shared" si="57"/>
        <v>15658477.756325452</v>
      </c>
      <c r="AN214" s="81">
        <f t="shared" si="58"/>
        <v>0</v>
      </c>
      <c r="AO214" s="81">
        <f t="shared" si="59"/>
        <v>0</v>
      </c>
      <c r="AP214" s="81">
        <f t="shared" si="60"/>
        <v>0</v>
      </c>
      <c r="AQ214" s="81">
        <f t="shared" si="61"/>
        <v>0</v>
      </c>
      <c r="AR214" s="81">
        <f t="shared" si="62"/>
        <v>0</v>
      </c>
      <c r="AS214" s="82">
        <v>1034</v>
      </c>
      <c r="AT214" s="82">
        <v>389</v>
      </c>
      <c r="AU214" s="82"/>
      <c r="AV214" s="82">
        <v>389</v>
      </c>
      <c r="AW214" s="82">
        <f>9599161.37905614*(0.001)</f>
        <v>9599.16137905614</v>
      </c>
      <c r="AX214" s="82">
        <v>-1263.0469652814604</v>
      </c>
      <c r="AY214" s="82">
        <v>1256.7425100302862</v>
      </c>
      <c r="AZ214" s="408"/>
      <c r="BA214" s="81"/>
      <c r="BB214" s="81"/>
      <c r="BC214" s="81"/>
      <c r="BD214" s="81"/>
      <c r="BE214" s="81"/>
      <c r="BF214" s="81"/>
      <c r="BG214" s="81"/>
      <c r="BO214" s="114"/>
    </row>
    <row r="215" spans="1:67" ht="12.75">
      <c r="A215" s="81">
        <v>623</v>
      </c>
      <c r="B215" s="81" t="s">
        <v>338</v>
      </c>
      <c r="C215" s="81">
        <v>10</v>
      </c>
      <c r="D215" s="81">
        <v>2137</v>
      </c>
      <c r="E215" s="100">
        <v>6410937.473539719</v>
      </c>
      <c r="F215" s="81">
        <v>2177067.554401693</v>
      </c>
      <c r="G215" s="81">
        <v>1782827.7013649556</v>
      </c>
      <c r="H215" s="81">
        <v>1158477.6171390098</v>
      </c>
      <c r="I215" s="156">
        <v>882528.0003784759</v>
      </c>
      <c r="J215" s="156">
        <v>444833.430974799</v>
      </c>
      <c r="K215" s="81">
        <v>-50950.369143552416</v>
      </c>
      <c r="L215" s="81">
        <v>-458678</v>
      </c>
      <c r="M215" s="82">
        <v>40250</v>
      </c>
      <c r="N215" s="82">
        <v>20709.41117299111</v>
      </c>
      <c r="O215" s="214">
        <f t="shared" si="48"/>
        <v>-413872.1272513475</v>
      </c>
      <c r="P215" s="215">
        <f t="shared" si="49"/>
        <v>-193.66968986960578</v>
      </c>
      <c r="Q215" s="81"/>
      <c r="R215" s="223">
        <v>18306935</v>
      </c>
      <c r="S215" s="156">
        <v>5596278.932609894</v>
      </c>
      <c r="T215" s="156">
        <v>1737716.4257085146</v>
      </c>
      <c r="U215" s="156">
        <v>7503890.72714036</v>
      </c>
      <c r="V215" s="156">
        <v>1505871.5279850492</v>
      </c>
      <c r="W215" s="156">
        <v>1364399.7013649556</v>
      </c>
      <c r="X215" s="214">
        <f t="shared" si="50"/>
        <v>-598777.685191229</v>
      </c>
      <c r="Y215" s="215">
        <f t="shared" si="51"/>
        <v>-280.19545399683153</v>
      </c>
      <c r="Z215" s="81"/>
      <c r="AA215" s="94">
        <f t="shared" si="52"/>
        <v>184905.55793988146</v>
      </c>
      <c r="AB215" s="153">
        <f t="shared" si="53"/>
        <v>86.52576412722577</v>
      </c>
      <c r="AD215" s="216"/>
      <c r="AE215" s="224"/>
      <c r="AF215" s="224"/>
      <c r="AG215" s="224"/>
      <c r="AH215" s="225"/>
      <c r="AJ215" s="81">
        <f t="shared" si="54"/>
        <v>3419211.3782082014</v>
      </c>
      <c r="AK215" s="81">
        <f t="shared" si="55"/>
        <v>579238.8085695049</v>
      </c>
      <c r="AL215" s="81">
        <f t="shared" si="56"/>
        <v>6621362.726761884</v>
      </c>
      <c r="AM215" s="81">
        <f t="shared" si="57"/>
        <v>11895997.52646028</v>
      </c>
      <c r="AN215" s="81">
        <f t="shared" si="58"/>
        <v>0</v>
      </c>
      <c r="AO215" s="81">
        <f t="shared" si="59"/>
        <v>0</v>
      </c>
      <c r="AP215" s="81">
        <f t="shared" si="60"/>
        <v>0</v>
      </c>
      <c r="AQ215" s="81">
        <f t="shared" si="61"/>
        <v>0</v>
      </c>
      <c r="AR215" s="81">
        <f t="shared" si="62"/>
        <v>0</v>
      </c>
      <c r="AS215" s="82">
        <v>869</v>
      </c>
      <c r="AT215" s="82"/>
      <c r="AU215" s="82"/>
      <c r="AV215" s="82">
        <v>0</v>
      </c>
      <c r="AW215" s="82">
        <f>6289427.18401014*(0.001)</f>
        <v>6289.427184010139</v>
      </c>
      <c r="AX215" s="82">
        <v>-483.8569234747094</v>
      </c>
      <c r="AY215" s="82">
        <v>1061.03809701025</v>
      </c>
      <c r="AZ215" s="408"/>
      <c r="BA215" s="81"/>
      <c r="BB215" s="81"/>
      <c r="BC215" s="81"/>
      <c r="BD215" s="81"/>
      <c r="BE215" s="81"/>
      <c r="BF215" s="81"/>
      <c r="BG215" s="81"/>
      <c r="BO215" s="114"/>
    </row>
    <row r="216" spans="1:67" ht="12.75">
      <c r="A216" s="81">
        <v>624</v>
      </c>
      <c r="B216" s="81" t="s">
        <v>132</v>
      </c>
      <c r="C216" s="81">
        <v>8</v>
      </c>
      <c r="D216" s="81">
        <v>5125</v>
      </c>
      <c r="E216" s="100">
        <v>14739528.45999043</v>
      </c>
      <c r="F216" s="81">
        <v>8273174.832489218</v>
      </c>
      <c r="G216" s="81">
        <v>2184911.0493414714</v>
      </c>
      <c r="H216" s="81">
        <v>582298.3626561436</v>
      </c>
      <c r="I216" s="156">
        <v>2699118.740738504</v>
      </c>
      <c r="J216" s="156">
        <v>639358.943831048</v>
      </c>
      <c r="K216" s="81">
        <v>1072308.7215875685</v>
      </c>
      <c r="L216" s="81">
        <v>-835501</v>
      </c>
      <c r="M216" s="82">
        <v>-16000</v>
      </c>
      <c r="N216" s="82">
        <v>61953.06970930959</v>
      </c>
      <c r="O216" s="214">
        <f t="shared" si="48"/>
        <v>-77905.73963716626</v>
      </c>
      <c r="P216" s="215">
        <f t="shared" si="49"/>
        <v>-15.201119929203173</v>
      </c>
      <c r="Q216" s="81"/>
      <c r="R216" s="223">
        <v>32041108.13</v>
      </c>
      <c r="S216" s="156">
        <v>19943556.622824352</v>
      </c>
      <c r="T216" s="156">
        <v>873447.5439842155</v>
      </c>
      <c r="U216" s="156">
        <v>8753722.479843881</v>
      </c>
      <c r="V216" s="156">
        <v>2191002.742714126</v>
      </c>
      <c r="W216" s="156">
        <v>1333410.0493414714</v>
      </c>
      <c r="X216" s="214">
        <f t="shared" si="50"/>
        <v>1054031.3087080456</v>
      </c>
      <c r="Y216" s="215">
        <f t="shared" si="51"/>
        <v>205.66464560156987</v>
      </c>
      <c r="Z216" s="81"/>
      <c r="AA216" s="94">
        <f t="shared" si="52"/>
        <v>-1131937.048345212</v>
      </c>
      <c r="AB216" s="153">
        <f t="shared" si="53"/>
        <v>-220.86576553077305</v>
      </c>
      <c r="AD216" s="216"/>
      <c r="AE216" s="224"/>
      <c r="AF216" s="224"/>
      <c r="AG216" s="224"/>
      <c r="AH216" s="225"/>
      <c r="AJ216" s="81">
        <f t="shared" si="54"/>
        <v>11670381.790335134</v>
      </c>
      <c r="AK216" s="81">
        <f t="shared" si="55"/>
        <v>291149.18132807186</v>
      </c>
      <c r="AL216" s="81">
        <f t="shared" si="56"/>
        <v>6054603.739105377</v>
      </c>
      <c r="AM216" s="81">
        <f t="shared" si="57"/>
        <v>17301579.67000957</v>
      </c>
      <c r="AN216" s="81">
        <f t="shared" si="58"/>
        <v>0</v>
      </c>
      <c r="AO216" s="81">
        <f t="shared" si="59"/>
        <v>0</v>
      </c>
      <c r="AP216" s="81">
        <f t="shared" si="60"/>
        <v>0</v>
      </c>
      <c r="AQ216" s="81">
        <f t="shared" si="61"/>
        <v>0</v>
      </c>
      <c r="AR216" s="81">
        <f t="shared" si="62"/>
        <v>0</v>
      </c>
      <c r="AS216" s="82">
        <v>1532</v>
      </c>
      <c r="AT216" s="82"/>
      <c r="AU216" s="82"/>
      <c r="AV216" s="82">
        <v>0</v>
      </c>
      <c r="AW216" s="82">
        <f>5692499.07021314*(0.001)</f>
        <v>5692.499070213141</v>
      </c>
      <c r="AX216" s="82">
        <v>52.60308057969942</v>
      </c>
      <c r="AY216" s="82">
        <v>1551.6437988830783</v>
      </c>
      <c r="AZ216" s="408"/>
      <c r="BA216" s="81"/>
      <c r="BB216" s="81"/>
      <c r="BC216" s="81"/>
      <c r="BD216" s="81"/>
      <c r="BE216" s="81"/>
      <c r="BF216" s="81"/>
      <c r="BG216" s="81"/>
      <c r="BO216" s="114"/>
    </row>
    <row r="217" spans="1:67" ht="12.75">
      <c r="A217" s="81">
        <v>625</v>
      </c>
      <c r="B217" s="81" t="s">
        <v>339</v>
      </c>
      <c r="C217" s="81">
        <v>17</v>
      </c>
      <c r="D217" s="81">
        <v>3051</v>
      </c>
      <c r="E217" s="100">
        <v>11195476.202940878</v>
      </c>
      <c r="F217" s="81">
        <v>4242017.735778281</v>
      </c>
      <c r="G217" s="81">
        <v>2616459.451159178</v>
      </c>
      <c r="H217" s="81">
        <v>432713.5259581608</v>
      </c>
      <c r="I217" s="156">
        <v>2644616.552281461</v>
      </c>
      <c r="J217" s="156">
        <v>497617.98391323397</v>
      </c>
      <c r="K217" s="81">
        <v>700380.4227668203</v>
      </c>
      <c r="L217" s="81">
        <v>513264</v>
      </c>
      <c r="M217" s="82">
        <v>250000</v>
      </c>
      <c r="N217" s="82">
        <v>31278.15643014848</v>
      </c>
      <c r="O217" s="214">
        <f t="shared" si="48"/>
        <v>732871.6253464073</v>
      </c>
      <c r="P217" s="215">
        <f t="shared" si="49"/>
        <v>240.20702240131342</v>
      </c>
      <c r="Q217" s="81"/>
      <c r="R217" s="223">
        <v>23930555</v>
      </c>
      <c r="S217" s="156">
        <v>10064661.762126144</v>
      </c>
      <c r="T217" s="156">
        <v>649070.2889372412</v>
      </c>
      <c r="U217" s="156">
        <v>9339610.743854143</v>
      </c>
      <c r="V217" s="156">
        <v>1689976.9171520828</v>
      </c>
      <c r="W217" s="156">
        <v>3379723.451159178</v>
      </c>
      <c r="X217" s="214">
        <f t="shared" si="50"/>
        <v>1192488.1632287875</v>
      </c>
      <c r="Y217" s="215">
        <f t="shared" si="51"/>
        <v>390.85157759055636</v>
      </c>
      <c r="Z217" s="81"/>
      <c r="AA217" s="94">
        <f t="shared" si="52"/>
        <v>-459616.5378823802</v>
      </c>
      <c r="AB217" s="153">
        <f t="shared" si="53"/>
        <v>-150.64455518924294</v>
      </c>
      <c r="AD217" s="216"/>
      <c r="AE217" s="224"/>
      <c r="AF217" s="224"/>
      <c r="AG217" s="224"/>
      <c r="AH217" s="225"/>
      <c r="AJ217" s="81">
        <f t="shared" si="54"/>
        <v>5822644.026347863</v>
      </c>
      <c r="AK217" s="81">
        <f t="shared" si="55"/>
        <v>216356.76297908038</v>
      </c>
      <c r="AL217" s="81">
        <f t="shared" si="56"/>
        <v>6694994.191572681</v>
      </c>
      <c r="AM217" s="81">
        <f t="shared" si="57"/>
        <v>12735078.797059122</v>
      </c>
      <c r="AN217" s="81">
        <f t="shared" si="58"/>
        <v>0</v>
      </c>
      <c r="AO217" s="81">
        <f t="shared" si="59"/>
        <v>0</v>
      </c>
      <c r="AP217" s="81">
        <f t="shared" si="60"/>
        <v>0</v>
      </c>
      <c r="AQ217" s="81">
        <f t="shared" si="61"/>
        <v>0</v>
      </c>
      <c r="AR217" s="81">
        <f t="shared" si="62"/>
        <v>0</v>
      </c>
      <c r="AS217" s="82">
        <v>991</v>
      </c>
      <c r="AT217" s="82"/>
      <c r="AU217" s="82"/>
      <c r="AV217" s="82">
        <v>0</v>
      </c>
      <c r="AW217" s="82">
        <f>5858367.87022959*(0.001)</f>
        <v>5858.367870229588</v>
      </c>
      <c r="AX217" s="82">
        <v>-845.3331191888217</v>
      </c>
      <c r="AY217" s="82">
        <v>1192.3589332388487</v>
      </c>
      <c r="AZ217" s="408"/>
      <c r="BA217" s="81"/>
      <c r="BB217" s="81"/>
      <c r="BC217" s="81"/>
      <c r="BD217" s="81"/>
      <c r="BE217" s="81"/>
      <c r="BF217" s="81"/>
      <c r="BG217" s="81"/>
      <c r="BO217" s="114"/>
    </row>
    <row r="218" spans="1:67" ht="12.75">
      <c r="A218" s="81">
        <v>626</v>
      </c>
      <c r="B218" s="81" t="s">
        <v>133</v>
      </c>
      <c r="C218" s="81">
        <v>17</v>
      </c>
      <c r="D218" s="81">
        <v>5033</v>
      </c>
      <c r="E218" s="100">
        <v>13088722.210705347</v>
      </c>
      <c r="F218" s="81">
        <v>7287312.426746822</v>
      </c>
      <c r="G218" s="81">
        <v>1328670.9858582928</v>
      </c>
      <c r="H218" s="81">
        <v>2778881.0229140865</v>
      </c>
      <c r="I218" s="156">
        <v>1973125.8073739107</v>
      </c>
      <c r="J218" s="156">
        <v>897696.8655556445</v>
      </c>
      <c r="K218" s="81">
        <v>-435699.8877096353</v>
      </c>
      <c r="L218" s="81">
        <v>-472164</v>
      </c>
      <c r="M218" s="82">
        <v>71000</v>
      </c>
      <c r="N218" s="82">
        <v>53142.99981514145</v>
      </c>
      <c r="O218" s="214">
        <f t="shared" si="48"/>
        <v>393244.00984891504</v>
      </c>
      <c r="P218" s="215">
        <f t="shared" si="49"/>
        <v>78.13312335563582</v>
      </c>
      <c r="Q218" s="81"/>
      <c r="R218" s="223">
        <v>41685150</v>
      </c>
      <c r="S218" s="156">
        <v>16158406.884719793</v>
      </c>
      <c r="T218" s="156">
        <v>4168321.53437113</v>
      </c>
      <c r="U218" s="156">
        <v>17333219.19566407</v>
      </c>
      <c r="V218" s="156">
        <v>3044799.4387728595</v>
      </c>
      <c r="W218" s="156">
        <v>927506.9858582928</v>
      </c>
      <c r="X218" s="214">
        <f t="shared" si="50"/>
        <v>-52895.96061385423</v>
      </c>
      <c r="Y218" s="215">
        <f t="shared" si="51"/>
        <v>-10.509827262836128</v>
      </c>
      <c r="Z218" s="81"/>
      <c r="AA218" s="94">
        <f t="shared" si="52"/>
        <v>446139.97046276927</v>
      </c>
      <c r="AB218" s="153">
        <f t="shared" si="53"/>
        <v>88.64295061847194</v>
      </c>
      <c r="AD218" s="216"/>
      <c r="AE218" s="224"/>
      <c r="AF218" s="224"/>
      <c r="AG218" s="224"/>
      <c r="AH218" s="225"/>
      <c r="AJ218" s="81">
        <f t="shared" si="54"/>
        <v>8871094.45797297</v>
      </c>
      <c r="AK218" s="81">
        <f t="shared" si="55"/>
        <v>1389440.5114570437</v>
      </c>
      <c r="AL218" s="81">
        <f t="shared" si="56"/>
        <v>15360093.38829016</v>
      </c>
      <c r="AM218" s="81">
        <f t="shared" si="57"/>
        <v>28596427.789294653</v>
      </c>
      <c r="AN218" s="81">
        <f t="shared" si="58"/>
        <v>0</v>
      </c>
      <c r="AO218" s="81">
        <f t="shared" si="59"/>
        <v>0</v>
      </c>
      <c r="AP218" s="81">
        <f t="shared" si="60"/>
        <v>0</v>
      </c>
      <c r="AQ218" s="81">
        <f t="shared" si="61"/>
        <v>0</v>
      </c>
      <c r="AR218" s="81">
        <f t="shared" si="62"/>
        <v>0</v>
      </c>
      <c r="AS218" s="82">
        <v>1863</v>
      </c>
      <c r="AT218" s="82"/>
      <c r="AU218" s="82"/>
      <c r="AV218" s="82">
        <v>0</v>
      </c>
      <c r="AW218" s="82">
        <f>14991528.9690265*(0.001)</f>
        <v>14991.528969026467</v>
      </c>
      <c r="AX218" s="82">
        <v>-526.5523079809948</v>
      </c>
      <c r="AY218" s="82">
        <v>2147.102573217215</v>
      </c>
      <c r="AZ218" s="408"/>
      <c r="BA218" s="81"/>
      <c r="BB218" s="81"/>
      <c r="BC218" s="81"/>
      <c r="BD218" s="81"/>
      <c r="BE218" s="81"/>
      <c r="BF218" s="81"/>
      <c r="BG218" s="81"/>
      <c r="BO218" s="114"/>
    </row>
    <row r="219" spans="1:67" ht="12.75">
      <c r="A219" s="81">
        <v>630</v>
      </c>
      <c r="B219" s="81" t="s">
        <v>340</v>
      </c>
      <c r="C219" s="81">
        <v>17</v>
      </c>
      <c r="D219" s="81">
        <v>1593</v>
      </c>
      <c r="E219" s="100">
        <v>4977851.070586219</v>
      </c>
      <c r="F219" s="81">
        <v>1547268.7347911063</v>
      </c>
      <c r="G219" s="81">
        <v>527543.2858431427</v>
      </c>
      <c r="H219" s="81">
        <v>475594.8801299236</v>
      </c>
      <c r="I219" s="156">
        <v>2910758.927288631</v>
      </c>
      <c r="J219" s="156">
        <v>269643.52057322545</v>
      </c>
      <c r="K219" s="81">
        <v>170562.37906087487</v>
      </c>
      <c r="L219" s="81">
        <v>-189796</v>
      </c>
      <c r="M219" s="82">
        <v>17200</v>
      </c>
      <c r="N219" s="82">
        <v>12839.38679883318</v>
      </c>
      <c r="O219" s="214">
        <f t="shared" si="48"/>
        <v>763764.0438995175</v>
      </c>
      <c r="P219" s="215">
        <f t="shared" si="49"/>
        <v>479.45012171972223</v>
      </c>
      <c r="Q219" s="81"/>
      <c r="R219" s="223">
        <v>11190153</v>
      </c>
      <c r="S219" s="156">
        <v>3788423.8885526415</v>
      </c>
      <c r="T219" s="156">
        <v>713392.3201948854</v>
      </c>
      <c r="U219" s="156">
        <v>6059542.414280088</v>
      </c>
      <c r="V219" s="156">
        <v>911450.5745914147</v>
      </c>
      <c r="W219" s="156">
        <v>354947.28584314266</v>
      </c>
      <c r="X219" s="214">
        <f t="shared" si="50"/>
        <v>637603.4834621716</v>
      </c>
      <c r="Y219" s="215">
        <f t="shared" si="51"/>
        <v>400.2532852869878</v>
      </c>
      <c r="Z219" s="81"/>
      <c r="AA219" s="94">
        <f t="shared" si="52"/>
        <v>126160.56043734588</v>
      </c>
      <c r="AB219" s="153">
        <f t="shared" si="53"/>
        <v>79.19683643273439</v>
      </c>
      <c r="AD219" s="216"/>
      <c r="AE219" s="224"/>
      <c r="AF219" s="224"/>
      <c r="AG219" s="224"/>
      <c r="AH219" s="225"/>
      <c r="AJ219" s="81">
        <f t="shared" si="54"/>
        <v>2241155.153761535</v>
      </c>
      <c r="AK219" s="81">
        <f t="shared" si="55"/>
        <v>237797.4400649618</v>
      </c>
      <c r="AL219" s="81">
        <f t="shared" si="56"/>
        <v>3148783.4869914567</v>
      </c>
      <c r="AM219" s="81">
        <f t="shared" si="57"/>
        <v>6212301.929413781</v>
      </c>
      <c r="AN219" s="81">
        <f t="shared" si="58"/>
        <v>0</v>
      </c>
      <c r="AO219" s="81">
        <f t="shared" si="59"/>
        <v>0</v>
      </c>
      <c r="AP219" s="81">
        <f t="shared" si="60"/>
        <v>0</v>
      </c>
      <c r="AQ219" s="81">
        <f t="shared" si="61"/>
        <v>0</v>
      </c>
      <c r="AR219" s="81">
        <f t="shared" si="62"/>
        <v>0</v>
      </c>
      <c r="AS219" s="82">
        <v>464</v>
      </c>
      <c r="AT219" s="82">
        <v>49</v>
      </c>
      <c r="AU219" s="82">
        <v>34</v>
      </c>
      <c r="AV219" s="82">
        <v>83</v>
      </c>
      <c r="AW219" s="82">
        <f>2568765.24061632*(0.001)</f>
        <v>2568.765240616318</v>
      </c>
      <c r="AX219" s="82">
        <v>-820.6196274766395</v>
      </c>
      <c r="AY219" s="82">
        <v>641.8070540181892</v>
      </c>
      <c r="AZ219" s="408"/>
      <c r="BA219" s="81"/>
      <c r="BB219" s="81"/>
      <c r="BC219" s="81"/>
      <c r="BD219" s="81"/>
      <c r="BE219" s="81"/>
      <c r="BF219" s="81"/>
      <c r="BG219" s="81"/>
      <c r="BO219" s="114"/>
    </row>
    <row r="220" spans="1:67" ht="12.75">
      <c r="A220" s="81">
        <v>631</v>
      </c>
      <c r="B220" s="81" t="s">
        <v>341</v>
      </c>
      <c r="C220" s="81">
        <v>2</v>
      </c>
      <c r="D220" s="81">
        <v>1994</v>
      </c>
      <c r="E220" s="100">
        <v>5285075.337971625</v>
      </c>
      <c r="F220" s="81">
        <v>3595295.308086953</v>
      </c>
      <c r="G220" s="81">
        <v>772487.3662547581</v>
      </c>
      <c r="H220" s="81">
        <v>251933.3997455435</v>
      </c>
      <c r="I220" s="156">
        <v>795552.2790339061</v>
      </c>
      <c r="J220" s="156">
        <v>309927.66841612593</v>
      </c>
      <c r="K220" s="81">
        <v>386775.32654680114</v>
      </c>
      <c r="L220" s="81">
        <v>-510692</v>
      </c>
      <c r="M220" s="82">
        <v>0</v>
      </c>
      <c r="N220" s="82">
        <v>23634.227155481854</v>
      </c>
      <c r="O220" s="214">
        <f t="shared" si="48"/>
        <v>339838.23726794496</v>
      </c>
      <c r="P220" s="215">
        <f t="shared" si="49"/>
        <v>170.43040986356317</v>
      </c>
      <c r="Q220" s="81"/>
      <c r="R220" s="223">
        <v>12344386</v>
      </c>
      <c r="S220" s="156">
        <v>8032484.904392653</v>
      </c>
      <c r="T220" s="156">
        <v>377900.09961831523</v>
      </c>
      <c r="U220" s="156">
        <v>3396882.204556902</v>
      </c>
      <c r="V220" s="156">
        <v>1055714.6193033694</v>
      </c>
      <c r="W220" s="156">
        <v>261795.3662547581</v>
      </c>
      <c r="X220" s="214">
        <f t="shared" si="50"/>
        <v>780391.1941259988</v>
      </c>
      <c r="Y220" s="215">
        <f t="shared" si="51"/>
        <v>391.369706181544</v>
      </c>
      <c r="Z220" s="81"/>
      <c r="AA220" s="94">
        <f t="shared" si="52"/>
        <v>-440552.9568580538</v>
      </c>
      <c r="AB220" s="153">
        <f t="shared" si="53"/>
        <v>-220.93929631798085</v>
      </c>
      <c r="AD220" s="216"/>
      <c r="AE220" s="224"/>
      <c r="AF220" s="224"/>
      <c r="AG220" s="224"/>
      <c r="AH220" s="225"/>
      <c r="AJ220" s="81">
        <f t="shared" si="54"/>
        <v>4437189.5963057</v>
      </c>
      <c r="AK220" s="81">
        <f t="shared" si="55"/>
        <v>125966.69987277174</v>
      </c>
      <c r="AL220" s="81">
        <f t="shared" si="56"/>
        <v>2601329.925522996</v>
      </c>
      <c r="AM220" s="81">
        <f t="shared" si="57"/>
        <v>7059310.662028375</v>
      </c>
      <c r="AN220" s="81">
        <f t="shared" si="58"/>
        <v>0</v>
      </c>
      <c r="AO220" s="81">
        <f t="shared" si="59"/>
        <v>0</v>
      </c>
      <c r="AP220" s="81">
        <f t="shared" si="60"/>
        <v>0</v>
      </c>
      <c r="AQ220" s="81">
        <f t="shared" si="61"/>
        <v>0</v>
      </c>
      <c r="AR220" s="81">
        <f t="shared" si="62"/>
        <v>0</v>
      </c>
      <c r="AS220" s="82">
        <v>489</v>
      </c>
      <c r="AT220" s="82">
        <v>9</v>
      </c>
      <c r="AU220" s="82"/>
      <c r="AV220" s="82">
        <v>9</v>
      </c>
      <c r="AW220" s="82">
        <f>2294843.41042203*(0.001)</f>
        <v>2294.8434104220255</v>
      </c>
      <c r="AX220" s="82">
        <v>-124.70075052086551</v>
      </c>
      <c r="AY220" s="82">
        <v>745.7869508872435</v>
      </c>
      <c r="AZ220" s="408"/>
      <c r="BA220" s="81"/>
      <c r="BB220" s="81"/>
      <c r="BC220" s="81"/>
      <c r="BD220" s="81"/>
      <c r="BE220" s="81"/>
      <c r="BF220" s="81"/>
      <c r="BG220" s="81"/>
      <c r="BO220" s="114"/>
    </row>
    <row r="221" spans="1:67" ht="12.75">
      <c r="A221" s="81">
        <v>635</v>
      </c>
      <c r="B221" s="81" t="s">
        <v>342</v>
      </c>
      <c r="C221" s="81">
        <v>6</v>
      </c>
      <c r="D221" s="81">
        <v>6415</v>
      </c>
      <c r="E221" s="100">
        <v>15440706.659408826</v>
      </c>
      <c r="F221" s="81">
        <v>9408516.889433322</v>
      </c>
      <c r="G221" s="81">
        <v>2409430.7023368017</v>
      </c>
      <c r="H221" s="81">
        <v>966699.0877139715</v>
      </c>
      <c r="I221" s="156">
        <v>3527638.711585908</v>
      </c>
      <c r="J221" s="156">
        <v>1138458.4975363277</v>
      </c>
      <c r="K221" s="81">
        <v>-181064.71777115462</v>
      </c>
      <c r="L221" s="81">
        <v>-907509</v>
      </c>
      <c r="M221" s="82">
        <v>-67100</v>
      </c>
      <c r="N221" s="82">
        <v>62422.75950171632</v>
      </c>
      <c r="O221" s="214">
        <f t="shared" si="48"/>
        <v>916786.2709280662</v>
      </c>
      <c r="P221" s="215">
        <f t="shared" si="49"/>
        <v>142.91290271676792</v>
      </c>
      <c r="Q221" s="81"/>
      <c r="R221" s="223">
        <v>42361289.239999995</v>
      </c>
      <c r="S221" s="156">
        <v>20977383.234472997</v>
      </c>
      <c r="T221" s="156">
        <v>1450048.6315709574</v>
      </c>
      <c r="U221" s="156">
        <v>15354766.882584043</v>
      </c>
      <c r="V221" s="156">
        <v>3859246.561081499</v>
      </c>
      <c r="W221" s="156">
        <v>1434821.7023368017</v>
      </c>
      <c r="X221" s="214">
        <f t="shared" si="50"/>
        <v>714977.7720463052</v>
      </c>
      <c r="Y221" s="215">
        <f t="shared" si="51"/>
        <v>111.4540564374599</v>
      </c>
      <c r="Z221" s="81"/>
      <c r="AA221" s="94">
        <f t="shared" si="52"/>
        <v>201808.49888176098</v>
      </c>
      <c r="AB221" s="153">
        <f t="shared" si="53"/>
        <v>31.458846279308027</v>
      </c>
      <c r="AD221" s="216"/>
      <c r="AE221" s="224"/>
      <c r="AF221" s="224"/>
      <c r="AG221" s="224"/>
      <c r="AH221" s="225"/>
      <c r="AJ221" s="81">
        <f t="shared" si="54"/>
        <v>11568866.345039675</v>
      </c>
      <c r="AK221" s="81">
        <f t="shared" si="55"/>
        <v>483349.54385698587</v>
      </c>
      <c r="AL221" s="81">
        <f t="shared" si="56"/>
        <v>11827128.170998134</v>
      </c>
      <c r="AM221" s="81">
        <f t="shared" si="57"/>
        <v>26920582.58059117</v>
      </c>
      <c r="AN221" s="81">
        <f t="shared" si="58"/>
        <v>0</v>
      </c>
      <c r="AO221" s="81">
        <f t="shared" si="59"/>
        <v>0</v>
      </c>
      <c r="AP221" s="81">
        <f t="shared" si="60"/>
        <v>0</v>
      </c>
      <c r="AQ221" s="81">
        <f t="shared" si="61"/>
        <v>0</v>
      </c>
      <c r="AR221" s="81">
        <f t="shared" si="62"/>
        <v>0</v>
      </c>
      <c r="AS221" s="82">
        <v>2551</v>
      </c>
      <c r="AT221" s="82"/>
      <c r="AU221" s="82"/>
      <c r="AV221" s="82">
        <v>0</v>
      </c>
      <c r="AW221" s="82">
        <f>9886519.96665389*(0.001)</f>
        <v>9886.51996665389</v>
      </c>
      <c r="AX221" s="82">
        <v>-2024.6569374824928</v>
      </c>
      <c r="AY221" s="82">
        <v>2720.788063545171</v>
      </c>
      <c r="AZ221" s="408"/>
      <c r="BA221" s="81"/>
      <c r="BB221" s="81"/>
      <c r="BC221" s="81"/>
      <c r="BD221" s="81"/>
      <c r="BE221" s="81"/>
      <c r="BF221" s="81"/>
      <c r="BG221" s="81"/>
      <c r="BO221" s="114"/>
    </row>
    <row r="222" spans="1:67" ht="12.75">
      <c r="A222" s="81">
        <v>636</v>
      </c>
      <c r="B222" s="81" t="s">
        <v>343</v>
      </c>
      <c r="C222" s="81">
        <v>2</v>
      </c>
      <c r="D222" s="81">
        <v>8229</v>
      </c>
      <c r="E222" s="100">
        <v>23109875.336512677</v>
      </c>
      <c r="F222" s="81">
        <v>11557735.299474934</v>
      </c>
      <c r="G222" s="81">
        <v>1796892.025630055</v>
      </c>
      <c r="H222" s="81">
        <v>2055806.7666666633</v>
      </c>
      <c r="I222" s="156">
        <v>6449348.0796936955</v>
      </c>
      <c r="J222" s="156">
        <v>1464246.7720130603</v>
      </c>
      <c r="K222" s="81">
        <v>462682.71966832597</v>
      </c>
      <c r="L222" s="81">
        <v>-835525</v>
      </c>
      <c r="M222" s="82">
        <v>-55900</v>
      </c>
      <c r="N222" s="82">
        <v>80062.48921212662</v>
      </c>
      <c r="O222" s="214">
        <f t="shared" si="48"/>
        <v>-134526.1841538176</v>
      </c>
      <c r="P222" s="215">
        <f t="shared" si="49"/>
        <v>-16.347816764347744</v>
      </c>
      <c r="Q222" s="81"/>
      <c r="R222" s="223">
        <v>53228922</v>
      </c>
      <c r="S222" s="156">
        <v>25987822.115381017</v>
      </c>
      <c r="T222" s="156">
        <v>3083710.1499999953</v>
      </c>
      <c r="U222" s="156">
        <v>18316126.11320905</v>
      </c>
      <c r="V222" s="156">
        <v>4957467.676838529</v>
      </c>
      <c r="W222" s="156">
        <v>905467.025630055</v>
      </c>
      <c r="X222" s="214">
        <f t="shared" si="50"/>
        <v>21671.08105865121</v>
      </c>
      <c r="Y222" s="215">
        <f t="shared" si="51"/>
        <v>2.633501161581141</v>
      </c>
      <c r="Z222" s="81"/>
      <c r="AA222" s="94">
        <f t="shared" si="52"/>
        <v>-156197.2652124688</v>
      </c>
      <c r="AB222" s="153">
        <f t="shared" si="53"/>
        <v>-18.981317925928884</v>
      </c>
      <c r="AD222" s="216"/>
      <c r="AE222" s="224"/>
      <c r="AF222" s="224"/>
      <c r="AG222" s="224"/>
      <c r="AH222" s="225"/>
      <c r="AJ222" s="81">
        <f t="shared" si="54"/>
        <v>14430086.815906083</v>
      </c>
      <c r="AK222" s="81">
        <f t="shared" si="55"/>
        <v>1027903.3833333319</v>
      </c>
      <c r="AL222" s="81">
        <f t="shared" si="56"/>
        <v>11866778.033515355</v>
      </c>
      <c r="AM222" s="81">
        <f t="shared" si="57"/>
        <v>30119046.663487323</v>
      </c>
      <c r="AN222" s="81">
        <f t="shared" si="58"/>
        <v>0</v>
      </c>
      <c r="AO222" s="81">
        <f t="shared" si="59"/>
        <v>0</v>
      </c>
      <c r="AP222" s="81">
        <f t="shared" si="60"/>
        <v>0</v>
      </c>
      <c r="AQ222" s="81">
        <f t="shared" si="61"/>
        <v>0</v>
      </c>
      <c r="AR222" s="81">
        <f t="shared" si="62"/>
        <v>0</v>
      </c>
      <c r="AS222" s="82">
        <v>2837</v>
      </c>
      <c r="AT222" s="82">
        <v>4</v>
      </c>
      <c r="AU222" s="82"/>
      <c r="AV222" s="82">
        <v>4</v>
      </c>
      <c r="AW222" s="82">
        <f>9296762.83357084*(0.001)</f>
        <v>9296.762833570838</v>
      </c>
      <c r="AX222" s="82">
        <v>-2726.0573258212753</v>
      </c>
      <c r="AY222" s="82">
        <v>3493.220904825469</v>
      </c>
      <c r="AZ222" s="408"/>
      <c r="BA222" s="81"/>
      <c r="BB222" s="81"/>
      <c r="BC222" s="81"/>
      <c r="BD222" s="81"/>
      <c r="BE222" s="81"/>
      <c r="BF222" s="81"/>
      <c r="BG222" s="81"/>
      <c r="BO222" s="114"/>
    </row>
    <row r="223" spans="1:67" ht="12.75">
      <c r="A223" s="81">
        <v>638</v>
      </c>
      <c r="B223" s="81" t="s">
        <v>332</v>
      </c>
      <c r="C223" s="81">
        <v>1</v>
      </c>
      <c r="D223" s="81">
        <v>50619</v>
      </c>
      <c r="E223" s="100">
        <v>151290076.6317804</v>
      </c>
      <c r="F223" s="81">
        <v>81769287.11356454</v>
      </c>
      <c r="G223" s="81">
        <v>17238600.01969979</v>
      </c>
      <c r="H223" s="81">
        <v>35466559.697790444</v>
      </c>
      <c r="I223" s="156">
        <v>22388359.891269054</v>
      </c>
      <c r="J223" s="156">
        <v>6304340.555515923</v>
      </c>
      <c r="K223" s="81">
        <v>9261072.616858918</v>
      </c>
      <c r="L223" s="81">
        <v>-3461945</v>
      </c>
      <c r="M223" s="82">
        <v>591500</v>
      </c>
      <c r="N223" s="82">
        <v>773551.8438353871</v>
      </c>
      <c r="O223" s="214">
        <f t="shared" si="48"/>
        <v>19041250.106753647</v>
      </c>
      <c r="P223" s="215">
        <f t="shared" si="49"/>
        <v>376.168041777863</v>
      </c>
      <c r="Q223" s="81"/>
      <c r="R223" s="223">
        <v>324600248</v>
      </c>
      <c r="S223" s="156">
        <v>213388805.7884485</v>
      </c>
      <c r="T223" s="156">
        <v>53199839.54668567</v>
      </c>
      <c r="U223" s="156">
        <v>43710465.410957105</v>
      </c>
      <c r="V223" s="156">
        <v>21673406.931541733</v>
      </c>
      <c r="W223" s="156">
        <v>14368155.01969979</v>
      </c>
      <c r="X223" s="214">
        <f t="shared" si="50"/>
        <v>21740424.6973328</v>
      </c>
      <c r="Y223" s="215">
        <f t="shared" si="51"/>
        <v>429.49139053187145</v>
      </c>
      <c r="Z223" s="81"/>
      <c r="AA223" s="94">
        <f t="shared" si="52"/>
        <v>-2699174.590579152</v>
      </c>
      <c r="AB223" s="153">
        <f t="shared" si="53"/>
        <v>-53.32334875400842</v>
      </c>
      <c r="AD223" s="216"/>
      <c r="AE223" s="224"/>
      <c r="AF223" s="224"/>
      <c r="AG223" s="224"/>
      <c r="AH223" s="225"/>
      <c r="AJ223" s="81">
        <f t="shared" si="54"/>
        <v>131619518.67488398</v>
      </c>
      <c r="AK223" s="81">
        <f t="shared" si="55"/>
        <v>17733279.84889523</v>
      </c>
      <c r="AL223" s="81">
        <f t="shared" si="56"/>
        <v>21322105.51968805</v>
      </c>
      <c r="AM223" s="81">
        <f t="shared" si="57"/>
        <v>173310171.3682196</v>
      </c>
      <c r="AN223" s="81">
        <f t="shared" si="58"/>
        <v>0</v>
      </c>
      <c r="AO223" s="81">
        <f t="shared" si="59"/>
        <v>0</v>
      </c>
      <c r="AP223" s="81">
        <f t="shared" si="60"/>
        <v>0</v>
      </c>
      <c r="AQ223" s="81">
        <f t="shared" si="61"/>
        <v>0</v>
      </c>
      <c r="AR223" s="81">
        <f t="shared" si="62"/>
        <v>0</v>
      </c>
      <c r="AS223" s="82">
        <v>26567</v>
      </c>
      <c r="AT223" s="82">
        <v>228</v>
      </c>
      <c r="AU223" s="82">
        <v>825</v>
      </c>
      <c r="AV223" s="82">
        <v>1053</v>
      </c>
      <c r="AW223" s="82">
        <f>37060333.1883183*(0.001)</f>
        <v>37060.33318831831</v>
      </c>
      <c r="AX223" s="82">
        <v>12240.075845829146</v>
      </c>
      <c r="AY223" s="82">
        <v>15369.06637602581</v>
      </c>
      <c r="AZ223" s="408"/>
      <c r="BA223" s="81"/>
      <c r="BB223" s="81"/>
      <c r="BC223" s="81"/>
      <c r="BD223" s="81"/>
      <c r="BE223" s="81"/>
      <c r="BF223" s="81"/>
      <c r="BG223" s="81"/>
      <c r="BO223" s="114"/>
    </row>
    <row r="224" spans="1:67" ht="12.75">
      <c r="A224" s="81">
        <v>678</v>
      </c>
      <c r="B224" s="81" t="s">
        <v>344</v>
      </c>
      <c r="C224" s="81">
        <v>17</v>
      </c>
      <c r="D224" s="81">
        <v>24353</v>
      </c>
      <c r="E224" s="100">
        <v>68284691.47451292</v>
      </c>
      <c r="F224" s="81">
        <v>39116086.05829586</v>
      </c>
      <c r="G224" s="81">
        <v>7082514.3096663</v>
      </c>
      <c r="H224" s="81">
        <v>3753784.85551246</v>
      </c>
      <c r="I224" s="156">
        <v>17756784.677476086</v>
      </c>
      <c r="J224" s="156">
        <v>3166497.6396577125</v>
      </c>
      <c r="K224" s="81">
        <v>995038.7096203235</v>
      </c>
      <c r="L224" s="81">
        <v>-1296441</v>
      </c>
      <c r="M224" s="82">
        <v>508000</v>
      </c>
      <c r="N224" s="82">
        <v>279586.91505639406</v>
      </c>
      <c r="O224" s="214">
        <f t="shared" si="48"/>
        <v>3077160.6907722205</v>
      </c>
      <c r="P224" s="215">
        <f t="shared" si="49"/>
        <v>126.35653475022464</v>
      </c>
      <c r="Q224" s="81"/>
      <c r="R224" s="223">
        <v>169123922</v>
      </c>
      <c r="S224" s="156">
        <v>91220175.67728212</v>
      </c>
      <c r="T224" s="156">
        <v>5630677.283268691</v>
      </c>
      <c r="U224" s="156">
        <v>58959420.92106739</v>
      </c>
      <c r="V224" s="156">
        <v>10819781.577758413</v>
      </c>
      <c r="W224" s="156">
        <v>6294073.3096663</v>
      </c>
      <c r="X224" s="214">
        <f t="shared" si="50"/>
        <v>3800206.769042909</v>
      </c>
      <c r="Y224" s="215">
        <f t="shared" si="51"/>
        <v>156.04676093470658</v>
      </c>
      <c r="Z224" s="81"/>
      <c r="AA224" s="94">
        <f t="shared" si="52"/>
        <v>-723046.0782706887</v>
      </c>
      <c r="AB224" s="153">
        <f t="shared" si="53"/>
        <v>-29.69022618448194</v>
      </c>
      <c r="AD224" s="216"/>
      <c r="AE224" s="224"/>
      <c r="AF224" s="224"/>
      <c r="AG224" s="224"/>
      <c r="AH224" s="225"/>
      <c r="AJ224" s="81">
        <f t="shared" si="54"/>
        <v>52104089.618986264</v>
      </c>
      <c r="AK224" s="81">
        <f t="shared" si="55"/>
        <v>1876892.4277562308</v>
      </c>
      <c r="AL224" s="81">
        <f t="shared" si="56"/>
        <v>41202636.2435913</v>
      </c>
      <c r="AM224" s="81">
        <f t="shared" si="57"/>
        <v>100839230.52548708</v>
      </c>
      <c r="AN224" s="81">
        <f t="shared" si="58"/>
        <v>0</v>
      </c>
      <c r="AO224" s="81">
        <f t="shared" si="59"/>
        <v>0</v>
      </c>
      <c r="AP224" s="81">
        <f t="shared" si="60"/>
        <v>0</v>
      </c>
      <c r="AQ224" s="81">
        <f t="shared" si="61"/>
        <v>0</v>
      </c>
      <c r="AR224" s="81">
        <f t="shared" si="62"/>
        <v>0</v>
      </c>
      <c r="AS224" s="82">
        <v>8190</v>
      </c>
      <c r="AT224" s="82"/>
      <c r="AU224" s="82"/>
      <c r="AV224" s="82">
        <v>0</v>
      </c>
      <c r="AW224" s="82">
        <f>38182340.2465967*(0.001)</f>
        <v>38182.34024659667</v>
      </c>
      <c r="AX224" s="82">
        <v>-2971.8081968603274</v>
      </c>
      <c r="AY224" s="82">
        <v>7653.283938100701</v>
      </c>
      <c r="AZ224" s="408"/>
      <c r="BA224" s="81"/>
      <c r="BB224" s="81"/>
      <c r="BC224" s="81"/>
      <c r="BD224" s="81"/>
      <c r="BE224" s="81"/>
      <c r="BF224" s="81"/>
      <c r="BG224" s="81"/>
      <c r="BO224" s="114"/>
    </row>
    <row r="225" spans="1:67" ht="12.75">
      <c r="A225" s="81">
        <v>680</v>
      </c>
      <c r="B225" s="81" t="s">
        <v>345</v>
      </c>
      <c r="C225" s="81">
        <v>2</v>
      </c>
      <c r="D225" s="81">
        <v>24407</v>
      </c>
      <c r="E225" s="100">
        <v>56931020.404443726</v>
      </c>
      <c r="F225" s="81">
        <v>38804967.79331612</v>
      </c>
      <c r="G225" s="81">
        <v>7713456.2772132745</v>
      </c>
      <c r="H225" s="81">
        <v>4059074.7157663223</v>
      </c>
      <c r="I225" s="156">
        <v>8168581.035727185</v>
      </c>
      <c r="J225" s="156">
        <v>3081151.2341016764</v>
      </c>
      <c r="K225" s="81">
        <v>-884442.5479789751</v>
      </c>
      <c r="L225" s="81">
        <v>-1450945</v>
      </c>
      <c r="M225" s="82">
        <v>1106001</v>
      </c>
      <c r="N225" s="82">
        <v>308483.3256935115</v>
      </c>
      <c r="O225" s="214">
        <f t="shared" si="48"/>
        <v>3975307.4293953925</v>
      </c>
      <c r="P225" s="215">
        <f t="shared" si="49"/>
        <v>162.8757089931328</v>
      </c>
      <c r="Q225" s="81"/>
      <c r="R225" s="223">
        <v>145743832</v>
      </c>
      <c r="S225" s="156">
        <v>96335559.93084238</v>
      </c>
      <c r="T225" s="156">
        <v>6088612.073649484</v>
      </c>
      <c r="U225" s="156">
        <v>29389077.335156344</v>
      </c>
      <c r="V225" s="156">
        <v>10547782.185231954</v>
      </c>
      <c r="W225" s="156">
        <v>7368512.2772132745</v>
      </c>
      <c r="X225" s="214">
        <f t="shared" si="50"/>
        <v>3985711.8020934463</v>
      </c>
      <c r="Y225" s="215">
        <f t="shared" si="51"/>
        <v>163.3019954149812</v>
      </c>
      <c r="Z225" s="81"/>
      <c r="AA225" s="94">
        <f t="shared" si="52"/>
        <v>-10404.372698053718</v>
      </c>
      <c r="AB225" s="153">
        <f t="shared" si="53"/>
        <v>-0.42628642184839255</v>
      </c>
      <c r="AD225" s="216"/>
      <c r="AE225" s="224"/>
      <c r="AF225" s="224"/>
      <c r="AG225" s="224"/>
      <c r="AH225" s="225"/>
      <c r="AJ225" s="81">
        <f t="shared" si="54"/>
        <v>57530592.13752627</v>
      </c>
      <c r="AK225" s="81">
        <f t="shared" si="55"/>
        <v>2029537.3578831614</v>
      </c>
      <c r="AL225" s="81">
        <f t="shared" si="56"/>
        <v>21220496.29942916</v>
      </c>
      <c r="AM225" s="81">
        <f t="shared" si="57"/>
        <v>88812811.59555627</v>
      </c>
      <c r="AN225" s="81">
        <f t="shared" si="58"/>
        <v>0</v>
      </c>
      <c r="AO225" s="81">
        <f t="shared" si="59"/>
        <v>0</v>
      </c>
      <c r="AP225" s="81">
        <f t="shared" si="60"/>
        <v>0</v>
      </c>
      <c r="AQ225" s="81">
        <f t="shared" si="61"/>
        <v>0</v>
      </c>
      <c r="AR225" s="81">
        <f t="shared" si="62"/>
        <v>0</v>
      </c>
      <c r="AS225" s="82">
        <v>8053</v>
      </c>
      <c r="AT225" s="82">
        <v>257</v>
      </c>
      <c r="AU225" s="82"/>
      <c r="AV225" s="82">
        <v>257</v>
      </c>
      <c r="AW225" s="82">
        <f>22859138.9160551*(0.001)</f>
        <v>22859.138916055053</v>
      </c>
      <c r="AX225" s="82">
        <v>2227.4513834416407</v>
      </c>
      <c r="AY225" s="82">
        <v>7466.630951130277</v>
      </c>
      <c r="AZ225" s="408"/>
      <c r="BA225" s="81"/>
      <c r="BB225" s="81"/>
      <c r="BC225" s="81"/>
      <c r="BD225" s="81"/>
      <c r="BE225" s="81"/>
      <c r="BF225" s="81"/>
      <c r="BG225" s="81"/>
      <c r="BO225" s="114"/>
    </row>
    <row r="226" spans="1:67" ht="12.75">
      <c r="A226" s="81">
        <v>681</v>
      </c>
      <c r="B226" s="81" t="s">
        <v>346</v>
      </c>
      <c r="C226" s="81">
        <v>10</v>
      </c>
      <c r="D226" s="81">
        <v>3364</v>
      </c>
      <c r="E226" s="100">
        <v>8464076.393191138</v>
      </c>
      <c r="F226" s="81">
        <v>4799607.271148105</v>
      </c>
      <c r="G226" s="81">
        <v>1365479.1610302152</v>
      </c>
      <c r="H226" s="81">
        <v>917490.5740730129</v>
      </c>
      <c r="I226" s="156">
        <v>1166562.1082549826</v>
      </c>
      <c r="J226" s="156">
        <v>725644.1175950982</v>
      </c>
      <c r="K226" s="81">
        <v>41302.413415659874</v>
      </c>
      <c r="L226" s="81">
        <v>-214176</v>
      </c>
      <c r="M226" s="82">
        <v>175886</v>
      </c>
      <c r="N226" s="82">
        <v>31180.756571287555</v>
      </c>
      <c r="O226" s="214">
        <f t="shared" si="48"/>
        <v>544900.0088972244</v>
      </c>
      <c r="P226" s="215">
        <f t="shared" si="49"/>
        <v>161.97978861391928</v>
      </c>
      <c r="Q226" s="81"/>
      <c r="R226" s="223">
        <v>24566160</v>
      </c>
      <c r="S226" s="156">
        <v>10361057.38681497</v>
      </c>
      <c r="T226" s="156">
        <v>1376235.8611095196</v>
      </c>
      <c r="U226" s="156">
        <v>9753079.214558948</v>
      </c>
      <c r="V226" s="156">
        <v>2450157.435697277</v>
      </c>
      <c r="W226" s="156">
        <v>1327189.1610302152</v>
      </c>
      <c r="X226" s="214">
        <f t="shared" si="50"/>
        <v>701559.05921093</v>
      </c>
      <c r="Y226" s="215">
        <f t="shared" si="51"/>
        <v>208.54906635283294</v>
      </c>
      <c r="Z226" s="81"/>
      <c r="AA226" s="94">
        <f t="shared" si="52"/>
        <v>-156659.05031370558</v>
      </c>
      <c r="AB226" s="153">
        <f t="shared" si="53"/>
        <v>-46.56927773891367</v>
      </c>
      <c r="AD226" s="216"/>
      <c r="AE226" s="224"/>
      <c r="AF226" s="224"/>
      <c r="AG226" s="224"/>
      <c r="AH226" s="225"/>
      <c r="AJ226" s="81">
        <f t="shared" si="54"/>
        <v>5561450.115666865</v>
      </c>
      <c r="AK226" s="81">
        <f t="shared" si="55"/>
        <v>458745.2870365067</v>
      </c>
      <c r="AL226" s="81">
        <f t="shared" si="56"/>
        <v>8586517.106303966</v>
      </c>
      <c r="AM226" s="81">
        <f t="shared" si="57"/>
        <v>16102083.606808862</v>
      </c>
      <c r="AN226" s="81">
        <f t="shared" si="58"/>
        <v>0</v>
      </c>
      <c r="AO226" s="81">
        <f t="shared" si="59"/>
        <v>0</v>
      </c>
      <c r="AP226" s="81">
        <f t="shared" si="60"/>
        <v>0</v>
      </c>
      <c r="AQ226" s="81">
        <f t="shared" si="61"/>
        <v>0</v>
      </c>
      <c r="AR226" s="81">
        <f t="shared" si="62"/>
        <v>0</v>
      </c>
      <c r="AS226" s="82">
        <v>1033</v>
      </c>
      <c r="AT226" s="82">
        <v>273</v>
      </c>
      <c r="AU226" s="82">
        <v>10</v>
      </c>
      <c r="AV226" s="82">
        <v>283</v>
      </c>
      <c r="AW226" s="82">
        <f>7010658.71284736*(0.001)</f>
        <v>7010.658712847363</v>
      </c>
      <c r="AX226" s="82">
        <v>-1448.2812776403582</v>
      </c>
      <c r="AY226" s="82">
        <v>1724.5133181021788</v>
      </c>
      <c r="AZ226" s="408"/>
      <c r="BA226" s="81"/>
      <c r="BB226" s="81"/>
      <c r="BC226" s="81"/>
      <c r="BD226" s="81"/>
      <c r="BE226" s="81"/>
      <c r="BF226" s="81"/>
      <c r="BG226" s="81"/>
      <c r="BO226" s="114"/>
    </row>
    <row r="227" spans="1:67" ht="12.75">
      <c r="A227" s="81">
        <v>683</v>
      </c>
      <c r="B227" s="81" t="s">
        <v>347</v>
      </c>
      <c r="C227" s="81">
        <v>19</v>
      </c>
      <c r="D227" s="81">
        <v>3712</v>
      </c>
      <c r="E227" s="100">
        <v>11917624.51370069</v>
      </c>
      <c r="F227" s="81">
        <v>3469179.4191360017</v>
      </c>
      <c r="G227" s="81">
        <v>1025718.1516722752</v>
      </c>
      <c r="H227" s="81">
        <v>509259.548408945</v>
      </c>
      <c r="I227" s="156">
        <v>7403089.953416535</v>
      </c>
      <c r="J227" s="156">
        <v>712417.7547834064</v>
      </c>
      <c r="K227" s="81">
        <v>-778570.2560444105</v>
      </c>
      <c r="L227" s="81">
        <v>92712</v>
      </c>
      <c r="M227" s="82">
        <v>10000</v>
      </c>
      <c r="N227" s="82">
        <v>27881.31660634277</v>
      </c>
      <c r="O227" s="214">
        <f t="shared" si="48"/>
        <v>554063.3742784038</v>
      </c>
      <c r="P227" s="215">
        <f t="shared" si="49"/>
        <v>149.2627624672424</v>
      </c>
      <c r="Q227" s="81"/>
      <c r="R227" s="223">
        <v>31466290</v>
      </c>
      <c r="S227" s="156">
        <v>8597708.763315</v>
      </c>
      <c r="T227" s="156">
        <v>763889.3226134175</v>
      </c>
      <c r="U227" s="156">
        <v>18899677.8338779</v>
      </c>
      <c r="V227" s="156">
        <v>2401895.5356127215</v>
      </c>
      <c r="W227" s="156">
        <v>1128430.1516722753</v>
      </c>
      <c r="X227" s="214">
        <f t="shared" si="50"/>
        <v>325311.6070913151</v>
      </c>
      <c r="Y227" s="215">
        <f t="shared" si="51"/>
        <v>87.6378251862379</v>
      </c>
      <c r="Z227" s="81"/>
      <c r="AA227" s="94">
        <f t="shared" si="52"/>
        <v>228751.76718708873</v>
      </c>
      <c r="AB227" s="153">
        <f t="shared" si="53"/>
        <v>61.624937281004506</v>
      </c>
      <c r="AD227" s="216"/>
      <c r="AE227" s="224"/>
      <c r="AF227" s="224"/>
      <c r="AG227" s="224"/>
      <c r="AH227" s="225"/>
      <c r="AJ227" s="81">
        <f t="shared" si="54"/>
        <v>5128529.344178998</v>
      </c>
      <c r="AK227" s="81">
        <f t="shared" si="55"/>
        <v>254629.77420447255</v>
      </c>
      <c r="AL227" s="81">
        <f t="shared" si="56"/>
        <v>11496587.880461365</v>
      </c>
      <c r="AM227" s="81">
        <f t="shared" si="57"/>
        <v>19548665.48629931</v>
      </c>
      <c r="AN227" s="81">
        <f t="shared" si="58"/>
        <v>0</v>
      </c>
      <c r="AO227" s="81">
        <f t="shared" si="59"/>
        <v>0</v>
      </c>
      <c r="AP227" s="81">
        <f t="shared" si="60"/>
        <v>0</v>
      </c>
      <c r="AQ227" s="81">
        <f t="shared" si="61"/>
        <v>0</v>
      </c>
      <c r="AR227" s="81">
        <f t="shared" si="62"/>
        <v>0</v>
      </c>
      <c r="AS227" s="82">
        <v>2244</v>
      </c>
      <c r="AT227" s="82">
        <v>5</v>
      </c>
      <c r="AU227" s="82"/>
      <c r="AV227" s="82">
        <v>5</v>
      </c>
      <c r="AW227" s="82">
        <f>8745779.24460359*(0.001)</f>
        <v>8745.77924460359</v>
      </c>
      <c r="AX227" s="82">
        <v>-2462.220591580251</v>
      </c>
      <c r="AY227" s="82">
        <v>1689.4777808293152</v>
      </c>
      <c r="AZ227" s="408"/>
      <c r="BA227" s="81"/>
      <c r="BB227" s="81"/>
      <c r="BC227" s="81"/>
      <c r="BD227" s="81"/>
      <c r="BE227" s="81"/>
      <c r="BF227" s="81"/>
      <c r="BG227" s="81"/>
      <c r="BO227" s="114"/>
    </row>
    <row r="228" spans="1:67" ht="12.75">
      <c r="A228" s="81">
        <v>684</v>
      </c>
      <c r="B228" s="81" t="s">
        <v>348</v>
      </c>
      <c r="C228" s="81">
        <v>4</v>
      </c>
      <c r="D228" s="81">
        <v>39040</v>
      </c>
      <c r="E228" s="100">
        <v>102658956.4781526</v>
      </c>
      <c r="F228" s="81">
        <v>69169848.41390675</v>
      </c>
      <c r="G228" s="81">
        <v>9156887.002698688</v>
      </c>
      <c r="H228" s="81">
        <v>10951889.25295837</v>
      </c>
      <c r="I228" s="156">
        <v>6824758.571408847</v>
      </c>
      <c r="J228" s="156">
        <v>6458382.245843325</v>
      </c>
      <c r="K228" s="81">
        <v>3398411.929181213</v>
      </c>
      <c r="L228" s="81">
        <v>-1653691</v>
      </c>
      <c r="M228" s="82">
        <v>983074</v>
      </c>
      <c r="N228" s="82">
        <v>510943.58897220064</v>
      </c>
      <c r="O228" s="214">
        <f t="shared" si="48"/>
        <v>3141547.5268167853</v>
      </c>
      <c r="P228" s="215">
        <f t="shared" si="49"/>
        <v>80.46996738772503</v>
      </c>
      <c r="Q228" s="81"/>
      <c r="R228" s="223">
        <v>247193402</v>
      </c>
      <c r="S228" s="156">
        <v>162343859.1962609</v>
      </c>
      <c r="T228" s="156">
        <v>16427833.879437555</v>
      </c>
      <c r="U228" s="156">
        <v>45227449.085583754</v>
      </c>
      <c r="V228" s="156">
        <v>22024079.65342484</v>
      </c>
      <c r="W228" s="156">
        <v>8486270.002698688</v>
      </c>
      <c r="X228" s="214">
        <f t="shared" si="50"/>
        <v>7316089.8174057305</v>
      </c>
      <c r="Y228" s="215">
        <f t="shared" si="51"/>
        <v>187.3998416343681</v>
      </c>
      <c r="Z228" s="81"/>
      <c r="AA228" s="94">
        <f t="shared" si="52"/>
        <v>-4174542.290588945</v>
      </c>
      <c r="AB228" s="153">
        <f t="shared" si="53"/>
        <v>-106.92987424664307</v>
      </c>
      <c r="AD228" s="216"/>
      <c r="AE228" s="224"/>
      <c r="AF228" s="224"/>
      <c r="AG228" s="224"/>
      <c r="AH228" s="225"/>
      <c r="AJ228" s="81">
        <f t="shared" si="54"/>
        <v>93174010.78235415</v>
      </c>
      <c r="AK228" s="81">
        <f t="shared" si="55"/>
        <v>5475944.626479184</v>
      </c>
      <c r="AL228" s="81">
        <f t="shared" si="56"/>
        <v>38402690.51417491</v>
      </c>
      <c r="AM228" s="81">
        <f t="shared" si="57"/>
        <v>144534445.5218474</v>
      </c>
      <c r="AN228" s="81">
        <f t="shared" si="58"/>
        <v>0</v>
      </c>
      <c r="AO228" s="81">
        <f t="shared" si="59"/>
        <v>0</v>
      </c>
      <c r="AP228" s="81">
        <f t="shared" si="60"/>
        <v>0</v>
      </c>
      <c r="AQ228" s="81">
        <f t="shared" si="61"/>
        <v>0</v>
      </c>
      <c r="AR228" s="81">
        <f t="shared" si="62"/>
        <v>0</v>
      </c>
      <c r="AS228" s="82">
        <v>18109</v>
      </c>
      <c r="AT228" s="82">
        <v>347</v>
      </c>
      <c r="AU228" s="82"/>
      <c r="AV228" s="82">
        <v>347</v>
      </c>
      <c r="AW228" s="82">
        <f>41835982.2246136*(0.001)</f>
        <v>41835.982224613625</v>
      </c>
      <c r="AX228" s="82">
        <v>5324.272844826769</v>
      </c>
      <c r="AY228" s="82">
        <v>15565.697407581516</v>
      </c>
      <c r="AZ228" s="408"/>
      <c r="BA228" s="81"/>
      <c r="BB228" s="81"/>
      <c r="BC228" s="81"/>
      <c r="BD228" s="81"/>
      <c r="BE228" s="81"/>
      <c r="BF228" s="81"/>
      <c r="BG228" s="81"/>
      <c r="BO228" s="114"/>
    </row>
    <row r="229" spans="1:67" ht="12.75">
      <c r="A229" s="81">
        <v>686</v>
      </c>
      <c r="B229" s="81" t="s">
        <v>349</v>
      </c>
      <c r="C229" s="81">
        <v>11</v>
      </c>
      <c r="D229" s="81">
        <v>3053</v>
      </c>
      <c r="E229" s="100">
        <v>8498120.119015984</v>
      </c>
      <c r="F229" s="81">
        <v>4376325.557269095</v>
      </c>
      <c r="G229" s="81">
        <v>1182998.3227291459</v>
      </c>
      <c r="H229" s="81">
        <v>616731.4588907313</v>
      </c>
      <c r="I229" s="156">
        <v>1918649.214744092</v>
      </c>
      <c r="J229" s="156">
        <v>607715.4376962783</v>
      </c>
      <c r="K229" s="81">
        <v>-311666.8142191446</v>
      </c>
      <c r="L229" s="81">
        <v>-57791</v>
      </c>
      <c r="M229" s="82">
        <v>179250</v>
      </c>
      <c r="N229" s="82">
        <v>28131.20756314185</v>
      </c>
      <c r="O229" s="214">
        <f t="shared" si="48"/>
        <v>42223.26565735601</v>
      </c>
      <c r="P229" s="215">
        <f t="shared" si="49"/>
        <v>13.83009029065051</v>
      </c>
      <c r="Q229" s="81"/>
      <c r="R229" s="223">
        <v>24787418</v>
      </c>
      <c r="S229" s="156">
        <v>9499366.408896552</v>
      </c>
      <c r="T229" s="156">
        <v>925097.1883360969</v>
      </c>
      <c r="U229" s="156">
        <v>10714452.188113783</v>
      </c>
      <c r="V229" s="156">
        <v>2054503.7873214178</v>
      </c>
      <c r="W229" s="156">
        <v>1304457.3227291459</v>
      </c>
      <c r="X229" s="214">
        <f t="shared" si="50"/>
        <v>-289541.10460300744</v>
      </c>
      <c r="Y229" s="215">
        <f t="shared" si="51"/>
        <v>-94.8382262047191</v>
      </c>
      <c r="Z229" s="81"/>
      <c r="AA229" s="94">
        <f t="shared" si="52"/>
        <v>331764.37026036344</v>
      </c>
      <c r="AB229" s="153">
        <f t="shared" si="53"/>
        <v>108.66831649536962</v>
      </c>
      <c r="AD229" s="216"/>
      <c r="AE229" s="224"/>
      <c r="AF229" s="224"/>
      <c r="AG229" s="224"/>
      <c r="AH229" s="225"/>
      <c r="AJ229" s="81">
        <f t="shared" si="54"/>
        <v>5123040.851627457</v>
      </c>
      <c r="AK229" s="81">
        <f t="shared" si="55"/>
        <v>308365.7294453656</v>
      </c>
      <c r="AL229" s="81">
        <f t="shared" si="56"/>
        <v>8795802.973369692</v>
      </c>
      <c r="AM229" s="81">
        <f t="shared" si="57"/>
        <v>16289297.880984016</v>
      </c>
      <c r="AN229" s="81">
        <f t="shared" si="58"/>
        <v>0</v>
      </c>
      <c r="AO229" s="81">
        <f t="shared" si="59"/>
        <v>0</v>
      </c>
      <c r="AP229" s="81">
        <f t="shared" si="60"/>
        <v>0</v>
      </c>
      <c r="AQ229" s="81">
        <f t="shared" si="61"/>
        <v>0</v>
      </c>
      <c r="AR229" s="81">
        <f t="shared" si="62"/>
        <v>0</v>
      </c>
      <c r="AS229" s="82">
        <v>986</v>
      </c>
      <c r="AT229" s="82">
        <v>95</v>
      </c>
      <c r="AU229" s="82">
        <v>8</v>
      </c>
      <c r="AV229" s="82">
        <v>103</v>
      </c>
      <c r="AW229" s="82">
        <f>7493522.05357079*(0.001)</f>
        <v>7493.522053570786</v>
      </c>
      <c r="AX229" s="82">
        <v>-1427.6713875305127</v>
      </c>
      <c r="AY229" s="82">
        <v>1446.7883496251395</v>
      </c>
      <c r="AZ229" s="408"/>
      <c r="BA229" s="81"/>
      <c r="BB229" s="81"/>
      <c r="BC229" s="81"/>
      <c r="BD229" s="81"/>
      <c r="BE229" s="81"/>
      <c r="BF229" s="81"/>
      <c r="BG229" s="81"/>
      <c r="BO229" s="114"/>
    </row>
    <row r="230" spans="1:67" ht="12.75">
      <c r="A230" s="81">
        <v>687</v>
      </c>
      <c r="B230" s="81" t="s">
        <v>350</v>
      </c>
      <c r="C230" s="81">
        <v>11</v>
      </c>
      <c r="D230" s="81">
        <v>1561</v>
      </c>
      <c r="E230" s="100">
        <v>4535779.757883051</v>
      </c>
      <c r="F230" s="81">
        <v>1817474.3861523494</v>
      </c>
      <c r="G230" s="81">
        <v>455484.9893226176</v>
      </c>
      <c r="H230" s="81">
        <v>1190811.9976114654</v>
      </c>
      <c r="I230" s="156">
        <v>990860.085242519</v>
      </c>
      <c r="J230" s="156">
        <v>351885.3446285641</v>
      </c>
      <c r="K230" s="81">
        <v>-393969.8523515274</v>
      </c>
      <c r="L230" s="81">
        <v>86976</v>
      </c>
      <c r="M230" s="82">
        <v>260000</v>
      </c>
      <c r="N230" s="82">
        <v>13649.886502562415</v>
      </c>
      <c r="O230" s="214">
        <f t="shared" si="48"/>
        <v>237393.07922549918</v>
      </c>
      <c r="P230" s="215">
        <f t="shared" si="49"/>
        <v>152.07756516687968</v>
      </c>
      <c r="Q230" s="81"/>
      <c r="R230" s="223">
        <v>14749363</v>
      </c>
      <c r="S230" s="156">
        <v>3857507.4531779746</v>
      </c>
      <c r="T230" s="156">
        <v>1786217.9964171983</v>
      </c>
      <c r="U230" s="156">
        <v>6945726.659860597</v>
      </c>
      <c r="V230" s="156">
        <v>1187232.1176515943</v>
      </c>
      <c r="W230" s="156">
        <v>802460.9893226177</v>
      </c>
      <c r="X230" s="214">
        <f t="shared" si="50"/>
        <v>-170217.78357001767</v>
      </c>
      <c r="Y230" s="215">
        <f t="shared" si="51"/>
        <v>-109.04406378604591</v>
      </c>
      <c r="Z230" s="81"/>
      <c r="AA230" s="94">
        <f t="shared" si="52"/>
        <v>407610.86279551685</v>
      </c>
      <c r="AB230" s="153">
        <f t="shared" si="53"/>
        <v>261.1216289529256</v>
      </c>
      <c r="AD230" s="216"/>
      <c r="AE230" s="224"/>
      <c r="AF230" s="224"/>
      <c r="AG230" s="224"/>
      <c r="AH230" s="225"/>
      <c r="AJ230" s="81">
        <f t="shared" si="54"/>
        <v>2040033.0670256251</v>
      </c>
      <c r="AK230" s="81">
        <f t="shared" si="55"/>
        <v>595405.9988057329</v>
      </c>
      <c r="AL230" s="81">
        <f t="shared" si="56"/>
        <v>5954866.574618078</v>
      </c>
      <c r="AM230" s="81">
        <f t="shared" si="57"/>
        <v>10213583.242116949</v>
      </c>
      <c r="AN230" s="81">
        <f t="shared" si="58"/>
        <v>0</v>
      </c>
      <c r="AO230" s="81">
        <f t="shared" si="59"/>
        <v>0</v>
      </c>
      <c r="AP230" s="81">
        <f t="shared" si="60"/>
        <v>0</v>
      </c>
      <c r="AQ230" s="81">
        <f t="shared" si="61"/>
        <v>0</v>
      </c>
      <c r="AR230" s="81">
        <f t="shared" si="62"/>
        <v>0</v>
      </c>
      <c r="AS230" s="82">
        <v>880</v>
      </c>
      <c r="AT230" s="82">
        <v>3</v>
      </c>
      <c r="AU230" s="82">
        <v>88</v>
      </c>
      <c r="AV230" s="82">
        <v>91</v>
      </c>
      <c r="AW230" s="82">
        <f>5406354.5487602*(0.001)</f>
        <v>5406.354548760197</v>
      </c>
      <c r="AX230" s="82">
        <v>-694.194172635448</v>
      </c>
      <c r="AY230" s="82">
        <v>835.3467730230302</v>
      </c>
      <c r="AZ230" s="408"/>
      <c r="BA230" s="81"/>
      <c r="BB230" s="81"/>
      <c r="BC230" s="81"/>
      <c r="BD230" s="81"/>
      <c r="BE230" s="81"/>
      <c r="BF230" s="81"/>
      <c r="BG230" s="81"/>
      <c r="BO230" s="114"/>
    </row>
    <row r="231" spans="1:67" ht="12.75">
      <c r="A231" s="81">
        <v>689</v>
      </c>
      <c r="B231" s="81" t="s">
        <v>351</v>
      </c>
      <c r="C231" s="81">
        <v>9</v>
      </c>
      <c r="D231" s="81">
        <v>3146</v>
      </c>
      <c r="E231" s="100">
        <v>7704179.367181774</v>
      </c>
      <c r="F231" s="81">
        <v>4521278.98702453</v>
      </c>
      <c r="G231" s="81">
        <v>862166.2516192126</v>
      </c>
      <c r="H231" s="81">
        <v>972099.7919308959</v>
      </c>
      <c r="I231" s="156">
        <v>-102544.32453462061</v>
      </c>
      <c r="J231" s="156">
        <v>550312.2965823235</v>
      </c>
      <c r="K231" s="81">
        <v>1091943.5566966967</v>
      </c>
      <c r="L231" s="81">
        <v>-325944</v>
      </c>
      <c r="M231" s="82">
        <v>31800</v>
      </c>
      <c r="N231" s="82">
        <v>34216.56084480797</v>
      </c>
      <c r="O231" s="214">
        <f t="shared" si="48"/>
        <v>-68850.2470179284</v>
      </c>
      <c r="P231" s="215">
        <f t="shared" si="49"/>
        <v>-21.885011766665098</v>
      </c>
      <c r="Q231" s="81"/>
      <c r="R231" s="223">
        <v>23515377.54</v>
      </c>
      <c r="S231" s="156">
        <v>10641559.563614616</v>
      </c>
      <c r="T231" s="156">
        <v>1458149.6878963439</v>
      </c>
      <c r="U231" s="156">
        <v>9674235.73964585</v>
      </c>
      <c r="V231" s="156">
        <v>1867138.501865905</v>
      </c>
      <c r="W231" s="156">
        <v>568022.2516192126</v>
      </c>
      <c r="X231" s="214">
        <f t="shared" si="50"/>
        <v>693728.2046419308</v>
      </c>
      <c r="Y231" s="215">
        <f t="shared" si="51"/>
        <v>220.5111902866913</v>
      </c>
      <c r="Z231" s="81"/>
      <c r="AA231" s="94">
        <f t="shared" si="52"/>
        <v>-762578.4516598592</v>
      </c>
      <c r="AB231" s="153">
        <f t="shared" si="53"/>
        <v>-242.39620205335638</v>
      </c>
      <c r="AD231" s="216"/>
      <c r="AE231" s="224"/>
      <c r="AF231" s="224"/>
      <c r="AG231" s="224"/>
      <c r="AH231" s="225"/>
      <c r="AJ231" s="81">
        <f t="shared" si="54"/>
        <v>6120280.576590086</v>
      </c>
      <c r="AK231" s="81">
        <f t="shared" si="55"/>
        <v>486049.895965448</v>
      </c>
      <c r="AL231" s="81">
        <f t="shared" si="56"/>
        <v>9776780.064180471</v>
      </c>
      <c r="AM231" s="81">
        <f t="shared" si="57"/>
        <v>15811198.172818225</v>
      </c>
      <c r="AN231" s="81">
        <f t="shared" si="58"/>
        <v>0</v>
      </c>
      <c r="AO231" s="81">
        <f t="shared" si="59"/>
        <v>0</v>
      </c>
      <c r="AP231" s="81">
        <f t="shared" si="60"/>
        <v>0</v>
      </c>
      <c r="AQ231" s="81">
        <f t="shared" si="61"/>
        <v>0</v>
      </c>
      <c r="AR231" s="81">
        <f t="shared" si="62"/>
        <v>0</v>
      </c>
      <c r="AS231" s="82">
        <v>1710</v>
      </c>
      <c r="AT231" s="82">
        <v>11</v>
      </c>
      <c r="AU231" s="82"/>
      <c r="AV231" s="82">
        <v>11</v>
      </c>
      <c r="AW231" s="82">
        <f>9283865.6553792*(0.001)</f>
        <v>9283.865655379203</v>
      </c>
      <c r="AX231" s="82">
        <v>-459.7450695107243</v>
      </c>
      <c r="AY231" s="82">
        <v>1316.8262052835814</v>
      </c>
      <c r="AZ231" s="408"/>
      <c r="BA231" s="81"/>
      <c r="BB231" s="81"/>
      <c r="BC231" s="81"/>
      <c r="BD231" s="81"/>
      <c r="BE231" s="81"/>
      <c r="BF231" s="81"/>
      <c r="BG231" s="81"/>
      <c r="BO231" s="114"/>
    </row>
    <row r="232" spans="1:67" ht="12.75">
      <c r="A232" s="81">
        <v>691</v>
      </c>
      <c r="B232" s="81" t="s">
        <v>352</v>
      </c>
      <c r="C232" s="81">
        <v>17</v>
      </c>
      <c r="D232" s="81">
        <v>2710</v>
      </c>
      <c r="E232" s="100">
        <v>7183588.149012009</v>
      </c>
      <c r="F232" s="81">
        <v>3559701.401733596</v>
      </c>
      <c r="G232" s="81">
        <v>755639.9506224634</v>
      </c>
      <c r="H232" s="81">
        <v>311532.61265160976</v>
      </c>
      <c r="I232" s="156">
        <v>3606219.972658292</v>
      </c>
      <c r="J232" s="156">
        <v>538221.9239828873</v>
      </c>
      <c r="K232" s="81">
        <v>-57186.62039404941</v>
      </c>
      <c r="L232" s="81">
        <v>-96287</v>
      </c>
      <c r="M232" s="82">
        <v>40000</v>
      </c>
      <c r="N232" s="82">
        <v>20598.215522296883</v>
      </c>
      <c r="O232" s="214">
        <f t="shared" si="48"/>
        <v>1494852.307765087</v>
      </c>
      <c r="P232" s="215">
        <f t="shared" si="49"/>
        <v>551.6060176254935</v>
      </c>
      <c r="Q232" s="81"/>
      <c r="R232" s="223">
        <v>20170986</v>
      </c>
      <c r="S232" s="156">
        <v>7380916.285960871</v>
      </c>
      <c r="T232" s="156">
        <v>467298.9189774146</v>
      </c>
      <c r="U232" s="156">
        <v>10945231.027749687</v>
      </c>
      <c r="V232" s="156">
        <v>1816311.287548683</v>
      </c>
      <c r="W232" s="156">
        <v>699352.9506224634</v>
      </c>
      <c r="X232" s="214">
        <f t="shared" si="50"/>
        <v>1138124.4708591178</v>
      </c>
      <c r="Y232" s="215">
        <f t="shared" si="51"/>
        <v>419.97212946830916</v>
      </c>
      <c r="Z232" s="81"/>
      <c r="AA232" s="94">
        <f t="shared" si="52"/>
        <v>356727.8369059693</v>
      </c>
      <c r="AB232" s="153">
        <f t="shared" si="53"/>
        <v>131.63388815718426</v>
      </c>
      <c r="AD232" s="216"/>
      <c r="AE232" s="224"/>
      <c r="AF232" s="224"/>
      <c r="AG232" s="224"/>
      <c r="AH232" s="225"/>
      <c r="AJ232" s="81">
        <f t="shared" si="54"/>
        <v>3821214.884227275</v>
      </c>
      <c r="AK232" s="81">
        <f t="shared" si="55"/>
        <v>155766.30632580485</v>
      </c>
      <c r="AL232" s="81">
        <f t="shared" si="56"/>
        <v>7339011.055091396</v>
      </c>
      <c r="AM232" s="81">
        <f t="shared" si="57"/>
        <v>12987397.850987991</v>
      </c>
      <c r="AN232" s="81">
        <f t="shared" si="58"/>
        <v>0</v>
      </c>
      <c r="AO232" s="81">
        <f t="shared" si="59"/>
        <v>0</v>
      </c>
      <c r="AP232" s="81">
        <f t="shared" si="60"/>
        <v>0</v>
      </c>
      <c r="AQ232" s="81">
        <f t="shared" si="61"/>
        <v>0</v>
      </c>
      <c r="AR232" s="81">
        <f t="shared" si="62"/>
        <v>0</v>
      </c>
      <c r="AS232" s="82">
        <v>1166</v>
      </c>
      <c r="AT232" s="82"/>
      <c r="AU232" s="82"/>
      <c r="AV232" s="82">
        <v>0</v>
      </c>
      <c r="AW232" s="82">
        <f>6024283.40765542*(0.001)</f>
        <v>6024.28340765542</v>
      </c>
      <c r="AX232" s="82">
        <v>-1634.5773100197425</v>
      </c>
      <c r="AY232" s="82">
        <v>1278.0893635657956</v>
      </c>
      <c r="AZ232" s="408"/>
      <c r="BA232" s="81"/>
      <c r="BB232" s="81"/>
      <c r="BC232" s="81"/>
      <c r="BD232" s="81"/>
      <c r="BE232" s="81"/>
      <c r="BF232" s="81"/>
      <c r="BG232" s="81"/>
      <c r="BO232" s="114"/>
    </row>
    <row r="233" spans="1:67" ht="12.75">
      <c r="A233" s="81">
        <v>694</v>
      </c>
      <c r="B233" s="81" t="s">
        <v>353</v>
      </c>
      <c r="C233" s="81">
        <v>5</v>
      </c>
      <c r="D233" s="81">
        <v>28710</v>
      </c>
      <c r="E233" s="100">
        <v>67789814.08930959</v>
      </c>
      <c r="F233" s="81">
        <v>44928833.98635888</v>
      </c>
      <c r="G233" s="81">
        <v>9724391.238395322</v>
      </c>
      <c r="H233" s="81">
        <v>6135237.474716524</v>
      </c>
      <c r="I233" s="156">
        <v>8664968.197608562</v>
      </c>
      <c r="J233" s="156">
        <v>3748867.6943703853</v>
      </c>
      <c r="K233" s="81">
        <v>-12653.860886809442</v>
      </c>
      <c r="L233" s="81">
        <v>-1856738</v>
      </c>
      <c r="M233" s="82">
        <v>1358200</v>
      </c>
      <c r="N233" s="82">
        <v>348230.477708948</v>
      </c>
      <c r="O233" s="214">
        <f t="shared" si="48"/>
        <v>5249523.118962228</v>
      </c>
      <c r="P233" s="215">
        <f t="shared" si="49"/>
        <v>182.84650362111557</v>
      </c>
      <c r="Q233" s="81"/>
      <c r="R233" s="223">
        <v>169585332</v>
      </c>
      <c r="S233" s="156">
        <v>109095488.9328877</v>
      </c>
      <c r="T233" s="156">
        <v>9202856.212074786</v>
      </c>
      <c r="U233" s="156">
        <v>36046752.21070165</v>
      </c>
      <c r="V233" s="156">
        <v>12829955.222763017</v>
      </c>
      <c r="W233" s="156">
        <v>9225853.238395322</v>
      </c>
      <c r="X233" s="214">
        <f t="shared" si="50"/>
        <v>6815573.816822469</v>
      </c>
      <c r="Y233" s="215">
        <f t="shared" si="51"/>
        <v>237.39372402725425</v>
      </c>
      <c r="Z233" s="81"/>
      <c r="AA233" s="94">
        <f t="shared" si="52"/>
        <v>-1566050.697860241</v>
      </c>
      <c r="AB233" s="153">
        <f t="shared" si="53"/>
        <v>-54.54722040613866</v>
      </c>
      <c r="AD233" s="216"/>
      <c r="AE233" s="224"/>
      <c r="AF233" s="224"/>
      <c r="AG233" s="224"/>
      <c r="AH233" s="225"/>
      <c r="AJ233" s="81">
        <f t="shared" si="54"/>
        <v>64166654.94652882</v>
      </c>
      <c r="AK233" s="81">
        <f t="shared" si="55"/>
        <v>3067618.7373582628</v>
      </c>
      <c r="AL233" s="81">
        <f t="shared" si="56"/>
        <v>27381784.01309309</v>
      </c>
      <c r="AM233" s="81">
        <f t="shared" si="57"/>
        <v>101795517.91069041</v>
      </c>
      <c r="AN233" s="81">
        <f t="shared" si="58"/>
        <v>0</v>
      </c>
      <c r="AO233" s="81">
        <f t="shared" si="59"/>
        <v>0</v>
      </c>
      <c r="AP233" s="81">
        <f t="shared" si="60"/>
        <v>0</v>
      </c>
      <c r="AQ233" s="81">
        <f t="shared" si="61"/>
        <v>0</v>
      </c>
      <c r="AR233" s="81">
        <f t="shared" si="62"/>
        <v>0</v>
      </c>
      <c r="AS233" s="82">
        <v>-932</v>
      </c>
      <c r="AT233" s="82">
        <v>49</v>
      </c>
      <c r="AU233" s="82">
        <v>2</v>
      </c>
      <c r="AV233" s="82">
        <v>51</v>
      </c>
      <c r="AW233" s="82">
        <f>26819251.3164558*(0.001)</f>
        <v>26819.251316455793</v>
      </c>
      <c r="AX233" s="82">
        <v>998.7511300484709</v>
      </c>
      <c r="AY233" s="82">
        <v>9081.08752839263</v>
      </c>
      <c r="AZ233" s="408"/>
      <c r="BA233" s="81"/>
      <c r="BB233" s="81"/>
      <c r="BC233" s="81"/>
      <c r="BD233" s="81"/>
      <c r="BE233" s="81"/>
      <c r="BF233" s="81"/>
      <c r="BG233" s="81"/>
      <c r="BO233" s="114"/>
    </row>
    <row r="234" spans="1:67" ht="12.75">
      <c r="A234" s="81">
        <v>697</v>
      </c>
      <c r="B234" s="81" t="s">
        <v>354</v>
      </c>
      <c r="C234" s="81">
        <v>18</v>
      </c>
      <c r="D234" s="81">
        <v>1235</v>
      </c>
      <c r="E234" s="100">
        <v>3783266.8139895042</v>
      </c>
      <c r="F234" s="81">
        <v>1730022.9108307352</v>
      </c>
      <c r="G234" s="81">
        <v>858844.149785884</v>
      </c>
      <c r="H234" s="81">
        <v>368834.90149677556</v>
      </c>
      <c r="I234" s="156">
        <v>718253.1482259575</v>
      </c>
      <c r="J234" s="156">
        <v>266299.47606822953</v>
      </c>
      <c r="K234" s="81">
        <v>-67591.4835199137</v>
      </c>
      <c r="L234" s="81">
        <v>-274379</v>
      </c>
      <c r="M234" s="82">
        <v>43000</v>
      </c>
      <c r="N234" s="82">
        <v>12181.76268644142</v>
      </c>
      <c r="O234" s="214">
        <f t="shared" si="48"/>
        <v>-127800.94841539487</v>
      </c>
      <c r="P234" s="215">
        <f t="shared" si="49"/>
        <v>-103.48254932420637</v>
      </c>
      <c r="Q234" s="81"/>
      <c r="R234" s="223">
        <v>11465529</v>
      </c>
      <c r="S234" s="156">
        <v>3897587.8936731117</v>
      </c>
      <c r="T234" s="156">
        <v>553252.3522451634</v>
      </c>
      <c r="U234" s="156">
        <v>5320321.083860431</v>
      </c>
      <c r="V234" s="156">
        <v>900673.884188617</v>
      </c>
      <c r="W234" s="156">
        <v>627465.149785884</v>
      </c>
      <c r="X234" s="214">
        <f t="shared" si="50"/>
        <v>-166228.63624679297</v>
      </c>
      <c r="Y234" s="215">
        <f t="shared" si="51"/>
        <v>-134.5980860297919</v>
      </c>
      <c r="Z234" s="81"/>
      <c r="AA234" s="94">
        <f t="shared" si="52"/>
        <v>38427.6878313981</v>
      </c>
      <c r="AB234" s="153">
        <f t="shared" si="53"/>
        <v>31.115536705585505</v>
      </c>
      <c r="AD234" s="216"/>
      <c r="AE234" s="224"/>
      <c r="AF234" s="224"/>
      <c r="AG234" s="224"/>
      <c r="AH234" s="225"/>
      <c r="AJ234" s="81">
        <f t="shared" si="54"/>
        <v>2167564.9828423765</v>
      </c>
      <c r="AK234" s="81">
        <f t="shared" si="55"/>
        <v>184417.45074838784</v>
      </c>
      <c r="AL234" s="81">
        <f t="shared" si="56"/>
        <v>4602067.935634473</v>
      </c>
      <c r="AM234" s="81">
        <f t="shared" si="57"/>
        <v>7682262.186010496</v>
      </c>
      <c r="AN234" s="81">
        <f t="shared" si="58"/>
        <v>0</v>
      </c>
      <c r="AO234" s="81">
        <f t="shared" si="59"/>
        <v>0</v>
      </c>
      <c r="AP234" s="81">
        <f t="shared" si="60"/>
        <v>0</v>
      </c>
      <c r="AQ234" s="81">
        <f t="shared" si="61"/>
        <v>0</v>
      </c>
      <c r="AR234" s="81">
        <f t="shared" si="62"/>
        <v>0</v>
      </c>
      <c r="AS234" s="82">
        <v>468</v>
      </c>
      <c r="AT234" s="82"/>
      <c r="AU234" s="82"/>
      <c r="AV234" s="82">
        <v>0</v>
      </c>
      <c r="AW234" s="82">
        <f>4140771.49969802*(0.001)</f>
        <v>4140.771499698021</v>
      </c>
      <c r="AX234" s="82">
        <v>-455.2310703646047</v>
      </c>
      <c r="AY234" s="82">
        <v>634.3744081203874</v>
      </c>
      <c r="AZ234" s="408"/>
      <c r="BA234" s="81"/>
      <c r="BB234" s="81"/>
      <c r="BC234" s="81"/>
      <c r="BD234" s="81"/>
      <c r="BE234" s="81"/>
      <c r="BF234" s="81"/>
      <c r="BG234" s="81"/>
      <c r="BO234" s="114"/>
    </row>
    <row r="235" spans="1:67" ht="12.75">
      <c r="A235" s="81">
        <v>698</v>
      </c>
      <c r="B235" s="81" t="s">
        <v>355</v>
      </c>
      <c r="C235" s="81">
        <v>19</v>
      </c>
      <c r="D235" s="81">
        <v>63528</v>
      </c>
      <c r="E235" s="100">
        <v>162602626.24277014</v>
      </c>
      <c r="F235" s="81">
        <v>100590237.49627836</v>
      </c>
      <c r="G235" s="81">
        <v>33138744.34158819</v>
      </c>
      <c r="H235" s="81">
        <v>8294953.5262390785</v>
      </c>
      <c r="I235" s="156">
        <v>39374160.67104492</v>
      </c>
      <c r="J235" s="156">
        <v>8756985.8509003</v>
      </c>
      <c r="K235" s="81">
        <v>-17869452.484358255</v>
      </c>
      <c r="L235" s="81">
        <v>-5796019</v>
      </c>
      <c r="M235" s="82">
        <v>11165000</v>
      </c>
      <c r="N235" s="82">
        <v>672365.3466855012</v>
      </c>
      <c r="O235" s="214">
        <f t="shared" si="48"/>
        <v>15724349.505607963</v>
      </c>
      <c r="P235" s="215">
        <f t="shared" si="49"/>
        <v>247.5184092936652</v>
      </c>
      <c r="Q235" s="81"/>
      <c r="R235" s="223">
        <v>402578449</v>
      </c>
      <c r="S235" s="156">
        <v>226259070.98845446</v>
      </c>
      <c r="T235" s="156">
        <v>12442430.28935862</v>
      </c>
      <c r="U235" s="156">
        <v>99479853.08392324</v>
      </c>
      <c r="V235" s="156">
        <v>29921144.917343944</v>
      </c>
      <c r="W235" s="156">
        <v>38507725.34158819</v>
      </c>
      <c r="X235" s="214">
        <f t="shared" si="50"/>
        <v>4031775.620668471</v>
      </c>
      <c r="Y235" s="215">
        <f t="shared" si="51"/>
        <v>63.464545093005775</v>
      </c>
      <c r="Z235" s="81"/>
      <c r="AA235" s="94">
        <f t="shared" si="52"/>
        <v>11692573.884939492</v>
      </c>
      <c r="AB235" s="153">
        <f t="shared" si="53"/>
        <v>184.05386420065943</v>
      </c>
      <c r="AD235" s="216"/>
      <c r="AE235" s="224"/>
      <c r="AF235" s="224"/>
      <c r="AG235" s="224"/>
      <c r="AH235" s="225"/>
      <c r="AJ235" s="81">
        <f t="shared" si="54"/>
        <v>125668833.4921761</v>
      </c>
      <c r="AK235" s="81">
        <f t="shared" si="55"/>
        <v>4147476.763119541</v>
      </c>
      <c r="AL235" s="81">
        <f t="shared" si="56"/>
        <v>60105692.41287831</v>
      </c>
      <c r="AM235" s="81">
        <f t="shared" si="57"/>
        <v>239975822.75722986</v>
      </c>
      <c r="AN235" s="81">
        <f t="shared" si="58"/>
        <v>0</v>
      </c>
      <c r="AO235" s="81">
        <f t="shared" si="59"/>
        <v>0</v>
      </c>
      <c r="AP235" s="81">
        <f t="shared" si="60"/>
        <v>0</v>
      </c>
      <c r="AQ235" s="81">
        <f t="shared" si="61"/>
        <v>0</v>
      </c>
      <c r="AR235" s="81">
        <f t="shared" si="62"/>
        <v>0</v>
      </c>
      <c r="AS235" s="82">
        <v>19214</v>
      </c>
      <c r="AT235" s="82"/>
      <c r="AU235" s="82"/>
      <c r="AV235" s="82">
        <v>0</v>
      </c>
      <c r="AW235" s="82">
        <f>49291011.7540085*(0.001)</f>
        <v>49291.01175400855</v>
      </c>
      <c r="AX235" s="82">
        <v>-10623.50064473692</v>
      </c>
      <c r="AY235" s="82">
        <v>21164.159066443644</v>
      </c>
      <c r="AZ235" s="408"/>
      <c r="BA235" s="81"/>
      <c r="BB235" s="81"/>
      <c r="BC235" s="81"/>
      <c r="BD235" s="81"/>
      <c r="BE235" s="81"/>
      <c r="BF235" s="81"/>
      <c r="BG235" s="81"/>
      <c r="BO235" s="114"/>
    </row>
    <row r="236" spans="1:67" ht="12.75">
      <c r="A236" s="81">
        <v>700</v>
      </c>
      <c r="B236" s="81" t="s">
        <v>356</v>
      </c>
      <c r="C236" s="81">
        <v>9</v>
      </c>
      <c r="D236" s="81">
        <v>4922</v>
      </c>
      <c r="E236" s="100">
        <v>12199832.693874083</v>
      </c>
      <c r="F236" s="81">
        <v>7886108.645407611</v>
      </c>
      <c r="G236" s="81">
        <v>1836896.375805322</v>
      </c>
      <c r="H236" s="81">
        <v>1434623.5763527039</v>
      </c>
      <c r="I236" s="156">
        <v>431943.57091453363</v>
      </c>
      <c r="J236" s="156">
        <v>752137.4258441031</v>
      </c>
      <c r="K236" s="81">
        <v>665456.9235681836</v>
      </c>
      <c r="L236" s="81">
        <v>-1096778</v>
      </c>
      <c r="M236" s="82">
        <v>-157500</v>
      </c>
      <c r="N236" s="82">
        <v>63362.61477954134</v>
      </c>
      <c r="O236" s="214">
        <f t="shared" si="48"/>
        <v>-383581.5612020865</v>
      </c>
      <c r="P236" s="215">
        <f t="shared" si="49"/>
        <v>-77.93205225560473</v>
      </c>
      <c r="Q236" s="81"/>
      <c r="R236" s="223">
        <v>34432000</v>
      </c>
      <c r="S236" s="156">
        <v>19402474.42457798</v>
      </c>
      <c r="T236" s="156">
        <v>2151935.364529056</v>
      </c>
      <c r="U236" s="156">
        <v>10051824.649127562</v>
      </c>
      <c r="V236" s="156">
        <v>2563334.039979226</v>
      </c>
      <c r="W236" s="156">
        <v>582618.3758053221</v>
      </c>
      <c r="X236" s="214">
        <f t="shared" si="50"/>
        <v>320186.85401915014</v>
      </c>
      <c r="Y236" s="215">
        <f t="shared" si="51"/>
        <v>65.05218488808414</v>
      </c>
      <c r="Z236" s="81"/>
      <c r="AA236" s="94">
        <f t="shared" si="52"/>
        <v>-703768.4152212366</v>
      </c>
      <c r="AB236" s="153">
        <f t="shared" si="53"/>
        <v>-142.9842371436889</v>
      </c>
      <c r="AD236" s="216"/>
      <c r="AE236" s="224"/>
      <c r="AF236" s="224"/>
      <c r="AG236" s="224"/>
      <c r="AH236" s="225"/>
      <c r="AJ236" s="81">
        <f t="shared" si="54"/>
        <v>11516365.779170372</v>
      </c>
      <c r="AK236" s="81">
        <f t="shared" si="55"/>
        <v>717311.7881763522</v>
      </c>
      <c r="AL236" s="81">
        <f t="shared" si="56"/>
        <v>9619881.078213029</v>
      </c>
      <c r="AM236" s="81">
        <f t="shared" si="57"/>
        <v>22232167.306125917</v>
      </c>
      <c r="AN236" s="81">
        <f t="shared" si="58"/>
        <v>0</v>
      </c>
      <c r="AO236" s="81">
        <f t="shared" si="59"/>
        <v>0</v>
      </c>
      <c r="AP236" s="81">
        <f t="shared" si="60"/>
        <v>0</v>
      </c>
      <c r="AQ236" s="81">
        <f t="shared" si="61"/>
        <v>0</v>
      </c>
      <c r="AR236" s="81">
        <f t="shared" si="62"/>
        <v>0</v>
      </c>
      <c r="AS236" s="82">
        <v>2050</v>
      </c>
      <c r="AT236" s="82"/>
      <c r="AU236" s="82"/>
      <c r="AV236" s="82">
        <v>0</v>
      </c>
      <c r="AW236" s="82">
        <f>9651102.96948629*(0.001)</f>
        <v>9651.10296948629</v>
      </c>
      <c r="AX236" s="82">
        <v>289.08889261295064</v>
      </c>
      <c r="AY236" s="82">
        <v>1811.196614135123</v>
      </c>
      <c r="AZ236" s="408"/>
      <c r="BA236" s="81"/>
      <c r="BB236" s="81"/>
      <c r="BC236" s="81"/>
      <c r="BD236" s="81"/>
      <c r="BE236" s="81"/>
      <c r="BF236" s="81"/>
      <c r="BG236" s="81"/>
      <c r="BO236" s="114"/>
    </row>
    <row r="237" spans="1:67" ht="12.75">
      <c r="A237" s="81">
        <v>702</v>
      </c>
      <c r="B237" s="81" t="s">
        <v>357</v>
      </c>
      <c r="C237" s="81">
        <v>6</v>
      </c>
      <c r="D237" s="81">
        <v>4215</v>
      </c>
      <c r="E237" s="100">
        <v>10767374.647624195</v>
      </c>
      <c r="F237" s="81">
        <v>6166158.682191448</v>
      </c>
      <c r="G237" s="81">
        <v>1955473.7761139695</v>
      </c>
      <c r="H237" s="81">
        <v>1250448.6948080473</v>
      </c>
      <c r="I237" s="156">
        <v>1083360.2806440257</v>
      </c>
      <c r="J237" s="156">
        <v>827158.6972992613</v>
      </c>
      <c r="K237" s="81">
        <v>877341.4434654794</v>
      </c>
      <c r="L237" s="81">
        <v>-1196417</v>
      </c>
      <c r="M237" s="82">
        <v>-166589</v>
      </c>
      <c r="N237" s="82">
        <v>40593.132610297725</v>
      </c>
      <c r="O237" s="214">
        <f t="shared" si="48"/>
        <v>70154.05950833485</v>
      </c>
      <c r="P237" s="215">
        <f t="shared" si="49"/>
        <v>16.64390498418383</v>
      </c>
      <c r="Q237" s="81"/>
      <c r="R237" s="223">
        <v>30720948</v>
      </c>
      <c r="S237" s="156">
        <v>13378415.435129805</v>
      </c>
      <c r="T237" s="156">
        <v>1875673.042212071</v>
      </c>
      <c r="U237" s="156">
        <v>12573302.997864906</v>
      </c>
      <c r="V237" s="156">
        <v>2800976.906124789</v>
      </c>
      <c r="W237" s="156">
        <v>592467.7761139695</v>
      </c>
      <c r="X237" s="214">
        <f t="shared" si="50"/>
        <v>499888.1574455425</v>
      </c>
      <c r="Y237" s="215">
        <f t="shared" si="51"/>
        <v>118.59742762646323</v>
      </c>
      <c r="Z237" s="81"/>
      <c r="AA237" s="94">
        <f t="shared" si="52"/>
        <v>-429734.09793720767</v>
      </c>
      <c r="AB237" s="153">
        <f t="shared" si="53"/>
        <v>-101.9535226422794</v>
      </c>
      <c r="AD237" s="216"/>
      <c r="AE237" s="224"/>
      <c r="AF237" s="224"/>
      <c r="AG237" s="224"/>
      <c r="AH237" s="225"/>
      <c r="AJ237" s="81">
        <f t="shared" si="54"/>
        <v>7212256.752938356</v>
      </c>
      <c r="AK237" s="81">
        <f t="shared" si="55"/>
        <v>625224.3474040236</v>
      </c>
      <c r="AL237" s="81">
        <f t="shared" si="56"/>
        <v>11489942.71722088</v>
      </c>
      <c r="AM237" s="81">
        <f t="shared" si="57"/>
        <v>19953573.352375805</v>
      </c>
      <c r="AN237" s="81">
        <f t="shared" si="58"/>
        <v>0</v>
      </c>
      <c r="AO237" s="81">
        <f t="shared" si="59"/>
        <v>0</v>
      </c>
      <c r="AP237" s="81">
        <f t="shared" si="60"/>
        <v>0</v>
      </c>
      <c r="AQ237" s="81">
        <f t="shared" si="61"/>
        <v>0</v>
      </c>
      <c r="AR237" s="81">
        <f t="shared" si="62"/>
        <v>0</v>
      </c>
      <c r="AS237" s="82">
        <v>1226</v>
      </c>
      <c r="AT237" s="82"/>
      <c r="AU237" s="82"/>
      <c r="AV237" s="82">
        <v>0</v>
      </c>
      <c r="AW237" s="82">
        <f>10247204.3185807*(0.001)</f>
        <v>10247.204318580705</v>
      </c>
      <c r="AX237" s="82">
        <v>-1399.8369352909733</v>
      </c>
      <c r="AY237" s="82">
        <v>1973.8182088255276</v>
      </c>
      <c r="AZ237" s="408"/>
      <c r="BA237" s="81"/>
      <c r="BB237" s="81"/>
      <c r="BC237" s="81"/>
      <c r="BD237" s="81"/>
      <c r="BE237" s="81"/>
      <c r="BF237" s="81"/>
      <c r="BG237" s="81"/>
      <c r="BO237" s="114"/>
    </row>
    <row r="238" spans="1:67" ht="12.75">
      <c r="A238" s="81">
        <v>704</v>
      </c>
      <c r="B238" s="81" t="s">
        <v>358</v>
      </c>
      <c r="C238" s="81">
        <v>2</v>
      </c>
      <c r="D238" s="81">
        <v>6354</v>
      </c>
      <c r="E238" s="100">
        <v>15674405.26053371</v>
      </c>
      <c r="F238" s="81">
        <v>9189194.557412876</v>
      </c>
      <c r="G238" s="81">
        <v>1205662.8092930135</v>
      </c>
      <c r="H238" s="81">
        <v>836860.786489708</v>
      </c>
      <c r="I238" s="156">
        <v>4446601.119350399</v>
      </c>
      <c r="J238" s="156">
        <v>767567.7655158297</v>
      </c>
      <c r="K238" s="81">
        <v>735458.1793842466</v>
      </c>
      <c r="L238" s="81">
        <v>-1301997</v>
      </c>
      <c r="M238" s="82">
        <v>-10000</v>
      </c>
      <c r="N238" s="82">
        <v>76453.75428730031</v>
      </c>
      <c r="O238" s="214">
        <f t="shared" si="48"/>
        <v>271396.7111996636</v>
      </c>
      <c r="P238" s="215">
        <f t="shared" si="49"/>
        <v>42.71273389985262</v>
      </c>
      <c r="Q238" s="81"/>
      <c r="R238" s="223">
        <v>33216953</v>
      </c>
      <c r="S238" s="156">
        <v>23532001.24408063</v>
      </c>
      <c r="T238" s="156">
        <v>1255291.179734562</v>
      </c>
      <c r="U238" s="156">
        <v>6333118.109163883</v>
      </c>
      <c r="V238" s="156">
        <v>2627830.4092710097</v>
      </c>
      <c r="W238" s="156">
        <v>-106334.19070698647</v>
      </c>
      <c r="X238" s="214">
        <f t="shared" si="50"/>
        <v>424953.7515430972</v>
      </c>
      <c r="Y238" s="215">
        <f t="shared" si="51"/>
        <v>66.8797216781708</v>
      </c>
      <c r="Z238" s="81"/>
      <c r="AA238" s="94">
        <f t="shared" si="52"/>
        <v>-153557.04034343362</v>
      </c>
      <c r="AB238" s="153">
        <f t="shared" si="53"/>
        <v>-24.166987778318166</v>
      </c>
      <c r="AD238" s="216"/>
      <c r="AE238" s="224"/>
      <c r="AF238" s="224"/>
      <c r="AG238" s="224"/>
      <c r="AH238" s="225"/>
      <c r="AJ238" s="81">
        <f t="shared" si="54"/>
        <v>14342806.686667753</v>
      </c>
      <c r="AK238" s="81">
        <f t="shared" si="55"/>
        <v>418430.39324485406</v>
      </c>
      <c r="AL238" s="81">
        <f t="shared" si="56"/>
        <v>1886516.9898134843</v>
      </c>
      <c r="AM238" s="81">
        <f t="shared" si="57"/>
        <v>17542547.73946629</v>
      </c>
      <c r="AN238" s="81">
        <f t="shared" si="58"/>
        <v>0</v>
      </c>
      <c r="AO238" s="81">
        <f t="shared" si="59"/>
        <v>0</v>
      </c>
      <c r="AP238" s="81">
        <f t="shared" si="60"/>
        <v>0</v>
      </c>
      <c r="AQ238" s="81">
        <f t="shared" si="61"/>
        <v>0</v>
      </c>
      <c r="AR238" s="81">
        <f t="shared" si="62"/>
        <v>0</v>
      </c>
      <c r="AS238" s="82">
        <v>1687</v>
      </c>
      <c r="AT238" s="82"/>
      <c r="AU238" s="82"/>
      <c r="AV238" s="82">
        <v>0</v>
      </c>
      <c r="AW238" s="82">
        <f>2570374.99680238*(0.001)</f>
        <v>2570.374996802378</v>
      </c>
      <c r="AX238" s="82">
        <v>344.18760018591166</v>
      </c>
      <c r="AY238" s="82">
        <v>1860.26264375518</v>
      </c>
      <c r="AZ238" s="408"/>
      <c r="BA238" s="81"/>
      <c r="BB238" s="81"/>
      <c r="BC238" s="81"/>
      <c r="BD238" s="81"/>
      <c r="BE238" s="81"/>
      <c r="BF238" s="81"/>
      <c r="BG238" s="81"/>
      <c r="BO238" s="114"/>
    </row>
    <row r="239" spans="1:67" ht="12.75">
      <c r="A239" s="81">
        <v>707</v>
      </c>
      <c r="B239" s="81" t="s">
        <v>359</v>
      </c>
      <c r="C239" s="81">
        <v>12</v>
      </c>
      <c r="D239" s="81">
        <v>2066</v>
      </c>
      <c r="E239" s="100">
        <v>4483118.450194234</v>
      </c>
      <c r="F239" s="81">
        <v>2577788.836325197</v>
      </c>
      <c r="G239" s="81">
        <v>644813.809401845</v>
      </c>
      <c r="H239" s="81">
        <v>392913.16472984245</v>
      </c>
      <c r="I239" s="156">
        <v>1085909.5643275334</v>
      </c>
      <c r="J239" s="156">
        <v>487951.22244938323</v>
      </c>
      <c r="K239" s="81">
        <v>-102491.66709498902</v>
      </c>
      <c r="L239" s="81">
        <v>-551258</v>
      </c>
      <c r="M239" s="82">
        <v>118750</v>
      </c>
      <c r="N239" s="82">
        <v>17365.82436806736</v>
      </c>
      <c r="O239" s="214">
        <f t="shared" si="48"/>
        <v>188624.30431264546</v>
      </c>
      <c r="P239" s="215">
        <f t="shared" si="49"/>
        <v>91.29927604677903</v>
      </c>
      <c r="Q239" s="81"/>
      <c r="R239" s="223">
        <v>16360744</v>
      </c>
      <c r="S239" s="156">
        <v>5734222.546592334</v>
      </c>
      <c r="T239" s="156">
        <v>589369.7470947637</v>
      </c>
      <c r="U239" s="156">
        <v>8486910.420580262</v>
      </c>
      <c r="V239" s="156">
        <v>1642600.4170234967</v>
      </c>
      <c r="W239" s="156">
        <v>212305.80940184498</v>
      </c>
      <c r="X239" s="214">
        <f t="shared" si="50"/>
        <v>304664.9406927023</v>
      </c>
      <c r="Y239" s="215">
        <f t="shared" si="51"/>
        <v>147.4660893962741</v>
      </c>
      <c r="Z239" s="81"/>
      <c r="AA239" s="94">
        <f t="shared" si="52"/>
        <v>-116040.63638005685</v>
      </c>
      <c r="AB239" s="153">
        <f t="shared" si="53"/>
        <v>-56.16681334949509</v>
      </c>
      <c r="AD239" s="216"/>
      <c r="AE239" s="224"/>
      <c r="AF239" s="224"/>
      <c r="AG239" s="224"/>
      <c r="AH239" s="225"/>
      <c r="AJ239" s="81">
        <f t="shared" si="54"/>
        <v>3156433.7102671373</v>
      </c>
      <c r="AK239" s="81">
        <f t="shared" si="55"/>
        <v>196456.58236492123</v>
      </c>
      <c r="AL239" s="81">
        <f t="shared" si="56"/>
        <v>7401000.856252729</v>
      </c>
      <c r="AM239" s="81">
        <f t="shared" si="57"/>
        <v>11877625.549805766</v>
      </c>
      <c r="AN239" s="81">
        <f t="shared" si="58"/>
        <v>0</v>
      </c>
      <c r="AO239" s="81">
        <f t="shared" si="59"/>
        <v>0</v>
      </c>
      <c r="AP239" s="81">
        <f t="shared" si="60"/>
        <v>0</v>
      </c>
      <c r="AQ239" s="81">
        <f t="shared" si="61"/>
        <v>0</v>
      </c>
      <c r="AR239" s="81">
        <f t="shared" si="62"/>
        <v>0</v>
      </c>
      <c r="AS239" s="82">
        <v>399</v>
      </c>
      <c r="AT239" s="82">
        <v>1</v>
      </c>
      <c r="AU239" s="82"/>
      <c r="AV239" s="82">
        <v>1</v>
      </c>
      <c r="AW239" s="82">
        <f>5917734.11872523*(0.001)</f>
        <v>5917.734118725228</v>
      </c>
      <c r="AX239" s="82">
        <v>-1299.8484080803312</v>
      </c>
      <c r="AY239" s="82">
        <v>1154.6491945741134</v>
      </c>
      <c r="AZ239" s="408"/>
      <c r="BA239" s="81"/>
      <c r="BB239" s="81"/>
      <c r="BC239" s="81"/>
      <c r="BD239" s="81"/>
      <c r="BE239" s="81"/>
      <c r="BF239" s="81"/>
      <c r="BG239" s="81"/>
      <c r="BO239" s="114"/>
    </row>
    <row r="240" spans="1:67" ht="12.75">
      <c r="A240" s="81">
        <v>710</v>
      </c>
      <c r="B240" s="81" t="s">
        <v>134</v>
      </c>
      <c r="C240" s="81">
        <v>1</v>
      </c>
      <c r="D240" s="81">
        <v>27528</v>
      </c>
      <c r="E240" s="100">
        <v>69334743.31411791</v>
      </c>
      <c r="F240" s="81">
        <v>49272547.548321344</v>
      </c>
      <c r="G240" s="81">
        <v>11709255.660363784</v>
      </c>
      <c r="H240" s="81">
        <v>2728916.486190682</v>
      </c>
      <c r="I240" s="156">
        <v>17396138.77338619</v>
      </c>
      <c r="J240" s="156">
        <v>4352876.918316901</v>
      </c>
      <c r="K240" s="81">
        <v>-5312203.037800258</v>
      </c>
      <c r="L240" s="81">
        <v>-1537316</v>
      </c>
      <c r="M240" s="82">
        <v>2151500</v>
      </c>
      <c r="N240" s="82">
        <v>314766.12704374234</v>
      </c>
      <c r="O240" s="214">
        <f t="shared" si="48"/>
        <v>11741739.16170448</v>
      </c>
      <c r="P240" s="215">
        <f t="shared" si="49"/>
        <v>426.5380398759256</v>
      </c>
      <c r="Q240" s="81"/>
      <c r="R240" s="223">
        <v>186036420</v>
      </c>
      <c r="S240" s="156">
        <v>108681264.7932265</v>
      </c>
      <c r="T240" s="156">
        <v>4093374.729286023</v>
      </c>
      <c r="U240" s="156">
        <v>55899145.59676999</v>
      </c>
      <c r="V240" s="156">
        <v>14830025.032484423</v>
      </c>
      <c r="W240" s="156">
        <v>12323439.660363784</v>
      </c>
      <c r="X240" s="214">
        <f t="shared" si="50"/>
        <v>9790829.81213072</v>
      </c>
      <c r="Y240" s="215">
        <f t="shared" si="51"/>
        <v>355.66804025467593</v>
      </c>
      <c r="Z240" s="81"/>
      <c r="AA240" s="94">
        <f t="shared" si="52"/>
        <v>1950909.3495737612</v>
      </c>
      <c r="AB240" s="153">
        <f t="shared" si="53"/>
        <v>70.86999962124968</v>
      </c>
      <c r="AD240" s="216"/>
      <c r="AE240" s="224"/>
      <c r="AF240" s="224"/>
      <c r="AG240" s="224"/>
      <c r="AH240" s="225"/>
      <c r="AJ240" s="81">
        <f t="shared" si="54"/>
        <v>59408717.24490515</v>
      </c>
      <c r="AK240" s="81">
        <f t="shared" si="55"/>
        <v>1364458.2430953411</v>
      </c>
      <c r="AL240" s="81">
        <f t="shared" si="56"/>
        <v>38503006.82338379</v>
      </c>
      <c r="AM240" s="81">
        <f t="shared" si="57"/>
        <v>116701676.68588209</v>
      </c>
      <c r="AN240" s="81">
        <f t="shared" si="58"/>
        <v>0</v>
      </c>
      <c r="AO240" s="81">
        <f t="shared" si="59"/>
        <v>0</v>
      </c>
      <c r="AP240" s="81">
        <f t="shared" si="60"/>
        <v>0</v>
      </c>
      <c r="AQ240" s="81">
        <f t="shared" si="61"/>
        <v>0</v>
      </c>
      <c r="AR240" s="81">
        <f t="shared" si="62"/>
        <v>0</v>
      </c>
      <c r="AS240" s="82">
        <v>6680</v>
      </c>
      <c r="AT240" s="82"/>
      <c r="AU240" s="82"/>
      <c r="AV240" s="82">
        <v>0</v>
      </c>
      <c r="AW240" s="82">
        <f>33634845.5634719*(0.001)</f>
        <v>33634.84556347187</v>
      </c>
      <c r="AX240" s="82">
        <v>-3290.2611333863856</v>
      </c>
      <c r="AY240" s="82">
        <v>10477.148114167523</v>
      </c>
      <c r="AZ240" s="408"/>
      <c r="BA240" s="81"/>
      <c r="BB240" s="81"/>
      <c r="BC240" s="81"/>
      <c r="BD240" s="81"/>
      <c r="BE240" s="81"/>
      <c r="BF240" s="81"/>
      <c r="BG240" s="81"/>
      <c r="BO240" s="114"/>
    </row>
    <row r="241" spans="1:67" ht="12.75">
      <c r="A241" s="81">
        <v>729</v>
      </c>
      <c r="B241" s="81" t="s">
        <v>360</v>
      </c>
      <c r="C241" s="81">
        <v>13</v>
      </c>
      <c r="D241" s="81">
        <v>9208</v>
      </c>
      <c r="E241" s="100">
        <v>22774862.981020644</v>
      </c>
      <c r="F241" s="81">
        <v>12058032.258349983</v>
      </c>
      <c r="G241" s="81">
        <v>2601586.143828427</v>
      </c>
      <c r="H241" s="81">
        <v>1635892.5078925926</v>
      </c>
      <c r="I241" s="156">
        <v>6535615.81098549</v>
      </c>
      <c r="J241" s="156">
        <v>1755765.0951948697</v>
      </c>
      <c r="K241" s="81">
        <v>-147542.97586409902</v>
      </c>
      <c r="L241" s="81">
        <v>162</v>
      </c>
      <c r="M241" s="82">
        <v>-58000</v>
      </c>
      <c r="N241" s="82">
        <v>74771.60643865743</v>
      </c>
      <c r="O241" s="214">
        <f t="shared" si="48"/>
        <v>1681419.4658052772</v>
      </c>
      <c r="P241" s="215">
        <f t="shared" si="49"/>
        <v>182.60419915348362</v>
      </c>
      <c r="Q241" s="81"/>
      <c r="R241" s="223">
        <v>64760706</v>
      </c>
      <c r="S241" s="156">
        <v>25676543.962234553</v>
      </c>
      <c r="T241" s="156">
        <v>2453838.7618388887</v>
      </c>
      <c r="U241" s="156">
        <v>29941447.297205843</v>
      </c>
      <c r="V241" s="156">
        <v>5933918.114793847</v>
      </c>
      <c r="W241" s="156">
        <v>2543748.143828427</v>
      </c>
      <c r="X241" s="214">
        <f t="shared" si="50"/>
        <v>1788790.2799015641</v>
      </c>
      <c r="Y241" s="215">
        <f t="shared" si="51"/>
        <v>194.2648001630717</v>
      </c>
      <c r="Z241" s="81"/>
      <c r="AA241" s="94">
        <f t="shared" si="52"/>
        <v>-107370.8140962869</v>
      </c>
      <c r="AB241" s="153">
        <f t="shared" si="53"/>
        <v>-11.660601009588063</v>
      </c>
      <c r="AD241" s="216"/>
      <c r="AE241" s="224"/>
      <c r="AF241" s="224"/>
      <c r="AG241" s="224"/>
      <c r="AH241" s="225"/>
      <c r="AJ241" s="81">
        <f t="shared" si="54"/>
        <v>13618511.70388457</v>
      </c>
      <c r="AK241" s="81">
        <f t="shared" si="55"/>
        <v>817946.2539462962</v>
      </c>
      <c r="AL241" s="81">
        <f t="shared" si="56"/>
        <v>23405831.486220352</v>
      </c>
      <c r="AM241" s="81">
        <f t="shared" si="57"/>
        <v>41985843.018979356</v>
      </c>
      <c r="AN241" s="81">
        <f t="shared" si="58"/>
        <v>0</v>
      </c>
      <c r="AO241" s="81">
        <f t="shared" si="59"/>
        <v>0</v>
      </c>
      <c r="AP241" s="81">
        <f t="shared" si="60"/>
        <v>0</v>
      </c>
      <c r="AQ241" s="81">
        <f t="shared" si="61"/>
        <v>0</v>
      </c>
      <c r="AR241" s="81">
        <f t="shared" si="62"/>
        <v>0</v>
      </c>
      <c r="AS241" s="82">
        <v>3558</v>
      </c>
      <c r="AT241" s="82"/>
      <c r="AU241" s="82"/>
      <c r="AV241" s="82">
        <v>0</v>
      </c>
      <c r="AW241" s="82">
        <f>18468169.5495885*(0.001)</f>
        <v>18468.16954958846</v>
      </c>
      <c r="AX241" s="82">
        <v>-4736.163592955888</v>
      </c>
      <c r="AY241" s="82">
        <v>4178.153019598978</v>
      </c>
      <c r="AZ241" s="408"/>
      <c r="BA241" s="81"/>
      <c r="BB241" s="81"/>
      <c r="BC241" s="81"/>
      <c r="BD241" s="81"/>
      <c r="BE241" s="81"/>
      <c r="BF241" s="81"/>
      <c r="BG241" s="81"/>
      <c r="BO241" s="114"/>
    </row>
    <row r="242" spans="1:67" ht="12.75">
      <c r="A242" s="81">
        <v>732</v>
      </c>
      <c r="B242" s="81" t="s">
        <v>361</v>
      </c>
      <c r="C242" s="81">
        <v>19</v>
      </c>
      <c r="D242" s="81">
        <v>3407</v>
      </c>
      <c r="E242" s="100">
        <v>10648226.88021667</v>
      </c>
      <c r="F242" s="81">
        <v>3771274.622635221</v>
      </c>
      <c r="G242" s="81">
        <v>1350524.4494342331</v>
      </c>
      <c r="H242" s="81">
        <v>856068.5189961622</v>
      </c>
      <c r="I242" s="156">
        <v>3838886.68377123</v>
      </c>
      <c r="J242" s="156">
        <v>700168.6015168587</v>
      </c>
      <c r="K242" s="81">
        <v>-339731.42333940224</v>
      </c>
      <c r="L242" s="81">
        <v>-138413</v>
      </c>
      <c r="M242" s="82">
        <v>-135000</v>
      </c>
      <c r="N242" s="82">
        <v>29543.880286375454</v>
      </c>
      <c r="O242" s="214">
        <f t="shared" si="48"/>
        <v>-714904.5469159912</v>
      </c>
      <c r="P242" s="215">
        <f t="shared" si="49"/>
        <v>-209.83403196829798</v>
      </c>
      <c r="Q242" s="81"/>
      <c r="R242" s="223">
        <v>32755847</v>
      </c>
      <c r="S242" s="156">
        <v>9047397.408570623</v>
      </c>
      <c r="T242" s="156">
        <v>1284102.7784942433</v>
      </c>
      <c r="U242" s="156">
        <v>19013027.404677387</v>
      </c>
      <c r="V242" s="156">
        <v>2363757.1245270334</v>
      </c>
      <c r="W242" s="156">
        <v>1077111.4494342331</v>
      </c>
      <c r="X242" s="214">
        <f t="shared" si="50"/>
        <v>29549.16570352018</v>
      </c>
      <c r="Y242" s="215">
        <f t="shared" si="51"/>
        <v>8.673074758884702</v>
      </c>
      <c r="Z242" s="81"/>
      <c r="AA242" s="94">
        <f t="shared" si="52"/>
        <v>-744453.7126195114</v>
      </c>
      <c r="AB242" s="153">
        <f t="shared" si="53"/>
        <v>-218.50710672718267</v>
      </c>
      <c r="AD242" s="216"/>
      <c r="AE242" s="224"/>
      <c r="AF242" s="224"/>
      <c r="AG242" s="224"/>
      <c r="AH242" s="225"/>
      <c r="AJ242" s="81">
        <f t="shared" si="54"/>
        <v>5276122.785935402</v>
      </c>
      <c r="AK242" s="81">
        <f t="shared" si="55"/>
        <v>428034.25949808105</v>
      </c>
      <c r="AL242" s="81">
        <f t="shared" si="56"/>
        <v>15174140.720906157</v>
      </c>
      <c r="AM242" s="81">
        <f t="shared" si="57"/>
        <v>22107620.11978333</v>
      </c>
      <c r="AN242" s="81">
        <f t="shared" si="58"/>
        <v>0</v>
      </c>
      <c r="AO242" s="81">
        <f t="shared" si="59"/>
        <v>0</v>
      </c>
      <c r="AP242" s="81">
        <f t="shared" si="60"/>
        <v>0</v>
      </c>
      <c r="AQ242" s="81">
        <f t="shared" si="61"/>
        <v>0</v>
      </c>
      <c r="AR242" s="81">
        <f t="shared" si="62"/>
        <v>0</v>
      </c>
      <c r="AS242" s="82">
        <v>1240</v>
      </c>
      <c r="AT242" s="82">
        <v>123</v>
      </c>
      <c r="AU242" s="82"/>
      <c r="AV242" s="82">
        <v>123</v>
      </c>
      <c r="AW242" s="82">
        <f>12718626.8541448*(0.001)</f>
        <v>12718.626854144797</v>
      </c>
      <c r="AX242" s="82">
        <v>-1486.1393050789043</v>
      </c>
      <c r="AY242" s="82">
        <v>1663.5885230101746</v>
      </c>
      <c r="AZ242" s="408"/>
      <c r="BA242" s="81"/>
      <c r="BB242" s="81"/>
      <c r="BC242" s="81"/>
      <c r="BD242" s="81"/>
      <c r="BE242" s="81"/>
      <c r="BF242" s="81"/>
      <c r="BG242" s="81"/>
      <c r="BO242" s="114"/>
    </row>
    <row r="243" spans="1:67" ht="12.75">
      <c r="A243" s="81">
        <v>734</v>
      </c>
      <c r="B243" s="81" t="s">
        <v>362</v>
      </c>
      <c r="C243" s="81">
        <v>2</v>
      </c>
      <c r="D243" s="81">
        <v>51562</v>
      </c>
      <c r="E243" s="100">
        <v>122995993.48341191</v>
      </c>
      <c r="F243" s="81">
        <v>70562914.81043223</v>
      </c>
      <c r="G243" s="81">
        <v>14681268.177026106</v>
      </c>
      <c r="H243" s="81">
        <v>8040508.544193424</v>
      </c>
      <c r="I243" s="156">
        <v>25982012.86119612</v>
      </c>
      <c r="J243" s="156">
        <v>8159980.651437968</v>
      </c>
      <c r="K243" s="81">
        <v>-6437032.04923465</v>
      </c>
      <c r="L243" s="81">
        <v>-3852887</v>
      </c>
      <c r="M243" s="82">
        <v>-497000</v>
      </c>
      <c r="N243" s="82">
        <v>506495.79523977666</v>
      </c>
      <c r="O243" s="214">
        <f t="shared" si="48"/>
        <v>-5849731.693120927</v>
      </c>
      <c r="P243" s="215">
        <f t="shared" si="49"/>
        <v>-113.45044205269242</v>
      </c>
      <c r="Q243" s="81"/>
      <c r="R243" s="223">
        <v>330483000</v>
      </c>
      <c r="S243" s="156">
        <v>164333862.33357728</v>
      </c>
      <c r="T243" s="156">
        <v>12060762.816290136</v>
      </c>
      <c r="U243" s="156">
        <v>107591562.38766697</v>
      </c>
      <c r="V243" s="156">
        <v>27720343.694546003</v>
      </c>
      <c r="W243" s="156">
        <v>10331381.177026106</v>
      </c>
      <c r="X243" s="214">
        <f t="shared" si="50"/>
        <v>-8445087.590893507</v>
      </c>
      <c r="Y243" s="215">
        <f t="shared" si="51"/>
        <v>-163.7851051334996</v>
      </c>
      <c r="Z243" s="81"/>
      <c r="AA243" s="94">
        <f t="shared" si="52"/>
        <v>2595355.8977725804</v>
      </c>
      <c r="AB243" s="153">
        <f t="shared" si="53"/>
        <v>50.33466308080719</v>
      </c>
      <c r="AD243" s="216"/>
      <c r="AE243" s="224"/>
      <c r="AF243" s="224"/>
      <c r="AG243" s="224"/>
      <c r="AH243" s="225"/>
      <c r="AJ243" s="81">
        <f t="shared" si="54"/>
        <v>93770947.52314505</v>
      </c>
      <c r="AK243" s="81">
        <f t="shared" si="55"/>
        <v>4020254.272096712</v>
      </c>
      <c r="AL243" s="81">
        <f t="shared" si="56"/>
        <v>81609549.52647085</v>
      </c>
      <c r="AM243" s="81">
        <f t="shared" si="57"/>
        <v>207487006.5165881</v>
      </c>
      <c r="AN243" s="81">
        <f t="shared" si="58"/>
        <v>0</v>
      </c>
      <c r="AO243" s="81">
        <f t="shared" si="59"/>
        <v>0</v>
      </c>
      <c r="AP243" s="81">
        <f t="shared" si="60"/>
        <v>0</v>
      </c>
      <c r="AQ243" s="81">
        <f t="shared" si="61"/>
        <v>0</v>
      </c>
      <c r="AR243" s="81">
        <f t="shared" si="62"/>
        <v>0</v>
      </c>
      <c r="AS243" s="82">
        <v>16164</v>
      </c>
      <c r="AT243" s="82">
        <v>454</v>
      </c>
      <c r="AU243" s="82"/>
      <c r="AV243" s="82">
        <v>454</v>
      </c>
      <c r="AW243" s="82">
        <f>66903168.370472*(0.001)</f>
        <v>66903.168370472</v>
      </c>
      <c r="AX243" s="82">
        <v>-13034.094010900579</v>
      </c>
      <c r="AY243" s="82">
        <v>19560.363043108035</v>
      </c>
      <c r="AZ243" s="408"/>
      <c r="BA243" s="81"/>
      <c r="BB243" s="81"/>
      <c r="BC243" s="81"/>
      <c r="BD243" s="81"/>
      <c r="BE243" s="81"/>
      <c r="BF243" s="81"/>
      <c r="BG243" s="81"/>
      <c r="BO243" s="114"/>
    </row>
    <row r="244" spans="1:67" ht="12.75">
      <c r="A244" s="81">
        <v>738</v>
      </c>
      <c r="B244" s="81" t="s">
        <v>363</v>
      </c>
      <c r="C244" s="81">
        <v>2</v>
      </c>
      <c r="D244" s="81">
        <v>2950</v>
      </c>
      <c r="E244" s="100">
        <v>7697597.667060757</v>
      </c>
      <c r="F244" s="81">
        <v>4784428.261862925</v>
      </c>
      <c r="G244" s="81">
        <v>1182782.3435128133</v>
      </c>
      <c r="H244" s="81">
        <v>360224.57119557343</v>
      </c>
      <c r="I244" s="156">
        <v>1372443.7418151125</v>
      </c>
      <c r="J244" s="156">
        <v>508181.0215223823</v>
      </c>
      <c r="K244" s="81">
        <v>117826.70054054756</v>
      </c>
      <c r="L244" s="81">
        <v>-723135</v>
      </c>
      <c r="M244" s="82">
        <v>55896</v>
      </c>
      <c r="N244" s="82">
        <v>31841.863146076936</v>
      </c>
      <c r="O244" s="214">
        <f t="shared" si="48"/>
        <v>-7108.163465325721</v>
      </c>
      <c r="P244" s="215">
        <f t="shared" si="49"/>
        <v>-2.409546937398549</v>
      </c>
      <c r="Q244" s="81"/>
      <c r="R244" s="223">
        <v>17673503</v>
      </c>
      <c r="S244" s="156">
        <v>10752153.912373519</v>
      </c>
      <c r="T244" s="156">
        <v>540336.8567933602</v>
      </c>
      <c r="U244" s="156">
        <v>4169299.3275170275</v>
      </c>
      <c r="V244" s="156">
        <v>1726531.9367346163</v>
      </c>
      <c r="W244" s="156">
        <v>515543.3435128133</v>
      </c>
      <c r="X244" s="214">
        <f t="shared" si="50"/>
        <v>30362.376931335777</v>
      </c>
      <c r="Y244" s="215">
        <f t="shared" si="51"/>
        <v>10.29233116316467</v>
      </c>
      <c r="Z244" s="81"/>
      <c r="AA244" s="94">
        <f t="shared" si="52"/>
        <v>-37470.5403966615</v>
      </c>
      <c r="AB244" s="153">
        <f t="shared" si="53"/>
        <v>-12.701878100563219</v>
      </c>
      <c r="AD244" s="216"/>
      <c r="AE244" s="224"/>
      <c r="AF244" s="224"/>
      <c r="AG244" s="224"/>
      <c r="AH244" s="225"/>
      <c r="AJ244" s="81">
        <f t="shared" si="54"/>
        <v>5967725.650510593</v>
      </c>
      <c r="AK244" s="81">
        <f t="shared" si="55"/>
        <v>180112.28559778677</v>
      </c>
      <c r="AL244" s="81">
        <f t="shared" si="56"/>
        <v>2796855.585701915</v>
      </c>
      <c r="AM244" s="81">
        <f t="shared" si="57"/>
        <v>9975905.332939243</v>
      </c>
      <c r="AN244" s="81">
        <f t="shared" si="58"/>
        <v>0</v>
      </c>
      <c r="AO244" s="81">
        <f t="shared" si="59"/>
        <v>0</v>
      </c>
      <c r="AP244" s="81">
        <f t="shared" si="60"/>
        <v>0</v>
      </c>
      <c r="AQ244" s="81">
        <f t="shared" si="61"/>
        <v>0</v>
      </c>
      <c r="AR244" s="81">
        <f t="shared" si="62"/>
        <v>0</v>
      </c>
      <c r="AS244" s="82">
        <v>422</v>
      </c>
      <c r="AT244" s="82"/>
      <c r="AU244" s="82">
        <v>2</v>
      </c>
      <c r="AV244" s="82">
        <v>2</v>
      </c>
      <c r="AW244" s="82">
        <f>2339195.20904876*(0.001)</f>
        <v>2339.195209048759</v>
      </c>
      <c r="AX244" s="82">
        <v>-500.0975772777943</v>
      </c>
      <c r="AY244" s="82">
        <v>1218.350915212234</v>
      </c>
      <c r="AZ244" s="408"/>
      <c r="BA244" s="81"/>
      <c r="BB244" s="81"/>
      <c r="BC244" s="81"/>
      <c r="BD244" s="81"/>
      <c r="BE244" s="81"/>
      <c r="BF244" s="81"/>
      <c r="BG244" s="81"/>
      <c r="BO244" s="114"/>
    </row>
    <row r="245" spans="1:67" ht="12.75">
      <c r="A245" s="81">
        <v>739</v>
      </c>
      <c r="B245" s="81" t="s">
        <v>364</v>
      </c>
      <c r="C245" s="81">
        <v>9</v>
      </c>
      <c r="D245" s="81">
        <v>3326</v>
      </c>
      <c r="E245" s="100">
        <v>8844631.889400043</v>
      </c>
      <c r="F245" s="81">
        <v>4780656.257137202</v>
      </c>
      <c r="G245" s="81">
        <v>1348582.0366349604</v>
      </c>
      <c r="H245" s="81">
        <v>813814.8244371668</v>
      </c>
      <c r="I245" s="156">
        <v>643552.0435938371</v>
      </c>
      <c r="J245" s="156">
        <v>672081.7978892613</v>
      </c>
      <c r="K245" s="81">
        <v>1249966.6024758017</v>
      </c>
      <c r="L245" s="81">
        <v>268532</v>
      </c>
      <c r="M245" s="82">
        <v>-29200</v>
      </c>
      <c r="N245" s="82">
        <v>32994.34097886545</v>
      </c>
      <c r="O245" s="214">
        <f t="shared" si="48"/>
        <v>936348.0137470514</v>
      </c>
      <c r="P245" s="215">
        <f t="shared" si="49"/>
        <v>281.5237563881694</v>
      </c>
      <c r="Q245" s="81"/>
      <c r="R245" s="223">
        <v>24955810</v>
      </c>
      <c r="S245" s="156">
        <v>10744100.360349827</v>
      </c>
      <c r="T245" s="156">
        <v>1220722.2366557503</v>
      </c>
      <c r="U245" s="156">
        <v>11132891.91009008</v>
      </c>
      <c r="V245" s="156">
        <v>2273208.868589323</v>
      </c>
      <c r="W245" s="156">
        <v>1587914.0366349604</v>
      </c>
      <c r="X245" s="214">
        <f t="shared" si="50"/>
        <v>2003027.4123199396</v>
      </c>
      <c r="Y245" s="215">
        <f t="shared" si="51"/>
        <v>602.2331365964942</v>
      </c>
      <c r="Z245" s="81"/>
      <c r="AA245" s="94">
        <f t="shared" si="52"/>
        <v>-1066679.3985728882</v>
      </c>
      <c r="AB245" s="153">
        <f t="shared" si="53"/>
        <v>-320.7093802083248</v>
      </c>
      <c r="AD245" s="216"/>
      <c r="AE245" s="224"/>
      <c r="AF245" s="224"/>
      <c r="AG245" s="224"/>
      <c r="AH245" s="225"/>
      <c r="AJ245" s="81">
        <f t="shared" si="54"/>
        <v>5963444.103212625</v>
      </c>
      <c r="AK245" s="81">
        <f t="shared" si="55"/>
        <v>406907.4122185835</v>
      </c>
      <c r="AL245" s="81">
        <f t="shared" si="56"/>
        <v>10489339.866496243</v>
      </c>
      <c r="AM245" s="81">
        <f t="shared" si="57"/>
        <v>16111178.110599957</v>
      </c>
      <c r="AN245" s="81">
        <f t="shared" si="58"/>
        <v>0</v>
      </c>
      <c r="AO245" s="81">
        <f t="shared" si="59"/>
        <v>0</v>
      </c>
      <c r="AP245" s="81">
        <f t="shared" si="60"/>
        <v>0</v>
      </c>
      <c r="AQ245" s="81">
        <f t="shared" si="61"/>
        <v>0</v>
      </c>
      <c r="AR245" s="81">
        <f t="shared" si="62"/>
        <v>0</v>
      </c>
      <c r="AS245" s="82">
        <v>1191</v>
      </c>
      <c r="AT245" s="82"/>
      <c r="AU245" s="82"/>
      <c r="AV245" s="82">
        <v>0</v>
      </c>
      <c r="AW245" s="82">
        <f>9146637.20299842*(0.001)</f>
        <v>9146.637202998423</v>
      </c>
      <c r="AX245" s="82">
        <v>-1110.8638505206436</v>
      </c>
      <c r="AY245" s="82">
        <v>1601.1270707000617</v>
      </c>
      <c r="AZ245" s="408"/>
      <c r="BA245" s="81"/>
      <c r="BB245" s="81"/>
      <c r="BC245" s="81"/>
      <c r="BD245" s="81"/>
      <c r="BE245" s="81"/>
      <c r="BF245" s="81"/>
      <c r="BG245" s="81"/>
      <c r="BO245" s="114"/>
    </row>
    <row r="246" spans="1:67" ht="12.75">
      <c r="A246" s="81">
        <v>740</v>
      </c>
      <c r="B246" s="81" t="s">
        <v>365</v>
      </c>
      <c r="C246" s="81">
        <v>10</v>
      </c>
      <c r="D246" s="81">
        <v>32662</v>
      </c>
      <c r="E246" s="100">
        <v>70637339.23042709</v>
      </c>
      <c r="F246" s="81">
        <v>55182110.37007367</v>
      </c>
      <c r="G246" s="81">
        <v>13583739.778990582</v>
      </c>
      <c r="H246" s="81">
        <v>7226400.856882159</v>
      </c>
      <c r="I246" s="156">
        <v>7496683.8822159935</v>
      </c>
      <c r="J246" s="156">
        <v>5686198.502041388</v>
      </c>
      <c r="K246" s="81">
        <v>-3973369.9635907765</v>
      </c>
      <c r="L246" s="81">
        <v>-1863677</v>
      </c>
      <c r="M246" s="82">
        <v>-1000000</v>
      </c>
      <c r="N246" s="82">
        <v>330902.8583787053</v>
      </c>
      <c r="O246" s="214">
        <f t="shared" si="48"/>
        <v>12031650.054564625</v>
      </c>
      <c r="P246" s="215">
        <f t="shared" si="49"/>
        <v>368.3684420600277</v>
      </c>
      <c r="Q246" s="81"/>
      <c r="R246" s="223">
        <v>224635960</v>
      </c>
      <c r="S246" s="156">
        <v>115457669.73482147</v>
      </c>
      <c r="T246" s="156">
        <v>10839601.28532324</v>
      </c>
      <c r="U246" s="156">
        <v>79357883.375509</v>
      </c>
      <c r="V246" s="156">
        <v>19324549.66680409</v>
      </c>
      <c r="W246" s="156">
        <v>10720062.778990582</v>
      </c>
      <c r="X246" s="214">
        <f t="shared" si="50"/>
        <v>11063806.841448367</v>
      </c>
      <c r="Y246" s="215">
        <f t="shared" si="51"/>
        <v>338.736355442054</v>
      </c>
      <c r="Z246" s="81"/>
      <c r="AA246" s="94">
        <f t="shared" si="52"/>
        <v>967843.2131162584</v>
      </c>
      <c r="AB246" s="153">
        <f t="shared" si="53"/>
        <v>29.632086617973744</v>
      </c>
      <c r="AD246" s="216"/>
      <c r="AE246" s="224"/>
      <c r="AF246" s="224"/>
      <c r="AG246" s="224"/>
      <c r="AH246" s="225"/>
      <c r="AJ246" s="81">
        <f t="shared" si="54"/>
        <v>60275559.3647478</v>
      </c>
      <c r="AK246" s="81">
        <f t="shared" si="55"/>
        <v>3613200.428441081</v>
      </c>
      <c r="AL246" s="81">
        <f t="shared" si="56"/>
        <v>71861199.493293</v>
      </c>
      <c r="AM246" s="81">
        <f t="shared" si="57"/>
        <v>153998620.7695729</v>
      </c>
      <c r="AN246" s="81">
        <f t="shared" si="58"/>
        <v>0</v>
      </c>
      <c r="AO246" s="81">
        <f t="shared" si="59"/>
        <v>0</v>
      </c>
      <c r="AP246" s="81">
        <f t="shared" si="60"/>
        <v>0</v>
      </c>
      <c r="AQ246" s="81">
        <f t="shared" si="61"/>
        <v>0</v>
      </c>
      <c r="AR246" s="81">
        <f t="shared" si="62"/>
        <v>0</v>
      </c>
      <c r="AS246" s="82">
        <v>9627</v>
      </c>
      <c r="AT246" s="82"/>
      <c r="AU246" s="82"/>
      <c r="AV246" s="82">
        <v>0</v>
      </c>
      <c r="AW246" s="82">
        <f>62723075.0907061*(0.001)</f>
        <v>62723.0750907061</v>
      </c>
      <c r="AX246" s="82">
        <v>-7472.074479027081</v>
      </c>
      <c r="AY246" s="82">
        <v>13638.351164762702</v>
      </c>
      <c r="AZ246" s="408"/>
      <c r="BA246" s="81"/>
      <c r="BB246" s="81"/>
      <c r="BC246" s="81"/>
      <c r="BD246" s="81"/>
      <c r="BE246" s="81"/>
      <c r="BF246" s="81"/>
      <c r="BG246" s="81"/>
      <c r="BO246" s="114"/>
    </row>
    <row r="247" spans="1:67" ht="12.75">
      <c r="A247" s="81">
        <v>742</v>
      </c>
      <c r="B247" s="81" t="s">
        <v>366</v>
      </c>
      <c r="C247" s="81">
        <v>19</v>
      </c>
      <c r="D247" s="81">
        <v>1009</v>
      </c>
      <c r="E247" s="100">
        <v>4057564.1427939236</v>
      </c>
      <c r="F247" s="81">
        <v>1326291.339346782</v>
      </c>
      <c r="G247" s="81">
        <v>393397.7141403985</v>
      </c>
      <c r="H247" s="81">
        <v>772000.2893537424</v>
      </c>
      <c r="I247" s="156">
        <v>833860.4510284143</v>
      </c>
      <c r="J247" s="156">
        <v>210782.43843632145</v>
      </c>
      <c r="K247" s="81">
        <v>-259631.94318136584</v>
      </c>
      <c r="L247" s="81">
        <v>183376</v>
      </c>
      <c r="M247" s="82">
        <v>-10500</v>
      </c>
      <c r="N247" s="82">
        <v>10165.459887647294</v>
      </c>
      <c r="O247" s="214">
        <f t="shared" si="48"/>
        <v>-597822.3937819833</v>
      </c>
      <c r="P247" s="215">
        <f t="shared" si="49"/>
        <v>-592.4899839266435</v>
      </c>
      <c r="Q247" s="81"/>
      <c r="R247" s="223">
        <v>9777000</v>
      </c>
      <c r="S247" s="156">
        <v>2902977.8518093755</v>
      </c>
      <c r="T247" s="156">
        <v>1158000.4340306136</v>
      </c>
      <c r="U247" s="156">
        <v>3909996.31328253</v>
      </c>
      <c r="V247" s="156">
        <v>713051.3431884551</v>
      </c>
      <c r="W247" s="156">
        <v>566273.7141403984</v>
      </c>
      <c r="X247" s="214">
        <f t="shared" si="50"/>
        <v>-526700.3435486276</v>
      </c>
      <c r="Y247" s="215">
        <f t="shared" si="51"/>
        <v>-522.0023226448242</v>
      </c>
      <c r="Z247" s="81"/>
      <c r="AA247" s="94">
        <f t="shared" si="52"/>
        <v>-71122.05023335572</v>
      </c>
      <c r="AB247" s="153">
        <f t="shared" si="53"/>
        <v>-70.48766128181934</v>
      </c>
      <c r="AD247" s="216"/>
      <c r="AE247" s="224"/>
      <c r="AF247" s="224"/>
      <c r="AG247" s="224"/>
      <c r="AH247" s="225"/>
      <c r="AJ247" s="81">
        <f t="shared" si="54"/>
        <v>1576686.5124625934</v>
      </c>
      <c r="AK247" s="81">
        <f t="shared" si="55"/>
        <v>386000.14467687125</v>
      </c>
      <c r="AL247" s="81">
        <f t="shared" si="56"/>
        <v>3076135.8622541158</v>
      </c>
      <c r="AM247" s="81">
        <f t="shared" si="57"/>
        <v>5719435.857206076</v>
      </c>
      <c r="AN247" s="81">
        <f t="shared" si="58"/>
        <v>0</v>
      </c>
      <c r="AO247" s="81">
        <f t="shared" si="59"/>
        <v>0</v>
      </c>
      <c r="AP247" s="81">
        <f t="shared" si="60"/>
        <v>0</v>
      </c>
      <c r="AQ247" s="81">
        <f t="shared" si="61"/>
        <v>0</v>
      </c>
      <c r="AR247" s="81">
        <f t="shared" si="62"/>
        <v>0</v>
      </c>
      <c r="AS247" s="82">
        <v>289</v>
      </c>
      <c r="AT247" s="82">
        <v>1</v>
      </c>
      <c r="AU247" s="82"/>
      <c r="AV247" s="82">
        <v>1</v>
      </c>
      <c r="AW247" s="82">
        <f>2707627.80366063*(0.001)</f>
        <v>2707.6278036606277</v>
      </c>
      <c r="AX247" s="82">
        <v>-124.76205193195025</v>
      </c>
      <c r="AY247" s="82">
        <v>502.26890475213366</v>
      </c>
      <c r="AZ247" s="408"/>
      <c r="BA247" s="81"/>
      <c r="BB247" s="81"/>
      <c r="BC247" s="81"/>
      <c r="BD247" s="81"/>
      <c r="BE247" s="81"/>
      <c r="BF247" s="81"/>
      <c r="BG247" s="81"/>
      <c r="BO247" s="114"/>
    </row>
    <row r="248" spans="1:67" ht="12.75">
      <c r="A248" s="81">
        <v>743</v>
      </c>
      <c r="B248" s="81" t="s">
        <v>367</v>
      </c>
      <c r="C248" s="81">
        <v>14</v>
      </c>
      <c r="D248" s="81">
        <v>64130</v>
      </c>
      <c r="E248" s="100">
        <v>186658030.5853551</v>
      </c>
      <c r="F248" s="81">
        <v>97998662.02640124</v>
      </c>
      <c r="G248" s="81">
        <v>27074210.863511812</v>
      </c>
      <c r="H248" s="81">
        <v>11498790.714672716</v>
      </c>
      <c r="I248" s="156">
        <v>32571754.089847244</v>
      </c>
      <c r="J248" s="156">
        <v>8783704.817033958</v>
      </c>
      <c r="K248" s="81">
        <v>-3977403.015469175</v>
      </c>
      <c r="L248" s="81">
        <v>-2934720</v>
      </c>
      <c r="M248" s="82">
        <v>8290000</v>
      </c>
      <c r="N248" s="82">
        <v>700678.2434861787</v>
      </c>
      <c r="O248" s="214">
        <f t="shared" si="48"/>
        <v>-6652352.8458711505</v>
      </c>
      <c r="P248" s="215">
        <f t="shared" si="49"/>
        <v>-103.73230696820755</v>
      </c>
      <c r="Q248" s="81"/>
      <c r="R248" s="223">
        <v>413304000</v>
      </c>
      <c r="S248" s="156">
        <v>227532062.98498452</v>
      </c>
      <c r="T248" s="156">
        <v>17248186.072009075</v>
      </c>
      <c r="U248" s="156">
        <v>97614347.05441257</v>
      </c>
      <c r="V248" s="156">
        <v>29993493.998122204</v>
      </c>
      <c r="W248" s="156">
        <v>32429490.863511812</v>
      </c>
      <c r="X248" s="214">
        <f t="shared" si="50"/>
        <v>-8486419.026959777</v>
      </c>
      <c r="Y248" s="215">
        <f t="shared" si="51"/>
        <v>-132.3314989390266</v>
      </c>
      <c r="Z248" s="81"/>
      <c r="AA248" s="94">
        <f t="shared" si="52"/>
        <v>1834066.1810886264</v>
      </c>
      <c r="AB248" s="153">
        <f t="shared" si="53"/>
        <v>28.59919197081906</v>
      </c>
      <c r="AD248" s="216"/>
      <c r="AE248" s="224"/>
      <c r="AF248" s="224"/>
      <c r="AG248" s="224"/>
      <c r="AH248" s="225"/>
      <c r="AJ248" s="81">
        <f t="shared" si="54"/>
        <v>129533400.95858328</v>
      </c>
      <c r="AK248" s="81">
        <f t="shared" si="55"/>
        <v>5749395.357336359</v>
      </c>
      <c r="AL248" s="81">
        <f t="shared" si="56"/>
        <v>65042592.96456533</v>
      </c>
      <c r="AM248" s="81">
        <f t="shared" si="57"/>
        <v>226645969.4146449</v>
      </c>
      <c r="AN248" s="81">
        <f t="shared" si="58"/>
        <v>0</v>
      </c>
      <c r="AO248" s="81">
        <f t="shared" si="59"/>
        <v>0</v>
      </c>
      <c r="AP248" s="81">
        <f t="shared" si="60"/>
        <v>0</v>
      </c>
      <c r="AQ248" s="81">
        <f t="shared" si="61"/>
        <v>0</v>
      </c>
      <c r="AR248" s="81">
        <f t="shared" si="62"/>
        <v>0</v>
      </c>
      <c r="AS248" s="82">
        <v>22197</v>
      </c>
      <c r="AT248" s="82">
        <v>263</v>
      </c>
      <c r="AU248" s="82">
        <v>781</v>
      </c>
      <c r="AV248" s="82">
        <v>1044</v>
      </c>
      <c r="AW248" s="82">
        <f>56124723.5385929*(0.001)</f>
        <v>56124.72353859292</v>
      </c>
      <c r="AX248" s="82">
        <v>-8129.824860449713</v>
      </c>
      <c r="AY248" s="82">
        <v>21209.789181088247</v>
      </c>
      <c r="AZ248" s="408"/>
      <c r="BA248" s="81"/>
      <c r="BB248" s="81"/>
      <c r="BC248" s="81"/>
      <c r="BD248" s="81"/>
      <c r="BE248" s="81"/>
      <c r="BF248" s="81"/>
      <c r="BG248" s="81"/>
      <c r="BO248" s="114"/>
    </row>
    <row r="249" spans="1:67" ht="12.75">
      <c r="A249" s="81">
        <v>746</v>
      </c>
      <c r="B249" s="81" t="s">
        <v>368</v>
      </c>
      <c r="C249" s="81">
        <v>17</v>
      </c>
      <c r="D249" s="81">
        <v>4834</v>
      </c>
      <c r="E249" s="100">
        <v>15220489.544060927</v>
      </c>
      <c r="F249" s="81">
        <v>6654870.659096978</v>
      </c>
      <c r="G249" s="81">
        <v>1097724.8246867761</v>
      </c>
      <c r="H249" s="81">
        <v>1889190.8481880915</v>
      </c>
      <c r="I249" s="156">
        <v>7717658.42039163</v>
      </c>
      <c r="J249" s="156">
        <v>824593.7867496058</v>
      </c>
      <c r="K249" s="81">
        <v>-10334.870270398706</v>
      </c>
      <c r="L249" s="81">
        <v>178416</v>
      </c>
      <c r="M249" s="82">
        <v>-24250</v>
      </c>
      <c r="N249" s="82">
        <v>46540.08710441239</v>
      </c>
      <c r="O249" s="214">
        <f t="shared" si="48"/>
        <v>3153920.2118861675</v>
      </c>
      <c r="P249" s="215">
        <f t="shared" si="49"/>
        <v>652.4452238076474</v>
      </c>
      <c r="Q249" s="81"/>
      <c r="R249" s="223">
        <v>36233014</v>
      </c>
      <c r="S249" s="156">
        <v>14695959.010405576</v>
      </c>
      <c r="T249" s="156">
        <v>2833786.2722821375</v>
      </c>
      <c r="U249" s="156">
        <v>17294286.709787376</v>
      </c>
      <c r="V249" s="156">
        <v>2788522.742201189</v>
      </c>
      <c r="W249" s="156">
        <v>1251890.8246867761</v>
      </c>
      <c r="X249" s="214">
        <f t="shared" si="50"/>
        <v>2631431.5593630597</v>
      </c>
      <c r="Y249" s="215">
        <f t="shared" si="51"/>
        <v>544.3590317259122</v>
      </c>
      <c r="Z249" s="81"/>
      <c r="AA249" s="94">
        <f t="shared" si="52"/>
        <v>522488.6525231078</v>
      </c>
      <c r="AB249" s="153">
        <f t="shared" si="53"/>
        <v>108.08619208173518</v>
      </c>
      <c r="AD249" s="216"/>
      <c r="AE249" s="224"/>
      <c r="AF249" s="224"/>
      <c r="AG249" s="224"/>
      <c r="AH249" s="225"/>
      <c r="AJ249" s="81">
        <f t="shared" si="54"/>
        <v>8041088.351308598</v>
      </c>
      <c r="AK249" s="81">
        <f t="shared" si="55"/>
        <v>944595.424094046</v>
      </c>
      <c r="AL249" s="81">
        <f t="shared" si="56"/>
        <v>9576628.289395746</v>
      </c>
      <c r="AM249" s="81">
        <f t="shared" si="57"/>
        <v>21012524.455939073</v>
      </c>
      <c r="AN249" s="81">
        <f t="shared" si="58"/>
        <v>0</v>
      </c>
      <c r="AO249" s="81">
        <f t="shared" si="59"/>
        <v>0</v>
      </c>
      <c r="AP249" s="81">
        <f t="shared" si="60"/>
        <v>0</v>
      </c>
      <c r="AQ249" s="81">
        <f t="shared" si="61"/>
        <v>0</v>
      </c>
      <c r="AR249" s="81">
        <f t="shared" si="62"/>
        <v>0</v>
      </c>
      <c r="AS249" s="82">
        <v>924</v>
      </c>
      <c r="AT249" s="82"/>
      <c r="AU249" s="82"/>
      <c r="AV249" s="82">
        <v>0</v>
      </c>
      <c r="AW249" s="82">
        <f>7808428.50134057*(0.001)</f>
        <v>7808.42850134057</v>
      </c>
      <c r="AX249" s="82">
        <v>-2286.0215236143927</v>
      </c>
      <c r="AY249" s="82">
        <v>1963.9289554515833</v>
      </c>
      <c r="AZ249" s="408"/>
      <c r="BA249" s="81"/>
      <c r="BB249" s="81"/>
      <c r="BC249" s="81"/>
      <c r="BD249" s="81"/>
      <c r="BE249" s="81"/>
      <c r="BF249" s="81"/>
      <c r="BG249" s="81"/>
      <c r="BO249" s="114"/>
    </row>
    <row r="250" spans="1:67" ht="12.75">
      <c r="A250" s="81">
        <v>747</v>
      </c>
      <c r="B250" s="81" t="s">
        <v>369</v>
      </c>
      <c r="C250" s="81">
        <v>4</v>
      </c>
      <c r="D250" s="81">
        <v>1385</v>
      </c>
      <c r="E250" s="100">
        <v>4406214.878556283</v>
      </c>
      <c r="F250" s="81">
        <v>1657702.8668818758</v>
      </c>
      <c r="G250" s="81">
        <v>709930.0252171414</v>
      </c>
      <c r="H250" s="81">
        <v>470823.1838815405</v>
      </c>
      <c r="I250" s="156">
        <v>895468.9997036549</v>
      </c>
      <c r="J250" s="156">
        <v>312894.7599525369</v>
      </c>
      <c r="K250" s="81">
        <v>320050.20173049014</v>
      </c>
      <c r="L250" s="81">
        <v>-368899</v>
      </c>
      <c r="M250" s="82">
        <v>-2368</v>
      </c>
      <c r="N250" s="82">
        <v>10962.170516667467</v>
      </c>
      <c r="O250" s="214">
        <f t="shared" si="48"/>
        <v>-399649.6706723762</v>
      </c>
      <c r="P250" s="215">
        <f t="shared" si="49"/>
        <v>-288.55571889702253</v>
      </c>
      <c r="Q250" s="81"/>
      <c r="R250" s="223">
        <v>10647190.45</v>
      </c>
      <c r="S250" s="156">
        <v>3538802.0913868533</v>
      </c>
      <c r="T250" s="156">
        <v>706234.7758223108</v>
      </c>
      <c r="U250" s="156">
        <v>4896248.188249236</v>
      </c>
      <c r="V250" s="156">
        <v>1055541.6960247124</v>
      </c>
      <c r="W250" s="156">
        <v>338663.0252171414</v>
      </c>
      <c r="X250" s="214">
        <f t="shared" si="50"/>
        <v>-111700.67329974473</v>
      </c>
      <c r="Y250" s="215">
        <f t="shared" si="51"/>
        <v>-80.65030563158464</v>
      </c>
      <c r="Z250" s="81"/>
      <c r="AA250" s="94">
        <f t="shared" si="52"/>
        <v>-287948.99737263145</v>
      </c>
      <c r="AB250" s="153">
        <f t="shared" si="53"/>
        <v>-207.90541326543786</v>
      </c>
      <c r="AD250" s="216"/>
      <c r="AE250" s="224"/>
      <c r="AF250" s="224"/>
      <c r="AG250" s="224"/>
      <c r="AH250" s="225"/>
      <c r="AJ250" s="81">
        <f t="shared" si="54"/>
        <v>1881099.2245049775</v>
      </c>
      <c r="AK250" s="81">
        <f t="shared" si="55"/>
        <v>235411.59194077033</v>
      </c>
      <c r="AL250" s="81">
        <f t="shared" si="56"/>
        <v>4000779.188545581</v>
      </c>
      <c r="AM250" s="81">
        <f t="shared" si="57"/>
        <v>6240975.571443716</v>
      </c>
      <c r="AN250" s="81">
        <f t="shared" si="58"/>
        <v>0</v>
      </c>
      <c r="AO250" s="81">
        <f t="shared" si="59"/>
        <v>0</v>
      </c>
      <c r="AP250" s="81">
        <f t="shared" si="60"/>
        <v>0</v>
      </c>
      <c r="AQ250" s="81">
        <f t="shared" si="61"/>
        <v>0</v>
      </c>
      <c r="AR250" s="81">
        <f t="shared" si="62"/>
        <v>0</v>
      </c>
      <c r="AS250" s="82">
        <v>537</v>
      </c>
      <c r="AT250" s="82"/>
      <c r="AU250" s="82"/>
      <c r="AV250" s="82">
        <v>0</v>
      </c>
      <c r="AW250" s="82">
        <f>3069079.15751456*(0.001)</f>
        <v>3069.0791575145554</v>
      </c>
      <c r="AX250" s="82">
        <v>-857.7547504556925</v>
      </c>
      <c r="AY250" s="82">
        <v>742.6469360721755</v>
      </c>
      <c r="AZ250" s="408"/>
      <c r="BA250" s="81"/>
      <c r="BB250" s="81"/>
      <c r="BC250" s="81"/>
      <c r="BD250" s="81"/>
      <c r="BE250" s="81"/>
      <c r="BF250" s="81"/>
      <c r="BG250" s="81"/>
      <c r="BO250" s="114"/>
    </row>
    <row r="251" spans="1:67" ht="12.75">
      <c r="A251" s="81">
        <v>748</v>
      </c>
      <c r="B251" s="81" t="s">
        <v>370</v>
      </c>
      <c r="C251" s="81">
        <v>17</v>
      </c>
      <c r="D251" s="81">
        <v>5034</v>
      </c>
      <c r="E251" s="100">
        <v>16479194.167653892</v>
      </c>
      <c r="F251" s="81">
        <v>7040650.713664056</v>
      </c>
      <c r="G251" s="81">
        <v>1332633.9783820333</v>
      </c>
      <c r="H251" s="81">
        <v>770177.447182958</v>
      </c>
      <c r="I251" s="156">
        <v>6804453.714039025</v>
      </c>
      <c r="J251" s="156">
        <v>877325.2471637782</v>
      </c>
      <c r="K251" s="81">
        <v>371055.8980924757</v>
      </c>
      <c r="L251" s="81">
        <v>-41219</v>
      </c>
      <c r="M251" s="82">
        <v>-22300</v>
      </c>
      <c r="N251" s="82">
        <v>44266.712809916644</v>
      </c>
      <c r="O251" s="214">
        <f t="shared" si="48"/>
        <v>697850.5436803475</v>
      </c>
      <c r="P251" s="215">
        <f t="shared" si="49"/>
        <v>138.6274421295883</v>
      </c>
      <c r="Q251" s="81"/>
      <c r="R251" s="223">
        <v>36533917</v>
      </c>
      <c r="S251" s="156">
        <v>15202316.150503978</v>
      </c>
      <c r="T251" s="156">
        <v>1155266.170774437</v>
      </c>
      <c r="U251" s="156">
        <v>16504757.479712732</v>
      </c>
      <c r="V251" s="156">
        <v>2970392.192247632</v>
      </c>
      <c r="W251" s="156">
        <v>1269114.9783820333</v>
      </c>
      <c r="X251" s="214">
        <f t="shared" si="50"/>
        <v>567929.971620813</v>
      </c>
      <c r="Y251" s="215">
        <f t="shared" si="51"/>
        <v>112.81882630528665</v>
      </c>
      <c r="Z251" s="81"/>
      <c r="AA251" s="94">
        <f t="shared" si="52"/>
        <v>129920.57205953449</v>
      </c>
      <c r="AB251" s="153">
        <f t="shared" si="53"/>
        <v>25.808615824301647</v>
      </c>
      <c r="AD251" s="216"/>
      <c r="AE251" s="224"/>
      <c r="AF251" s="224"/>
      <c r="AG251" s="224"/>
      <c r="AH251" s="225"/>
      <c r="AJ251" s="81">
        <f t="shared" si="54"/>
        <v>8161665.436839922</v>
      </c>
      <c r="AK251" s="81">
        <f t="shared" si="55"/>
        <v>385088.723591479</v>
      </c>
      <c r="AL251" s="81">
        <f t="shared" si="56"/>
        <v>9700303.765673708</v>
      </c>
      <c r="AM251" s="81">
        <f t="shared" si="57"/>
        <v>20054722.832346108</v>
      </c>
      <c r="AN251" s="81">
        <f t="shared" si="58"/>
        <v>0</v>
      </c>
      <c r="AO251" s="81">
        <f t="shared" si="59"/>
        <v>0</v>
      </c>
      <c r="AP251" s="81">
        <f t="shared" si="60"/>
        <v>0</v>
      </c>
      <c r="AQ251" s="81">
        <f t="shared" si="61"/>
        <v>0</v>
      </c>
      <c r="AR251" s="81">
        <f t="shared" si="62"/>
        <v>0</v>
      </c>
      <c r="AS251" s="82">
        <v>1289</v>
      </c>
      <c r="AT251" s="82"/>
      <c r="AU251" s="82"/>
      <c r="AV251" s="82">
        <v>0</v>
      </c>
      <c r="AW251" s="82">
        <f>7785927.14806848*(0.001)</f>
        <v>7785.927148068484</v>
      </c>
      <c r="AX251" s="82">
        <v>-2293.9827583209244</v>
      </c>
      <c r="AY251" s="82">
        <v>2093.0669450838536</v>
      </c>
      <c r="AZ251" s="408"/>
      <c r="BA251" s="81"/>
      <c r="BB251" s="81"/>
      <c r="BC251" s="81"/>
      <c r="BD251" s="81"/>
      <c r="BE251" s="81"/>
      <c r="BF251" s="81"/>
      <c r="BG251" s="81"/>
      <c r="BO251" s="114"/>
    </row>
    <row r="252" spans="1:67" ht="12.75">
      <c r="A252" s="81">
        <v>749</v>
      </c>
      <c r="B252" s="81" t="s">
        <v>371</v>
      </c>
      <c r="C252" s="81">
        <v>11</v>
      </c>
      <c r="D252" s="81">
        <v>21251</v>
      </c>
      <c r="E252" s="100">
        <v>62510977.92515448</v>
      </c>
      <c r="F252" s="81">
        <v>37047355.986656465</v>
      </c>
      <c r="G252" s="81">
        <v>5712026.047901215</v>
      </c>
      <c r="H252" s="81">
        <v>3776538.4940332123</v>
      </c>
      <c r="I252" s="156">
        <v>15208187.342183117</v>
      </c>
      <c r="J252" s="156">
        <v>2697649.0864693075</v>
      </c>
      <c r="K252" s="81">
        <v>-4826154.488493353</v>
      </c>
      <c r="L252" s="81">
        <v>-1827813</v>
      </c>
      <c r="M252" s="82">
        <v>933700</v>
      </c>
      <c r="N252" s="82">
        <v>237455.07862753246</v>
      </c>
      <c r="O252" s="214">
        <f t="shared" si="48"/>
        <v>-3552033.3777769804</v>
      </c>
      <c r="P252" s="215">
        <f t="shared" si="49"/>
        <v>-167.14664617086163</v>
      </c>
      <c r="Q252" s="81"/>
      <c r="R252" s="223">
        <v>145154876</v>
      </c>
      <c r="S252" s="156">
        <v>81005503.88586143</v>
      </c>
      <c r="T252" s="156">
        <v>5664807.741049819</v>
      </c>
      <c r="U252" s="156">
        <v>36557035.34733789</v>
      </c>
      <c r="V252" s="156">
        <v>9244974.390317729</v>
      </c>
      <c r="W252" s="156">
        <v>4817913.047901215</v>
      </c>
      <c r="X252" s="214">
        <f t="shared" si="50"/>
        <v>-7864641.587531924</v>
      </c>
      <c r="Y252" s="215">
        <f t="shared" si="51"/>
        <v>-370.0833649019775</v>
      </c>
      <c r="Z252" s="81"/>
      <c r="AA252" s="94">
        <f t="shared" si="52"/>
        <v>4312608.209754944</v>
      </c>
      <c r="AB252" s="153">
        <f t="shared" si="53"/>
        <v>202.9367187311159</v>
      </c>
      <c r="AD252" s="216"/>
      <c r="AE252" s="224"/>
      <c r="AF252" s="224"/>
      <c r="AG252" s="224"/>
      <c r="AH252" s="225"/>
      <c r="AJ252" s="81">
        <f t="shared" si="54"/>
        <v>43958147.89920496</v>
      </c>
      <c r="AK252" s="81">
        <f t="shared" si="55"/>
        <v>1888269.2470166064</v>
      </c>
      <c r="AL252" s="81">
        <f t="shared" si="56"/>
        <v>21348848.00515477</v>
      </c>
      <c r="AM252" s="81">
        <f t="shared" si="57"/>
        <v>82643898.07484552</v>
      </c>
      <c r="AN252" s="81">
        <f t="shared" si="58"/>
        <v>0</v>
      </c>
      <c r="AO252" s="81">
        <f t="shared" si="59"/>
        <v>0</v>
      </c>
      <c r="AP252" s="81">
        <f t="shared" si="60"/>
        <v>0</v>
      </c>
      <c r="AQ252" s="81">
        <f t="shared" si="61"/>
        <v>0</v>
      </c>
      <c r="AR252" s="81">
        <f t="shared" si="62"/>
        <v>0</v>
      </c>
      <c r="AS252" s="82">
        <v>7420</v>
      </c>
      <c r="AT252" s="82">
        <v>11</v>
      </c>
      <c r="AU252" s="82"/>
      <c r="AV252" s="82">
        <v>11</v>
      </c>
      <c r="AW252" s="82">
        <f>21004592.1127646*(0.001)</f>
        <v>21004.59211276461</v>
      </c>
      <c r="AX252" s="82">
        <v>-1449.2004077773913</v>
      </c>
      <c r="AY252" s="82">
        <v>6547.325303848421</v>
      </c>
      <c r="AZ252" s="408"/>
      <c r="BA252" s="81"/>
      <c r="BB252" s="81"/>
      <c r="BC252" s="81"/>
      <c r="BD252" s="81"/>
      <c r="BE252" s="81"/>
      <c r="BF252" s="81"/>
      <c r="BG252" s="81"/>
      <c r="BO252" s="114"/>
    </row>
    <row r="253" spans="1:67" ht="12.75">
      <c r="A253" s="81">
        <v>751</v>
      </c>
      <c r="B253" s="81" t="s">
        <v>372</v>
      </c>
      <c r="C253" s="81">
        <v>19</v>
      </c>
      <c r="D253" s="81">
        <v>2950</v>
      </c>
      <c r="E253" s="100">
        <v>8651666.96127035</v>
      </c>
      <c r="F253" s="81">
        <v>5134256.75454121</v>
      </c>
      <c r="G253" s="81">
        <v>2278261.6708342955</v>
      </c>
      <c r="H253" s="81">
        <v>230918.73566643725</v>
      </c>
      <c r="I253" s="156">
        <v>2434038.5580980224</v>
      </c>
      <c r="J253" s="156">
        <v>472292.5864438354</v>
      </c>
      <c r="K253" s="81">
        <v>-35165.633173591385</v>
      </c>
      <c r="L253" s="81">
        <v>285250</v>
      </c>
      <c r="M253" s="82">
        <v>-70000</v>
      </c>
      <c r="N253" s="82">
        <v>33198.434429066176</v>
      </c>
      <c r="O253" s="214">
        <f t="shared" si="48"/>
        <v>2111384.145568926</v>
      </c>
      <c r="P253" s="215">
        <f t="shared" si="49"/>
        <v>715.7234391759071</v>
      </c>
      <c r="Q253" s="81"/>
      <c r="R253" s="223">
        <v>22016200</v>
      </c>
      <c r="S253" s="156">
        <v>11428554.054089608</v>
      </c>
      <c r="T253" s="156">
        <v>346378.1034996559</v>
      </c>
      <c r="U253" s="156">
        <v>7951859.431946892</v>
      </c>
      <c r="V253" s="156">
        <v>1608233.945309372</v>
      </c>
      <c r="W253" s="156">
        <v>2493511.6708342955</v>
      </c>
      <c r="X253" s="214">
        <f t="shared" si="50"/>
        <v>1812337.2056798227</v>
      </c>
      <c r="Y253" s="215">
        <f t="shared" si="51"/>
        <v>614.3515951457026</v>
      </c>
      <c r="Z253" s="81"/>
      <c r="AA253" s="94">
        <f t="shared" si="52"/>
        <v>299046.9398891032</v>
      </c>
      <c r="AB253" s="153">
        <f t="shared" si="53"/>
        <v>101.37184403020447</v>
      </c>
      <c r="AD253" s="216"/>
      <c r="AE253" s="224"/>
      <c r="AF253" s="224"/>
      <c r="AG253" s="224"/>
      <c r="AH253" s="225"/>
      <c r="AJ253" s="81">
        <f t="shared" si="54"/>
        <v>6294297.299548398</v>
      </c>
      <c r="AK253" s="81">
        <f t="shared" si="55"/>
        <v>115459.36783321865</v>
      </c>
      <c r="AL253" s="81">
        <f t="shared" si="56"/>
        <v>5517820.87384887</v>
      </c>
      <c r="AM253" s="81">
        <f t="shared" si="57"/>
        <v>13364533.03872965</v>
      </c>
      <c r="AN253" s="81">
        <f t="shared" si="58"/>
        <v>0</v>
      </c>
      <c r="AO253" s="81">
        <f t="shared" si="59"/>
        <v>0</v>
      </c>
      <c r="AP253" s="81">
        <f t="shared" si="60"/>
        <v>0</v>
      </c>
      <c r="AQ253" s="81">
        <f t="shared" si="61"/>
        <v>0</v>
      </c>
      <c r="AR253" s="81">
        <f t="shared" si="62"/>
        <v>0</v>
      </c>
      <c r="AS253" s="82">
        <v>914</v>
      </c>
      <c r="AT253" s="82"/>
      <c r="AU253" s="82">
        <v>26</v>
      </c>
      <c r="AV253" s="82">
        <v>26</v>
      </c>
      <c r="AW253" s="82">
        <f>5239845.45487749*(0.001)</f>
        <v>5239.845454877491</v>
      </c>
      <c r="AX253" s="82">
        <v>-554.9352107390224</v>
      </c>
      <c r="AY253" s="82">
        <v>1135.9413588655366</v>
      </c>
      <c r="AZ253" s="408"/>
      <c r="BA253" s="81"/>
      <c r="BB253" s="81"/>
      <c r="BC253" s="81"/>
      <c r="BD253" s="81"/>
      <c r="BE253" s="81"/>
      <c r="BF253" s="81"/>
      <c r="BG253" s="81"/>
      <c r="BO253" s="114"/>
    </row>
    <row r="254" spans="1:67" ht="12.75">
      <c r="A254" s="81">
        <v>753</v>
      </c>
      <c r="B254" s="81" t="s">
        <v>373</v>
      </c>
      <c r="C254" s="81">
        <v>1</v>
      </c>
      <c r="D254" s="81">
        <v>21687</v>
      </c>
      <c r="E254" s="100">
        <v>66443942.113630235</v>
      </c>
      <c r="F254" s="81">
        <v>33278482.35220259</v>
      </c>
      <c r="G254" s="81">
        <v>10304397.78507081</v>
      </c>
      <c r="H254" s="81">
        <v>3555211.152329093</v>
      </c>
      <c r="I254" s="156">
        <v>11615898.719834961</v>
      </c>
      <c r="J254" s="156">
        <v>2089935.253524783</v>
      </c>
      <c r="K254" s="81">
        <v>1712071.8335582328</v>
      </c>
      <c r="L254" s="81">
        <v>-2521701</v>
      </c>
      <c r="M254" s="82">
        <v>-671000</v>
      </c>
      <c r="N254" s="82">
        <v>308012.94162403315</v>
      </c>
      <c r="O254" s="214">
        <f t="shared" si="48"/>
        <v>-6772633.075485736</v>
      </c>
      <c r="P254" s="215">
        <f t="shared" si="49"/>
        <v>-312.28999287525875</v>
      </c>
      <c r="Q254" s="81"/>
      <c r="R254" s="223">
        <v>130663000</v>
      </c>
      <c r="S254" s="156">
        <v>90970187.30731797</v>
      </c>
      <c r="T254" s="156">
        <v>5332816.72849364</v>
      </c>
      <c r="U254" s="156">
        <v>14246400.366831847</v>
      </c>
      <c r="V254" s="156">
        <v>7252738.492419898</v>
      </c>
      <c r="W254" s="156">
        <v>7111696.7850708105</v>
      </c>
      <c r="X254" s="214">
        <f t="shared" si="50"/>
        <v>-5749160.319865823</v>
      </c>
      <c r="Y254" s="215">
        <f t="shared" si="51"/>
        <v>-265.09707750568646</v>
      </c>
      <c r="Z254" s="81"/>
      <c r="AA254" s="94">
        <f t="shared" si="52"/>
        <v>-1023472.7556199133</v>
      </c>
      <c r="AB254" s="153">
        <f t="shared" si="53"/>
        <v>-47.19291536957225</v>
      </c>
      <c r="AD254" s="216"/>
      <c r="AE254" s="224"/>
      <c r="AF254" s="224"/>
      <c r="AG254" s="224"/>
      <c r="AH254" s="225"/>
      <c r="AJ254" s="81">
        <f t="shared" si="54"/>
        <v>57691704.95511538</v>
      </c>
      <c r="AK254" s="81">
        <f t="shared" si="55"/>
        <v>1777605.5761645474</v>
      </c>
      <c r="AL254" s="81">
        <f t="shared" si="56"/>
        <v>2630501.6469968855</v>
      </c>
      <c r="AM254" s="81">
        <f t="shared" si="57"/>
        <v>64219057.886369765</v>
      </c>
      <c r="AN254" s="81">
        <f t="shared" si="58"/>
        <v>0</v>
      </c>
      <c r="AO254" s="81">
        <f t="shared" si="59"/>
        <v>0</v>
      </c>
      <c r="AP254" s="81">
        <f t="shared" si="60"/>
        <v>0</v>
      </c>
      <c r="AQ254" s="81">
        <f t="shared" si="61"/>
        <v>0</v>
      </c>
      <c r="AR254" s="81">
        <f t="shared" si="62"/>
        <v>0</v>
      </c>
      <c r="AS254" s="82">
        <v>13969</v>
      </c>
      <c r="AT254" s="82">
        <v>4</v>
      </c>
      <c r="AU254" s="82">
        <v>4</v>
      </c>
      <c r="AV254" s="82">
        <v>8</v>
      </c>
      <c r="AW254" s="82">
        <f>7940093.33771949*(0.001)</f>
        <v>7940.093337719493</v>
      </c>
      <c r="AX254" s="82">
        <v>5181.710090711457</v>
      </c>
      <c r="AY254" s="82">
        <v>5162.803238895114</v>
      </c>
      <c r="AZ254" s="408"/>
      <c r="BA254" s="81"/>
      <c r="BB254" s="81"/>
      <c r="BC254" s="81"/>
      <c r="BD254" s="81"/>
      <c r="BE254" s="81"/>
      <c r="BF254" s="81"/>
      <c r="BG254" s="81"/>
      <c r="BO254" s="114"/>
    </row>
    <row r="255" spans="1:67" ht="12.75">
      <c r="A255" s="81">
        <v>755</v>
      </c>
      <c r="B255" s="81" t="s">
        <v>374</v>
      </c>
      <c r="C255" s="81">
        <v>1</v>
      </c>
      <c r="D255" s="81">
        <v>6149</v>
      </c>
      <c r="E255" s="100">
        <v>15345515.035015631</v>
      </c>
      <c r="F255" s="81">
        <v>13589166.490939228</v>
      </c>
      <c r="G255" s="81">
        <v>2299063.1863201354</v>
      </c>
      <c r="H255" s="81">
        <v>493613.36284376605</v>
      </c>
      <c r="I255" s="156">
        <v>3244628.164114161</v>
      </c>
      <c r="J255" s="156">
        <v>767837.2683082947</v>
      </c>
      <c r="K255" s="81">
        <v>1026586.9628705436</v>
      </c>
      <c r="L255" s="81">
        <v>-1434780</v>
      </c>
      <c r="M255" s="82">
        <v>-175929</v>
      </c>
      <c r="N255" s="82">
        <v>94840.59907089366</v>
      </c>
      <c r="O255" s="214">
        <f t="shared" si="48"/>
        <v>4559511.999451391</v>
      </c>
      <c r="P255" s="215">
        <f t="shared" si="49"/>
        <v>741.5046348107646</v>
      </c>
      <c r="Q255" s="81"/>
      <c r="R255" s="223">
        <v>34724559.61</v>
      </c>
      <c r="S255" s="156">
        <v>31653619.74353667</v>
      </c>
      <c r="T255" s="156">
        <v>740420.044265649</v>
      </c>
      <c r="U255" s="156">
        <v>4668517.056191585</v>
      </c>
      <c r="V255" s="156">
        <v>2642670.180050141</v>
      </c>
      <c r="W255" s="156">
        <v>688354.1863201354</v>
      </c>
      <c r="X255" s="214">
        <f t="shared" si="50"/>
        <v>5669021.600364178</v>
      </c>
      <c r="Y255" s="215">
        <f t="shared" si="51"/>
        <v>921.9420394152185</v>
      </c>
      <c r="Z255" s="81"/>
      <c r="AA255" s="94">
        <f t="shared" si="52"/>
        <v>-1109509.600912787</v>
      </c>
      <c r="AB255" s="153">
        <f t="shared" si="53"/>
        <v>-180.4374046044539</v>
      </c>
      <c r="AD255" s="216"/>
      <c r="AE255" s="224"/>
      <c r="AF255" s="224"/>
      <c r="AG255" s="224"/>
      <c r="AH255" s="225"/>
      <c r="AJ255" s="81">
        <f t="shared" si="54"/>
        <v>18064453.252597444</v>
      </c>
      <c r="AK255" s="81">
        <f t="shared" si="55"/>
        <v>246806.681421883</v>
      </c>
      <c r="AL255" s="81">
        <f t="shared" si="56"/>
        <v>1423888.892077424</v>
      </c>
      <c r="AM255" s="81">
        <f t="shared" si="57"/>
        <v>19379044.574984368</v>
      </c>
      <c r="AN255" s="81">
        <f t="shared" si="58"/>
        <v>0</v>
      </c>
      <c r="AO255" s="81">
        <f t="shared" si="59"/>
        <v>0</v>
      </c>
      <c r="AP255" s="81">
        <f t="shared" si="60"/>
        <v>0</v>
      </c>
      <c r="AQ255" s="81">
        <f t="shared" si="61"/>
        <v>0</v>
      </c>
      <c r="AR255" s="81">
        <f t="shared" si="62"/>
        <v>0</v>
      </c>
      <c r="AS255" s="82">
        <v>2268</v>
      </c>
      <c r="AT255" s="82">
        <v>28</v>
      </c>
      <c r="AU255" s="82">
        <v>1</v>
      </c>
      <c r="AV255" s="82">
        <v>29</v>
      </c>
      <c r="AW255" s="82">
        <f>2259274.99979059*(0.001)</f>
        <v>2259.2749997905917</v>
      </c>
      <c r="AX255" s="82">
        <v>1257.676678534606</v>
      </c>
      <c r="AY255" s="82">
        <v>1874.8329117418464</v>
      </c>
      <c r="AZ255" s="408"/>
      <c r="BA255" s="81"/>
      <c r="BB255" s="81"/>
      <c r="BC255" s="81"/>
      <c r="BD255" s="81"/>
      <c r="BE255" s="81"/>
      <c r="BF255" s="81"/>
      <c r="BG255" s="81"/>
      <c r="BO255" s="114"/>
    </row>
    <row r="256" spans="1:67" ht="12.75">
      <c r="A256" s="81">
        <v>758</v>
      </c>
      <c r="B256" s="81" t="s">
        <v>375</v>
      </c>
      <c r="C256" s="81">
        <v>19</v>
      </c>
      <c r="D256" s="81">
        <v>8266</v>
      </c>
      <c r="E256" s="100">
        <v>35096035.61821954</v>
      </c>
      <c r="F256" s="81">
        <v>13711090.467818143</v>
      </c>
      <c r="G256" s="81">
        <v>8084179.193640725</v>
      </c>
      <c r="H256" s="81">
        <v>3148807.0139031312</v>
      </c>
      <c r="I256" s="156">
        <v>7363255.973204094</v>
      </c>
      <c r="J256" s="156">
        <v>1372167.788184404</v>
      </c>
      <c r="K256" s="81">
        <v>2564735.9311540127</v>
      </c>
      <c r="L256" s="81">
        <v>-1262084</v>
      </c>
      <c r="M256" s="82">
        <v>937000</v>
      </c>
      <c r="N256" s="82">
        <v>103761.26240890787</v>
      </c>
      <c r="O256" s="214">
        <f t="shared" si="48"/>
        <v>926878.0120938793</v>
      </c>
      <c r="P256" s="215">
        <f t="shared" si="49"/>
        <v>112.13138302611654</v>
      </c>
      <c r="Q256" s="81"/>
      <c r="R256" s="223">
        <v>68666124</v>
      </c>
      <c r="S256" s="156">
        <v>32170295.62281993</v>
      </c>
      <c r="T256" s="156">
        <v>4723210.520854698</v>
      </c>
      <c r="U256" s="156">
        <v>22470071.226328418</v>
      </c>
      <c r="V256" s="156">
        <v>4680239.119116284</v>
      </c>
      <c r="W256" s="156">
        <v>7759095.193640725</v>
      </c>
      <c r="X256" s="214">
        <f t="shared" si="50"/>
        <v>3136787.68276006</v>
      </c>
      <c r="Y256" s="215">
        <f t="shared" si="51"/>
        <v>379.4807261988942</v>
      </c>
      <c r="Z256" s="81"/>
      <c r="AA256" s="94">
        <f t="shared" si="52"/>
        <v>-2209909.6706661806</v>
      </c>
      <c r="AB256" s="153">
        <f t="shared" si="53"/>
        <v>-267.3493431727777</v>
      </c>
      <c r="AD256" s="216"/>
      <c r="AE256" s="224"/>
      <c r="AF256" s="224"/>
      <c r="AG256" s="224"/>
      <c r="AH256" s="225"/>
      <c r="AJ256" s="81">
        <f t="shared" si="54"/>
        <v>18459205.15500179</v>
      </c>
      <c r="AK256" s="81">
        <f t="shared" si="55"/>
        <v>1574403.5069515663</v>
      </c>
      <c r="AL256" s="81">
        <f t="shared" si="56"/>
        <v>15106815.253124323</v>
      </c>
      <c r="AM256" s="81">
        <f t="shared" si="57"/>
        <v>33570088.38178046</v>
      </c>
      <c r="AN256" s="81">
        <f t="shared" si="58"/>
        <v>0</v>
      </c>
      <c r="AO256" s="81">
        <f t="shared" si="59"/>
        <v>0</v>
      </c>
      <c r="AP256" s="81">
        <f t="shared" si="60"/>
        <v>0</v>
      </c>
      <c r="AQ256" s="81">
        <f t="shared" si="61"/>
        <v>0</v>
      </c>
      <c r="AR256" s="81">
        <f t="shared" si="62"/>
        <v>0</v>
      </c>
      <c r="AS256" s="82">
        <v>4377</v>
      </c>
      <c r="AT256" s="82">
        <v>154</v>
      </c>
      <c r="AU256" s="82">
        <v>102</v>
      </c>
      <c r="AV256" s="82">
        <v>256</v>
      </c>
      <c r="AW256" s="82">
        <f>15041867.9064965*(0.001)</f>
        <v>15041.867906496476</v>
      </c>
      <c r="AX256" s="82">
        <v>431.3371102170272</v>
      </c>
      <c r="AY256" s="82">
        <v>3308.07133093188</v>
      </c>
      <c r="AZ256" s="408"/>
      <c r="BA256" s="81"/>
      <c r="BB256" s="81"/>
      <c r="BC256" s="81"/>
      <c r="BD256" s="81"/>
      <c r="BE256" s="81"/>
      <c r="BF256" s="81"/>
      <c r="BG256" s="81"/>
      <c r="BO256" s="114"/>
    </row>
    <row r="257" spans="1:67" ht="12.75">
      <c r="A257" s="81">
        <v>759</v>
      </c>
      <c r="B257" s="81" t="s">
        <v>376</v>
      </c>
      <c r="C257" s="81">
        <v>14</v>
      </c>
      <c r="D257" s="81">
        <v>2007</v>
      </c>
      <c r="E257" s="100">
        <v>5751973.308589082</v>
      </c>
      <c r="F257" s="81">
        <v>2445095.912222187</v>
      </c>
      <c r="G257" s="81">
        <v>562402.6170463732</v>
      </c>
      <c r="H257" s="81">
        <v>575355.2742694136</v>
      </c>
      <c r="I257" s="156">
        <v>1922087.0984489257</v>
      </c>
      <c r="J257" s="156">
        <v>437513.15150208876</v>
      </c>
      <c r="K257" s="81">
        <v>384464.2509586853</v>
      </c>
      <c r="L257" s="81">
        <v>-523532</v>
      </c>
      <c r="M257" s="82">
        <v>-29000</v>
      </c>
      <c r="N257" s="82">
        <v>16031.955596689304</v>
      </c>
      <c r="O257" s="214">
        <f t="shared" si="48"/>
        <v>38444.951455281116</v>
      </c>
      <c r="P257" s="215">
        <f t="shared" si="49"/>
        <v>19.155431716632346</v>
      </c>
      <c r="Q257" s="81"/>
      <c r="R257" s="223">
        <v>14900000</v>
      </c>
      <c r="S257" s="156">
        <v>5252773.102635467</v>
      </c>
      <c r="T257" s="156">
        <v>863032.9114041204</v>
      </c>
      <c r="U257" s="156">
        <v>7392453.510451984</v>
      </c>
      <c r="V257" s="156">
        <v>1474563.0143466925</v>
      </c>
      <c r="W257" s="156">
        <v>9870.617046373198</v>
      </c>
      <c r="X257" s="214">
        <f t="shared" si="50"/>
        <v>92693.15588463657</v>
      </c>
      <c r="Y257" s="215">
        <f t="shared" si="51"/>
        <v>46.184930684921056</v>
      </c>
      <c r="Z257" s="81"/>
      <c r="AA257" s="94">
        <f t="shared" si="52"/>
        <v>-54248.20442935545</v>
      </c>
      <c r="AB257" s="153">
        <f t="shared" si="53"/>
        <v>-27.029498968288713</v>
      </c>
      <c r="AD257" s="216"/>
      <c r="AE257" s="224"/>
      <c r="AF257" s="224"/>
      <c r="AG257" s="224"/>
      <c r="AH257" s="225"/>
      <c r="AJ257" s="81">
        <f t="shared" si="54"/>
        <v>2807677.1904132804</v>
      </c>
      <c r="AK257" s="81">
        <f t="shared" si="55"/>
        <v>287677.63713470683</v>
      </c>
      <c r="AL257" s="81">
        <f t="shared" si="56"/>
        <v>5470366.412003058</v>
      </c>
      <c r="AM257" s="81">
        <f t="shared" si="57"/>
        <v>9148026.691410918</v>
      </c>
      <c r="AN257" s="81">
        <f t="shared" si="58"/>
        <v>0</v>
      </c>
      <c r="AO257" s="81">
        <f t="shared" si="59"/>
        <v>0</v>
      </c>
      <c r="AP257" s="81">
        <f t="shared" si="60"/>
        <v>0</v>
      </c>
      <c r="AQ257" s="81">
        <f t="shared" si="61"/>
        <v>0</v>
      </c>
      <c r="AR257" s="81">
        <f t="shared" si="62"/>
        <v>0</v>
      </c>
      <c r="AS257" s="82">
        <v>490</v>
      </c>
      <c r="AT257" s="82"/>
      <c r="AU257" s="82"/>
      <c r="AV257" s="82">
        <v>0</v>
      </c>
      <c r="AW257" s="82">
        <f>4422337.80131502*(0.001)</f>
        <v>4422.337801315021</v>
      </c>
      <c r="AX257" s="82">
        <v>-1251.0128597474636</v>
      </c>
      <c r="AY257" s="82">
        <v>1037.0498628446037</v>
      </c>
      <c r="AZ257" s="408"/>
      <c r="BA257" s="81"/>
      <c r="BB257" s="81"/>
      <c r="BC257" s="81"/>
      <c r="BD257" s="81"/>
      <c r="BE257" s="81"/>
      <c r="BF257" s="81"/>
      <c r="BG257" s="81"/>
      <c r="BO257" s="114"/>
    </row>
    <row r="258" spans="1:67" ht="12.75">
      <c r="A258" s="81">
        <v>761</v>
      </c>
      <c r="B258" s="81" t="s">
        <v>377</v>
      </c>
      <c r="C258" s="81">
        <v>2</v>
      </c>
      <c r="D258" s="81">
        <v>8646</v>
      </c>
      <c r="E258" s="100">
        <v>25190426.722317304</v>
      </c>
      <c r="F258" s="81">
        <v>10760812.147952914</v>
      </c>
      <c r="G258" s="81">
        <v>1818933.314247707</v>
      </c>
      <c r="H258" s="81">
        <v>1049937.539213111</v>
      </c>
      <c r="I258" s="156">
        <v>4590016.173972833</v>
      </c>
      <c r="J258" s="156">
        <v>1640783.3654159252</v>
      </c>
      <c r="K258" s="81">
        <v>3248705.064880889</v>
      </c>
      <c r="L258" s="81">
        <v>-162163</v>
      </c>
      <c r="M258" s="82">
        <v>39400</v>
      </c>
      <c r="N258" s="82">
        <v>78635.60738706369</v>
      </c>
      <c r="O258" s="214">
        <f t="shared" si="48"/>
        <v>-2125366.5092468597</v>
      </c>
      <c r="P258" s="215">
        <f t="shared" si="49"/>
        <v>-245.8207852471501</v>
      </c>
      <c r="Q258" s="81"/>
      <c r="R258" s="223">
        <v>58388500</v>
      </c>
      <c r="S258" s="156">
        <v>25418339.70418326</v>
      </c>
      <c r="T258" s="156">
        <v>1574906.3088196665</v>
      </c>
      <c r="U258" s="156">
        <v>24248806.802682415</v>
      </c>
      <c r="V258" s="156">
        <v>5547107.758159856</v>
      </c>
      <c r="W258" s="156">
        <v>1696170.314247707</v>
      </c>
      <c r="X258" s="214">
        <f t="shared" si="50"/>
        <v>96830.88809290528</v>
      </c>
      <c r="Y258" s="215">
        <f t="shared" si="51"/>
        <v>11.199501283010095</v>
      </c>
      <c r="Z258" s="81"/>
      <c r="AA258" s="94">
        <f t="shared" si="52"/>
        <v>-2222197.397339765</v>
      </c>
      <c r="AB258" s="153">
        <f t="shared" si="53"/>
        <v>-257.0202865301602</v>
      </c>
      <c r="AD258" s="216"/>
      <c r="AE258" s="224"/>
      <c r="AF258" s="224"/>
      <c r="AG258" s="224"/>
      <c r="AH258" s="225"/>
      <c r="AJ258" s="81">
        <f t="shared" si="54"/>
        <v>14657527.556230348</v>
      </c>
      <c r="AK258" s="81">
        <f t="shared" si="55"/>
        <v>524968.7696065556</v>
      </c>
      <c r="AL258" s="81">
        <f t="shared" si="56"/>
        <v>19658790.62870958</v>
      </c>
      <c r="AM258" s="81">
        <f t="shared" si="57"/>
        <v>33198073.277682696</v>
      </c>
      <c r="AN258" s="81">
        <f t="shared" si="58"/>
        <v>0</v>
      </c>
      <c r="AO258" s="81">
        <f t="shared" si="59"/>
        <v>0</v>
      </c>
      <c r="AP258" s="81">
        <f t="shared" si="60"/>
        <v>0</v>
      </c>
      <c r="AQ258" s="81">
        <f t="shared" si="61"/>
        <v>0</v>
      </c>
      <c r="AR258" s="81">
        <f t="shared" si="62"/>
        <v>0</v>
      </c>
      <c r="AS258" s="82">
        <v>3283</v>
      </c>
      <c r="AT258" s="82">
        <v>186</v>
      </c>
      <c r="AU258" s="82"/>
      <c r="AV258" s="82">
        <v>186</v>
      </c>
      <c r="AW258" s="82">
        <f>16363853.1537938*(0.001)</f>
        <v>16363.853153793776</v>
      </c>
      <c r="AX258" s="82">
        <v>-3242.5194633003957</v>
      </c>
      <c r="AY258" s="82">
        <v>3906.324392743931</v>
      </c>
      <c r="AZ258" s="408"/>
      <c r="BA258" s="81"/>
      <c r="BB258" s="81"/>
      <c r="BC258" s="81"/>
      <c r="BD258" s="81"/>
      <c r="BE258" s="81"/>
      <c r="BF258" s="81"/>
      <c r="BG258" s="81"/>
      <c r="BO258" s="114"/>
    </row>
    <row r="259" spans="1:67" ht="12.75">
      <c r="A259" s="81">
        <v>762</v>
      </c>
      <c r="B259" s="81" t="s">
        <v>378</v>
      </c>
      <c r="C259" s="81">
        <v>11</v>
      </c>
      <c r="D259" s="81">
        <v>3841</v>
      </c>
      <c r="E259" s="100">
        <v>11006062.029975638</v>
      </c>
      <c r="F259" s="81">
        <v>4792030.625186074</v>
      </c>
      <c r="G259" s="81">
        <v>1151666.4491314834</v>
      </c>
      <c r="H259" s="81">
        <v>1865927.2615136371</v>
      </c>
      <c r="I259" s="156">
        <v>1734550.253712469</v>
      </c>
      <c r="J259" s="156">
        <v>791422.6418074416</v>
      </c>
      <c r="K259" s="81">
        <v>1139862.9248420557</v>
      </c>
      <c r="L259" s="81">
        <v>-194037</v>
      </c>
      <c r="M259" s="82">
        <v>-36230</v>
      </c>
      <c r="N259" s="82">
        <v>35742.897466317634</v>
      </c>
      <c r="O259" s="214">
        <f t="shared" si="48"/>
        <v>274874.0236838404</v>
      </c>
      <c r="P259" s="215">
        <f t="shared" si="49"/>
        <v>71.56314076642552</v>
      </c>
      <c r="Q259" s="81"/>
      <c r="R259" s="223">
        <v>29561250</v>
      </c>
      <c r="S259" s="156">
        <v>10760093.482162679</v>
      </c>
      <c r="T259" s="156">
        <v>2798890.8922704556</v>
      </c>
      <c r="U259" s="156">
        <v>13350186.835108181</v>
      </c>
      <c r="V259" s="156">
        <v>2671985.3561168825</v>
      </c>
      <c r="W259" s="156">
        <v>921399.4491314834</v>
      </c>
      <c r="X259" s="214">
        <f t="shared" si="50"/>
        <v>941306.0147896856</v>
      </c>
      <c r="Y259" s="215">
        <f t="shared" si="51"/>
        <v>245.06795490489083</v>
      </c>
      <c r="Z259" s="81"/>
      <c r="AA259" s="94">
        <f t="shared" si="52"/>
        <v>-666431.9911058452</v>
      </c>
      <c r="AB259" s="153">
        <f t="shared" si="53"/>
        <v>-173.5048141384653</v>
      </c>
      <c r="AD259" s="216"/>
      <c r="AE259" s="224"/>
      <c r="AF259" s="224"/>
      <c r="AG259" s="224"/>
      <c r="AH259" s="225"/>
      <c r="AJ259" s="81">
        <f t="shared" si="54"/>
        <v>5968062.856976605</v>
      </c>
      <c r="AK259" s="81">
        <f t="shared" si="55"/>
        <v>932963.6307568185</v>
      </c>
      <c r="AL259" s="81">
        <f t="shared" si="56"/>
        <v>11615636.581395712</v>
      </c>
      <c r="AM259" s="81">
        <f t="shared" si="57"/>
        <v>18555187.970024362</v>
      </c>
      <c r="AN259" s="81">
        <f t="shared" si="58"/>
        <v>0</v>
      </c>
      <c r="AO259" s="81">
        <f t="shared" si="59"/>
        <v>0</v>
      </c>
      <c r="AP259" s="81">
        <f t="shared" si="60"/>
        <v>0</v>
      </c>
      <c r="AQ259" s="81">
        <f t="shared" si="61"/>
        <v>0</v>
      </c>
      <c r="AR259" s="81">
        <f t="shared" si="62"/>
        <v>0</v>
      </c>
      <c r="AS259" s="82">
        <v>1279</v>
      </c>
      <c r="AT259" s="82"/>
      <c r="AU259" s="82"/>
      <c r="AV259" s="82">
        <v>0</v>
      </c>
      <c r="AW259" s="82">
        <f>10254234.4045308*(0.001)</f>
        <v>10254.234404530835</v>
      </c>
      <c r="AX259" s="82">
        <v>-1456.645151047635</v>
      </c>
      <c r="AY259" s="82">
        <v>1880.562714309441</v>
      </c>
      <c r="AZ259" s="408"/>
      <c r="BA259" s="81"/>
      <c r="BB259" s="81"/>
      <c r="BC259" s="81"/>
      <c r="BD259" s="81"/>
      <c r="BE259" s="81"/>
      <c r="BF259" s="81"/>
      <c r="BG259" s="81"/>
      <c r="BO259" s="114"/>
    </row>
    <row r="260" spans="1:67" ht="12.75">
      <c r="A260" s="81">
        <v>765</v>
      </c>
      <c r="B260" s="81" t="s">
        <v>379</v>
      </c>
      <c r="C260" s="81">
        <v>18</v>
      </c>
      <c r="D260" s="81">
        <v>10301</v>
      </c>
      <c r="E260" s="100">
        <v>33490126.444441766</v>
      </c>
      <c r="F260" s="81">
        <v>12306090.196054656</v>
      </c>
      <c r="G260" s="81">
        <v>4912213.3215114605</v>
      </c>
      <c r="H260" s="81">
        <v>2435249.048201418</v>
      </c>
      <c r="I260" s="156">
        <v>5996563.864303796</v>
      </c>
      <c r="J260" s="156">
        <v>1703967.0133646931</v>
      </c>
      <c r="K260" s="81">
        <v>-731196.7738373092</v>
      </c>
      <c r="L260" s="81">
        <v>646381</v>
      </c>
      <c r="M260" s="82">
        <v>3498347</v>
      </c>
      <c r="N260" s="82">
        <v>102314.21359605636</v>
      </c>
      <c r="O260" s="214">
        <f t="shared" si="48"/>
        <v>-2620197.561246995</v>
      </c>
      <c r="P260" s="215">
        <f t="shared" si="49"/>
        <v>-254.36341726502232</v>
      </c>
      <c r="Q260" s="81"/>
      <c r="R260" s="223">
        <v>75522777</v>
      </c>
      <c r="S260" s="156">
        <v>30842686.738205474</v>
      </c>
      <c r="T260" s="156">
        <v>3652873.5723021273</v>
      </c>
      <c r="U260" s="156">
        <v>23694791.00268931</v>
      </c>
      <c r="V260" s="156">
        <v>5782397.820961046</v>
      </c>
      <c r="W260" s="156">
        <v>9056941.32151146</v>
      </c>
      <c r="X260" s="214">
        <f t="shared" si="50"/>
        <v>-2493086.544330582</v>
      </c>
      <c r="Y260" s="215">
        <f t="shared" si="51"/>
        <v>-242.0237398631766</v>
      </c>
      <c r="Z260" s="81"/>
      <c r="AA260" s="94">
        <f t="shared" si="52"/>
        <v>-127111.01691641286</v>
      </c>
      <c r="AB260" s="153">
        <f t="shared" si="53"/>
        <v>-12.33967740184573</v>
      </c>
      <c r="AD260" s="216"/>
      <c r="AE260" s="224"/>
      <c r="AF260" s="224"/>
      <c r="AG260" s="224"/>
      <c r="AH260" s="225"/>
      <c r="AJ260" s="81">
        <f t="shared" si="54"/>
        <v>18536596.542150818</v>
      </c>
      <c r="AK260" s="81">
        <f t="shared" si="55"/>
        <v>1217624.5241007092</v>
      </c>
      <c r="AL260" s="81">
        <f t="shared" si="56"/>
        <v>17698227.138385512</v>
      </c>
      <c r="AM260" s="81">
        <f t="shared" si="57"/>
        <v>42032650.555558234</v>
      </c>
      <c r="AN260" s="81">
        <f t="shared" si="58"/>
        <v>0</v>
      </c>
      <c r="AO260" s="81">
        <f t="shared" si="59"/>
        <v>0</v>
      </c>
      <c r="AP260" s="81">
        <f t="shared" si="60"/>
        <v>0</v>
      </c>
      <c r="AQ260" s="81">
        <f t="shared" si="61"/>
        <v>0</v>
      </c>
      <c r="AR260" s="81">
        <f t="shared" si="62"/>
        <v>0</v>
      </c>
      <c r="AS260" s="82">
        <v>2781</v>
      </c>
      <c r="AT260" s="82"/>
      <c r="AU260" s="82"/>
      <c r="AV260" s="82">
        <v>0</v>
      </c>
      <c r="AW260" s="82">
        <f>14730794.3082554*(0.001)</f>
        <v>14730.794308255356</v>
      </c>
      <c r="AX260" s="82">
        <v>-2357.5943861634396</v>
      </c>
      <c r="AY260" s="82">
        <v>4078.4308075963527</v>
      </c>
      <c r="AZ260" s="408"/>
      <c r="BA260" s="81"/>
      <c r="BB260" s="81"/>
      <c r="BC260" s="81"/>
      <c r="BD260" s="81"/>
      <c r="BE260" s="81"/>
      <c r="BF260" s="81"/>
      <c r="BG260" s="81"/>
      <c r="BO260" s="114"/>
    </row>
    <row r="261" spans="1:67" ht="12.75">
      <c r="A261" s="81">
        <v>768</v>
      </c>
      <c r="B261" s="81" t="s">
        <v>380</v>
      </c>
      <c r="C261" s="81">
        <v>10</v>
      </c>
      <c r="D261" s="81">
        <v>2482</v>
      </c>
      <c r="E261" s="100">
        <v>7293688.0332508385</v>
      </c>
      <c r="F261" s="81">
        <v>2831077.1632178277</v>
      </c>
      <c r="G261" s="81">
        <v>984853.8214168696</v>
      </c>
      <c r="H261" s="81">
        <v>993623.7299858178</v>
      </c>
      <c r="I261" s="156">
        <v>1128961.2746052302</v>
      </c>
      <c r="J261" s="156">
        <v>529897.7965135868</v>
      </c>
      <c r="K261" s="81">
        <v>142918.84480893792</v>
      </c>
      <c r="L261" s="81">
        <v>383467</v>
      </c>
      <c r="M261" s="82">
        <v>134000</v>
      </c>
      <c r="N261" s="82">
        <v>21469.392958992714</v>
      </c>
      <c r="O261" s="214">
        <f t="shared" si="48"/>
        <v>-143419.00974357594</v>
      </c>
      <c r="P261" s="215">
        <f t="shared" si="49"/>
        <v>-57.783646149708275</v>
      </c>
      <c r="Q261" s="81"/>
      <c r="R261" s="223">
        <v>20167796.44</v>
      </c>
      <c r="S261" s="156">
        <v>6479448.257306111</v>
      </c>
      <c r="T261" s="156">
        <v>1490435.594978727</v>
      </c>
      <c r="U261" s="156">
        <v>9242265.490972707</v>
      </c>
      <c r="V261" s="156">
        <v>1788565.1664633965</v>
      </c>
      <c r="W261" s="156">
        <v>1502320.8214168698</v>
      </c>
      <c r="X261" s="214">
        <f t="shared" si="50"/>
        <v>335238.89113780856</v>
      </c>
      <c r="Y261" s="215">
        <f t="shared" si="51"/>
        <v>135.06804638912513</v>
      </c>
      <c r="Z261" s="81"/>
      <c r="AA261" s="94">
        <f t="shared" si="52"/>
        <v>-478657.9008813845</v>
      </c>
      <c r="AB261" s="153">
        <f t="shared" si="53"/>
        <v>-192.8516925388334</v>
      </c>
      <c r="AD261" s="216"/>
      <c r="AE261" s="224"/>
      <c r="AF261" s="224"/>
      <c r="AG261" s="224"/>
      <c r="AH261" s="225"/>
      <c r="AJ261" s="81">
        <f t="shared" si="54"/>
        <v>3648371.0940882834</v>
      </c>
      <c r="AK261" s="81">
        <f t="shared" si="55"/>
        <v>496811.86499290913</v>
      </c>
      <c r="AL261" s="81">
        <f t="shared" si="56"/>
        <v>8113304.216367477</v>
      </c>
      <c r="AM261" s="81">
        <f t="shared" si="57"/>
        <v>12874108.406749163</v>
      </c>
      <c r="AN261" s="81">
        <f t="shared" si="58"/>
        <v>0</v>
      </c>
      <c r="AO261" s="81">
        <f t="shared" si="59"/>
        <v>0</v>
      </c>
      <c r="AP261" s="81">
        <f t="shared" si="60"/>
        <v>0</v>
      </c>
      <c r="AQ261" s="81">
        <f t="shared" si="61"/>
        <v>0</v>
      </c>
      <c r="AR261" s="81">
        <f t="shared" si="62"/>
        <v>0</v>
      </c>
      <c r="AS261" s="82">
        <v>560</v>
      </c>
      <c r="AT261" s="82">
        <v>112</v>
      </c>
      <c r="AU261" s="82">
        <v>33</v>
      </c>
      <c r="AV261" s="82">
        <v>145</v>
      </c>
      <c r="AW261" s="82">
        <f>6552138.68201916*(0.001)</f>
        <v>6552.138682019164</v>
      </c>
      <c r="AX261" s="82">
        <v>-1178.9282529623015</v>
      </c>
      <c r="AY261" s="82">
        <v>1258.6673699498097</v>
      </c>
      <c r="AZ261" s="408"/>
      <c r="BA261" s="81"/>
      <c r="BB261" s="81"/>
      <c r="BC261" s="81"/>
      <c r="BD261" s="81"/>
      <c r="BE261" s="81"/>
      <c r="BF261" s="81"/>
      <c r="BG261" s="81"/>
      <c r="BO261" s="114"/>
    </row>
    <row r="262" spans="1:67" ht="12.75">
      <c r="A262" s="81">
        <v>777</v>
      </c>
      <c r="B262" s="81" t="s">
        <v>381</v>
      </c>
      <c r="C262" s="81">
        <v>18</v>
      </c>
      <c r="D262" s="81">
        <v>7594</v>
      </c>
      <c r="E262" s="100">
        <v>22554232.32252603</v>
      </c>
      <c r="F262" s="81">
        <v>10966803.816100042</v>
      </c>
      <c r="G262" s="81">
        <v>3257088.8103342196</v>
      </c>
      <c r="H262" s="81">
        <v>2189814.0491083604</v>
      </c>
      <c r="I262" s="156">
        <v>5770324.674792898</v>
      </c>
      <c r="J262" s="156">
        <v>1442108.5069769216</v>
      </c>
      <c r="K262" s="81">
        <v>2254150.579641019</v>
      </c>
      <c r="L262" s="81">
        <v>-223396</v>
      </c>
      <c r="M262" s="82">
        <v>-100020</v>
      </c>
      <c r="N262" s="82">
        <v>76197.52033900411</v>
      </c>
      <c r="O262" s="214">
        <f t="shared" si="48"/>
        <v>3078839.6347664334</v>
      </c>
      <c r="P262" s="215">
        <f t="shared" si="49"/>
        <v>405.4305550126986</v>
      </c>
      <c r="Q262" s="81"/>
      <c r="R262" s="223">
        <v>60444222</v>
      </c>
      <c r="S262" s="156">
        <v>24583661.74162023</v>
      </c>
      <c r="T262" s="156">
        <v>3284721.073662541</v>
      </c>
      <c r="U262" s="156">
        <v>29867580.036691044</v>
      </c>
      <c r="V262" s="156">
        <v>4880351.1879686015</v>
      </c>
      <c r="W262" s="156">
        <v>2933672.8103342196</v>
      </c>
      <c r="X262" s="214">
        <f t="shared" si="50"/>
        <v>5105764.850276634</v>
      </c>
      <c r="Y262" s="215">
        <f t="shared" si="51"/>
        <v>672.3419607949215</v>
      </c>
      <c r="Z262" s="81"/>
      <c r="AA262" s="94">
        <f t="shared" si="52"/>
        <v>-2026925.2155102007</v>
      </c>
      <c r="AB262" s="153">
        <f t="shared" si="53"/>
        <v>-266.9114057822229</v>
      </c>
      <c r="AD262" s="216"/>
      <c r="AE262" s="224"/>
      <c r="AF262" s="224"/>
      <c r="AG262" s="224"/>
      <c r="AH262" s="225"/>
      <c r="AJ262" s="81">
        <f t="shared" si="54"/>
        <v>13616857.92552019</v>
      </c>
      <c r="AK262" s="81">
        <f t="shared" si="55"/>
        <v>1094907.0245541804</v>
      </c>
      <c r="AL262" s="81">
        <f t="shared" si="56"/>
        <v>24097255.361898147</v>
      </c>
      <c r="AM262" s="81">
        <f t="shared" si="57"/>
        <v>37889989.67747397</v>
      </c>
      <c r="AN262" s="81">
        <f t="shared" si="58"/>
        <v>0</v>
      </c>
      <c r="AO262" s="81">
        <f t="shared" si="59"/>
        <v>0</v>
      </c>
      <c r="AP262" s="81">
        <f t="shared" si="60"/>
        <v>0</v>
      </c>
      <c r="AQ262" s="81">
        <f t="shared" si="61"/>
        <v>0</v>
      </c>
      <c r="AR262" s="81">
        <f t="shared" si="62"/>
        <v>0</v>
      </c>
      <c r="AS262" s="82">
        <v>3958</v>
      </c>
      <c r="AT262" s="82">
        <v>4</v>
      </c>
      <c r="AU262" s="82"/>
      <c r="AV262" s="82">
        <v>4</v>
      </c>
      <c r="AW262" s="82">
        <f>20800458.2128064*(0.001)</f>
        <v>20800.45821280643</v>
      </c>
      <c r="AX262" s="82">
        <v>-2776.1312158436</v>
      </c>
      <c r="AY262" s="82">
        <v>3438.24268099168</v>
      </c>
      <c r="AZ262" s="408"/>
      <c r="BA262" s="81"/>
      <c r="BB262" s="81"/>
      <c r="BC262" s="81"/>
      <c r="BD262" s="81"/>
      <c r="BE262" s="81"/>
      <c r="BF262" s="81"/>
      <c r="BG262" s="81"/>
      <c r="BO262" s="114"/>
    </row>
    <row r="263" spans="1:67" ht="12.75">
      <c r="A263" s="81">
        <v>778</v>
      </c>
      <c r="B263" s="81" t="s">
        <v>382</v>
      </c>
      <c r="C263" s="81">
        <v>11</v>
      </c>
      <c r="D263" s="81">
        <v>6931</v>
      </c>
      <c r="E263" s="100">
        <v>18069253.82010831</v>
      </c>
      <c r="F263" s="81">
        <v>9446736.729158806</v>
      </c>
      <c r="G263" s="81">
        <v>1900107.3667080398</v>
      </c>
      <c r="H263" s="81">
        <v>1335058.42412928</v>
      </c>
      <c r="I263" s="156">
        <v>3339970.214227107</v>
      </c>
      <c r="J263" s="156">
        <v>1240027.2562579801</v>
      </c>
      <c r="K263" s="81">
        <v>216738.36500657196</v>
      </c>
      <c r="L263" s="81">
        <v>-210774</v>
      </c>
      <c r="M263" s="82">
        <v>70000</v>
      </c>
      <c r="N263" s="82">
        <v>60962.24866129874</v>
      </c>
      <c r="O263" s="214">
        <f t="shared" si="48"/>
        <v>-670427.2159592286</v>
      </c>
      <c r="P263" s="215">
        <f t="shared" si="49"/>
        <v>-96.72878602787888</v>
      </c>
      <c r="Q263" s="81"/>
      <c r="R263" s="223">
        <v>52700000</v>
      </c>
      <c r="S263" s="156">
        <v>20549436.64191157</v>
      </c>
      <c r="T263" s="156">
        <v>2002587.63619392</v>
      </c>
      <c r="U263" s="156">
        <v>23522361.887090188</v>
      </c>
      <c r="V263" s="156">
        <v>4199022.872002919</v>
      </c>
      <c r="W263" s="156">
        <v>1759333.3667080398</v>
      </c>
      <c r="X263" s="214">
        <f t="shared" si="50"/>
        <v>-667257.5960933641</v>
      </c>
      <c r="Y263" s="215">
        <f t="shared" si="51"/>
        <v>-96.27147541384564</v>
      </c>
      <c r="Z263" s="81"/>
      <c r="AA263" s="94">
        <f t="shared" si="52"/>
        <v>-3169.6198658645153</v>
      </c>
      <c r="AB263" s="153">
        <f t="shared" si="53"/>
        <v>-0.45731061403325857</v>
      </c>
      <c r="AD263" s="216"/>
      <c r="AE263" s="224"/>
      <c r="AF263" s="224"/>
      <c r="AG263" s="224"/>
      <c r="AH263" s="225"/>
      <c r="AJ263" s="81">
        <f t="shared" si="54"/>
        <v>11102699.912752764</v>
      </c>
      <c r="AK263" s="81">
        <f t="shared" si="55"/>
        <v>667529.2120646399</v>
      </c>
      <c r="AL263" s="81">
        <f t="shared" si="56"/>
        <v>20182391.67286308</v>
      </c>
      <c r="AM263" s="81">
        <f t="shared" si="57"/>
        <v>34630746.17989169</v>
      </c>
      <c r="AN263" s="81">
        <f t="shared" si="58"/>
        <v>0</v>
      </c>
      <c r="AO263" s="81">
        <f t="shared" si="59"/>
        <v>0</v>
      </c>
      <c r="AP263" s="81">
        <f t="shared" si="60"/>
        <v>0</v>
      </c>
      <c r="AQ263" s="81">
        <f t="shared" si="61"/>
        <v>0</v>
      </c>
      <c r="AR263" s="81">
        <f t="shared" si="62"/>
        <v>0</v>
      </c>
      <c r="AS263" s="82">
        <v>2273</v>
      </c>
      <c r="AT263" s="82">
        <v>107</v>
      </c>
      <c r="AU263" s="82"/>
      <c r="AV263" s="82">
        <v>107</v>
      </c>
      <c r="AW263" s="82">
        <f>17303319.0678146*(0.001)</f>
        <v>17303.319067814584</v>
      </c>
      <c r="AX263" s="82">
        <v>-3023.582565939877</v>
      </c>
      <c r="AY263" s="82">
        <v>2958.995615744939</v>
      </c>
      <c r="AZ263" s="408"/>
      <c r="BA263" s="81"/>
      <c r="BB263" s="81"/>
      <c r="BC263" s="81"/>
      <c r="BD263" s="81"/>
      <c r="BE263" s="81"/>
      <c r="BF263" s="81"/>
      <c r="BG263" s="81"/>
      <c r="BO263" s="114"/>
    </row>
    <row r="264" spans="1:67" ht="12.75">
      <c r="A264" s="81">
        <v>781</v>
      </c>
      <c r="B264" s="81" t="s">
        <v>383</v>
      </c>
      <c r="C264" s="81">
        <v>7</v>
      </c>
      <c r="D264" s="81">
        <v>3631</v>
      </c>
      <c r="E264" s="100">
        <v>8500922.895735003</v>
      </c>
      <c r="F264" s="81">
        <v>3486488.533356124</v>
      </c>
      <c r="G264" s="81">
        <v>2029441.604041625</v>
      </c>
      <c r="H264" s="81">
        <v>1058015.6734903406</v>
      </c>
      <c r="I264" s="156">
        <v>102779.15022020489</v>
      </c>
      <c r="J264" s="156">
        <v>749991.918327027</v>
      </c>
      <c r="K264" s="81">
        <v>2110977.7656052406</v>
      </c>
      <c r="L264" s="81">
        <v>-527268</v>
      </c>
      <c r="M264" s="82">
        <v>165000</v>
      </c>
      <c r="N264" s="82">
        <v>33203.30795376506</v>
      </c>
      <c r="O264" s="214">
        <f t="shared" si="48"/>
        <v>707707.0572593249</v>
      </c>
      <c r="P264" s="215">
        <f t="shared" si="49"/>
        <v>194.90692846580143</v>
      </c>
      <c r="Q264" s="81"/>
      <c r="R264" s="223">
        <v>25708852</v>
      </c>
      <c r="S264" s="156">
        <v>9368178.315214204</v>
      </c>
      <c r="T264" s="156">
        <v>1587023.510235511</v>
      </c>
      <c r="U264" s="156">
        <v>13150105.643469498</v>
      </c>
      <c r="V264" s="156">
        <v>2531389.9109366606</v>
      </c>
      <c r="W264" s="156">
        <v>1667173.604041625</v>
      </c>
      <c r="X264" s="214">
        <f t="shared" si="50"/>
        <v>2595018.9838974997</v>
      </c>
      <c r="Y264" s="215">
        <f t="shared" si="51"/>
        <v>714.6843800323602</v>
      </c>
      <c r="Z264" s="81"/>
      <c r="AA264" s="94">
        <f t="shared" si="52"/>
        <v>-1887311.9266381748</v>
      </c>
      <c r="AB264" s="153">
        <f t="shared" si="53"/>
        <v>-519.7774515665587</v>
      </c>
      <c r="AD264" s="216"/>
      <c r="AE264" s="224"/>
      <c r="AF264" s="224"/>
      <c r="AG264" s="224"/>
      <c r="AH264" s="225"/>
      <c r="AJ264" s="81">
        <f t="shared" si="54"/>
        <v>5881689.781858079</v>
      </c>
      <c r="AK264" s="81">
        <f t="shared" si="55"/>
        <v>529007.8367451704</v>
      </c>
      <c r="AL264" s="81">
        <f t="shared" si="56"/>
        <v>13047326.493249293</v>
      </c>
      <c r="AM264" s="81">
        <f t="shared" si="57"/>
        <v>17207929.104264997</v>
      </c>
      <c r="AN264" s="81">
        <f t="shared" si="58"/>
        <v>0</v>
      </c>
      <c r="AO264" s="81">
        <f t="shared" si="59"/>
        <v>0</v>
      </c>
      <c r="AP264" s="81">
        <f t="shared" si="60"/>
        <v>0</v>
      </c>
      <c r="AQ264" s="81">
        <f t="shared" si="61"/>
        <v>0</v>
      </c>
      <c r="AR264" s="81">
        <f t="shared" si="62"/>
        <v>0</v>
      </c>
      <c r="AS264" s="82">
        <v>1194</v>
      </c>
      <c r="AT264" s="82">
        <v>147</v>
      </c>
      <c r="AU264" s="82"/>
      <c r="AV264" s="82">
        <v>147</v>
      </c>
      <c r="AW264" s="82">
        <f>11061248.3247634*(0.001)</f>
        <v>11061.24832476336</v>
      </c>
      <c r="AX264" s="82">
        <v>-1507.7545289314285</v>
      </c>
      <c r="AY264" s="82">
        <v>1781.3979926096335</v>
      </c>
      <c r="AZ264" s="408"/>
      <c r="BA264" s="81"/>
      <c r="BB264" s="81"/>
      <c r="BC264" s="81"/>
      <c r="BD264" s="81"/>
      <c r="BE264" s="81"/>
      <c r="BF264" s="81"/>
      <c r="BG264" s="81"/>
      <c r="BO264" s="114"/>
    </row>
    <row r="265" spans="1:67" ht="12.75">
      <c r="A265" s="81">
        <v>783</v>
      </c>
      <c r="B265" s="81" t="s">
        <v>384</v>
      </c>
      <c r="C265" s="81">
        <v>4</v>
      </c>
      <c r="D265" s="81">
        <v>6646</v>
      </c>
      <c r="E265" s="100">
        <v>13978363.089608312</v>
      </c>
      <c r="F265" s="81">
        <v>10663959.074184436</v>
      </c>
      <c r="G265" s="81">
        <v>2205105.577856078</v>
      </c>
      <c r="H265" s="81">
        <v>914936.3837304455</v>
      </c>
      <c r="I265" s="156">
        <v>1825610.6242032973</v>
      </c>
      <c r="J265" s="156">
        <v>1123664.4375853157</v>
      </c>
      <c r="K265" s="81">
        <v>-565343.4709908824</v>
      </c>
      <c r="L265" s="81">
        <v>-385053</v>
      </c>
      <c r="M265" s="82">
        <v>-18100</v>
      </c>
      <c r="N265" s="82">
        <v>71109.6434731073</v>
      </c>
      <c r="O265" s="214">
        <f t="shared" si="48"/>
        <v>1857526.1804334857</v>
      </c>
      <c r="P265" s="215">
        <f t="shared" si="49"/>
        <v>279.49536268935987</v>
      </c>
      <c r="Q265" s="81"/>
      <c r="R265" s="223">
        <v>42212029</v>
      </c>
      <c r="S265" s="156">
        <v>23935918.76665996</v>
      </c>
      <c r="T265" s="156">
        <v>1372404.5755956683</v>
      </c>
      <c r="U265" s="156">
        <v>12723480.887580127</v>
      </c>
      <c r="V265" s="156">
        <v>3822245.345122885</v>
      </c>
      <c r="W265" s="156">
        <v>1801952.5778560778</v>
      </c>
      <c r="X265" s="214">
        <f t="shared" si="50"/>
        <v>1443973.152814716</v>
      </c>
      <c r="Y265" s="215">
        <f t="shared" si="51"/>
        <v>217.26950839824195</v>
      </c>
      <c r="Z265" s="81"/>
      <c r="AA265" s="94">
        <f t="shared" si="52"/>
        <v>413553.02761876956</v>
      </c>
      <c r="AB265" s="153">
        <f t="shared" si="53"/>
        <v>62.2258542911179</v>
      </c>
      <c r="AD265" s="216"/>
      <c r="AE265" s="224"/>
      <c r="AF265" s="224"/>
      <c r="AG265" s="224"/>
      <c r="AH265" s="225"/>
      <c r="AJ265" s="81">
        <f t="shared" si="54"/>
        <v>13271959.692475524</v>
      </c>
      <c r="AK265" s="81">
        <f t="shared" si="55"/>
        <v>457468.19186522276</v>
      </c>
      <c r="AL265" s="81">
        <f t="shared" si="56"/>
        <v>10897870.263376828</v>
      </c>
      <c r="AM265" s="81">
        <f t="shared" si="57"/>
        <v>28233665.91039169</v>
      </c>
      <c r="AN265" s="81">
        <f t="shared" si="58"/>
        <v>0</v>
      </c>
      <c r="AO265" s="81">
        <f t="shared" si="59"/>
        <v>0</v>
      </c>
      <c r="AP265" s="81">
        <f t="shared" si="60"/>
        <v>0</v>
      </c>
      <c r="AQ265" s="81">
        <f t="shared" si="61"/>
        <v>0</v>
      </c>
      <c r="AR265" s="81">
        <f t="shared" si="62"/>
        <v>0</v>
      </c>
      <c r="AS265" s="82">
        <v>2258</v>
      </c>
      <c r="AT265" s="82">
        <v>59</v>
      </c>
      <c r="AU265" s="82"/>
      <c r="AV265" s="82">
        <v>59</v>
      </c>
      <c r="AW265" s="82">
        <f>10010305.7279762*(0.001)</f>
        <v>10010.305727976243</v>
      </c>
      <c r="AX265" s="82">
        <v>-927.2781910477729</v>
      </c>
      <c r="AY265" s="82">
        <v>2698.580907537569</v>
      </c>
      <c r="AZ265" s="408"/>
      <c r="BA265" s="81"/>
      <c r="BB265" s="81"/>
      <c r="BC265" s="81"/>
      <c r="BD265" s="81"/>
      <c r="BE265" s="81"/>
      <c r="BF265" s="81"/>
      <c r="BG265" s="81"/>
      <c r="BO265" s="114"/>
    </row>
    <row r="266" spans="1:67" ht="12.75">
      <c r="A266" s="81">
        <v>785</v>
      </c>
      <c r="B266" s="81" t="s">
        <v>408</v>
      </c>
      <c r="C266" s="81">
        <v>17</v>
      </c>
      <c r="D266" s="81">
        <v>2737</v>
      </c>
      <c r="E266" s="100">
        <v>10907398.279029394</v>
      </c>
      <c r="F266" s="81">
        <v>3752375.2693161857</v>
      </c>
      <c r="G266" s="81">
        <v>2792569.390752767</v>
      </c>
      <c r="H266" s="81">
        <v>518276.6776471438</v>
      </c>
      <c r="I266" s="156">
        <v>2469014.840306606</v>
      </c>
      <c r="J266" s="156">
        <v>546359.2671453343</v>
      </c>
      <c r="K266" s="81">
        <v>859327.972042456</v>
      </c>
      <c r="L266" s="81">
        <v>53373</v>
      </c>
      <c r="M266" s="82">
        <v>18560</v>
      </c>
      <c r="N266" s="82">
        <v>25671.853670598335</v>
      </c>
      <c r="O266" s="214">
        <f t="shared" si="48"/>
        <v>128129.9918516986</v>
      </c>
      <c r="P266" s="215">
        <f t="shared" si="49"/>
        <v>46.8140269827178</v>
      </c>
      <c r="Q266" s="81"/>
      <c r="R266" s="223">
        <v>26167526</v>
      </c>
      <c r="S266" s="156">
        <v>8449806.05970114</v>
      </c>
      <c r="T266" s="156">
        <v>777415.0164707158</v>
      </c>
      <c r="U266" s="156">
        <v>13051856.294957895</v>
      </c>
      <c r="V266" s="156">
        <v>1851244.4517213106</v>
      </c>
      <c r="W266" s="156">
        <v>2864502.390752767</v>
      </c>
      <c r="X266" s="214">
        <f t="shared" si="50"/>
        <v>827298.2136038244</v>
      </c>
      <c r="Y266" s="215">
        <f t="shared" si="51"/>
        <v>302.2646012436333</v>
      </c>
      <c r="Z266" s="81"/>
      <c r="AA266" s="94">
        <f t="shared" si="52"/>
        <v>-699168.2217521258</v>
      </c>
      <c r="AB266" s="153">
        <f t="shared" si="53"/>
        <v>-255.45057426091552</v>
      </c>
      <c r="AD266" s="216"/>
      <c r="AE266" s="224"/>
      <c r="AF266" s="224"/>
      <c r="AG266" s="224"/>
      <c r="AH266" s="225"/>
      <c r="AJ266" s="81">
        <f t="shared" si="54"/>
        <v>4697430.790384954</v>
      </c>
      <c r="AK266" s="81">
        <f t="shared" si="55"/>
        <v>259138.33882357198</v>
      </c>
      <c r="AL266" s="81">
        <f t="shared" si="56"/>
        <v>10582841.454651289</v>
      </c>
      <c r="AM266" s="81">
        <f t="shared" si="57"/>
        <v>15260127.720970606</v>
      </c>
      <c r="AN266" s="81">
        <f t="shared" si="58"/>
        <v>0</v>
      </c>
      <c r="AO266" s="81">
        <f t="shared" si="59"/>
        <v>0</v>
      </c>
      <c r="AP266" s="81">
        <f t="shared" si="60"/>
        <v>0</v>
      </c>
      <c r="AQ266" s="81">
        <f t="shared" si="61"/>
        <v>0</v>
      </c>
      <c r="AR266" s="81">
        <f t="shared" si="62"/>
        <v>0</v>
      </c>
      <c r="AS266" s="82">
        <v>1249</v>
      </c>
      <c r="AT266" s="82"/>
      <c r="AU266" s="82">
        <v>15</v>
      </c>
      <c r="AV266" s="82">
        <v>15</v>
      </c>
      <c r="AW266" s="82">
        <f>9203471.65064692*(0.001)</f>
        <v>9203.471650646921</v>
      </c>
      <c r="AX266" s="82">
        <v>-1254.3455526270877</v>
      </c>
      <c r="AY266" s="82">
        <v>1304.8851845759764</v>
      </c>
      <c r="AZ266" s="408"/>
      <c r="BA266" s="81"/>
      <c r="BB266" s="81"/>
      <c r="BC266" s="81"/>
      <c r="BD266" s="81"/>
      <c r="BE266" s="81"/>
      <c r="BF266" s="81"/>
      <c r="BG266" s="81"/>
      <c r="BO266" s="114"/>
    </row>
    <row r="267" spans="1:67" ht="12.75">
      <c r="A267" s="81">
        <v>790</v>
      </c>
      <c r="B267" s="81" t="s">
        <v>135</v>
      </c>
      <c r="C267" s="81">
        <v>6</v>
      </c>
      <c r="D267" s="81">
        <v>24052</v>
      </c>
      <c r="E267" s="100">
        <v>55800269.79956959</v>
      </c>
      <c r="F267" s="81">
        <v>37364234.63076973</v>
      </c>
      <c r="G267" s="81">
        <v>6005691.131070906</v>
      </c>
      <c r="H267" s="81">
        <v>3679060.0572055317</v>
      </c>
      <c r="I267" s="156">
        <v>12092297.552316798</v>
      </c>
      <c r="J267" s="156">
        <v>4032799.576609887</v>
      </c>
      <c r="K267" s="81">
        <v>3045030.084380393</v>
      </c>
      <c r="L267" s="81">
        <v>-2889581</v>
      </c>
      <c r="M267" s="82">
        <v>-251300</v>
      </c>
      <c r="N267" s="82">
        <v>253479.70598920758</v>
      </c>
      <c r="O267" s="214">
        <f t="shared" si="48"/>
        <v>7531441.938772857</v>
      </c>
      <c r="P267" s="215">
        <f t="shared" si="49"/>
        <v>313.13162891954335</v>
      </c>
      <c r="Q267" s="81"/>
      <c r="R267" s="223">
        <v>158607400</v>
      </c>
      <c r="S267" s="156">
        <v>84465061.68381736</v>
      </c>
      <c r="T267" s="156">
        <v>5518590.085808298</v>
      </c>
      <c r="U267" s="156">
        <v>61509280.72876181</v>
      </c>
      <c r="V267" s="156">
        <v>13670717.429985654</v>
      </c>
      <c r="W267" s="156">
        <v>2864810.1310709063</v>
      </c>
      <c r="X267" s="214">
        <f t="shared" si="50"/>
        <v>9421060.05944401</v>
      </c>
      <c r="Y267" s="215">
        <f t="shared" si="51"/>
        <v>391.6954955697659</v>
      </c>
      <c r="Z267" s="81"/>
      <c r="AA267" s="94">
        <f t="shared" si="52"/>
        <v>-1889618.120671153</v>
      </c>
      <c r="AB267" s="153">
        <f t="shared" si="53"/>
        <v>-78.56386665022256</v>
      </c>
      <c r="AD267" s="216"/>
      <c r="AE267" s="224"/>
      <c r="AF267" s="224"/>
      <c r="AG267" s="224"/>
      <c r="AH267" s="225"/>
      <c r="AJ267" s="81">
        <f t="shared" si="54"/>
        <v>47100827.05304763</v>
      </c>
      <c r="AK267" s="81">
        <f t="shared" si="55"/>
        <v>1839530.0286027659</v>
      </c>
      <c r="AL267" s="81">
        <f t="shared" si="56"/>
        <v>49416983.17644501</v>
      </c>
      <c r="AM267" s="81">
        <f t="shared" si="57"/>
        <v>102807130.20043041</v>
      </c>
      <c r="AN267" s="81">
        <f t="shared" si="58"/>
        <v>0</v>
      </c>
      <c r="AO267" s="81">
        <f t="shared" si="59"/>
        <v>0</v>
      </c>
      <c r="AP267" s="81">
        <f t="shared" si="60"/>
        <v>0</v>
      </c>
      <c r="AQ267" s="81">
        <f t="shared" si="61"/>
        <v>0</v>
      </c>
      <c r="AR267" s="81">
        <f t="shared" si="62"/>
        <v>0</v>
      </c>
      <c r="AS267" s="82">
        <v>7715</v>
      </c>
      <c r="AT267" s="82">
        <v>24</v>
      </c>
      <c r="AU267" s="82"/>
      <c r="AV267" s="82">
        <v>24</v>
      </c>
      <c r="AW267" s="82">
        <f>42294744.7037158*(0.001)</f>
        <v>42294.74470371577</v>
      </c>
      <c r="AX267" s="82">
        <v>-7273.701126767094</v>
      </c>
      <c r="AY267" s="82">
        <v>9637.917853375766</v>
      </c>
      <c r="AZ267" s="408"/>
      <c r="BA267" s="81"/>
      <c r="BB267" s="81"/>
      <c r="BC267" s="81"/>
      <c r="BD267" s="81"/>
      <c r="BE267" s="81"/>
      <c r="BF267" s="81"/>
      <c r="BG267" s="81"/>
      <c r="BO267" s="114"/>
    </row>
    <row r="268" spans="1:67" ht="12.75">
      <c r="A268" s="81">
        <v>791</v>
      </c>
      <c r="B268" s="81" t="s">
        <v>136</v>
      </c>
      <c r="C268" s="81">
        <v>17</v>
      </c>
      <c r="D268" s="81">
        <v>5203</v>
      </c>
      <c r="E268" s="100">
        <v>14340929.275680974</v>
      </c>
      <c r="F268" s="81">
        <v>6791471.541467063</v>
      </c>
      <c r="G268" s="81">
        <v>1333223.610777542</v>
      </c>
      <c r="H268" s="81">
        <v>1033766.0342384065</v>
      </c>
      <c r="I268" s="156">
        <v>5701454.33875844</v>
      </c>
      <c r="J268" s="156">
        <v>1137247.8220956125</v>
      </c>
      <c r="K268" s="81">
        <v>1113934.0084176224</v>
      </c>
      <c r="L268" s="81">
        <v>-580794</v>
      </c>
      <c r="M268" s="82">
        <v>58300</v>
      </c>
      <c r="N268" s="82">
        <v>42488.19422332172</v>
      </c>
      <c r="O268" s="214">
        <f t="shared" si="48"/>
        <v>2290162.2742970325</v>
      </c>
      <c r="P268" s="215">
        <f t="shared" si="49"/>
        <v>440.1618824326413</v>
      </c>
      <c r="Q268" s="81"/>
      <c r="R268" s="223">
        <v>39216076</v>
      </c>
      <c r="S268" s="156">
        <v>14477956.872630602</v>
      </c>
      <c r="T268" s="156">
        <v>1550649.0513576097</v>
      </c>
      <c r="U268" s="156">
        <v>21112244.548069116</v>
      </c>
      <c r="V268" s="156">
        <v>3834516.5675081178</v>
      </c>
      <c r="W268" s="156">
        <v>810729.610777542</v>
      </c>
      <c r="X268" s="214">
        <f t="shared" si="50"/>
        <v>2570020.650342986</v>
      </c>
      <c r="Y268" s="215">
        <f t="shared" si="51"/>
        <v>493.9497694297494</v>
      </c>
      <c r="Z268" s="81"/>
      <c r="AA268" s="94">
        <f t="shared" si="52"/>
        <v>-279858.3760459535</v>
      </c>
      <c r="AB268" s="153">
        <f t="shared" si="53"/>
        <v>-53.78788699710811</v>
      </c>
      <c r="AD268" s="216"/>
      <c r="AE268" s="224"/>
      <c r="AF268" s="224"/>
      <c r="AG268" s="224"/>
      <c r="AH268" s="225"/>
      <c r="AJ268" s="81">
        <f t="shared" si="54"/>
        <v>7686485.331163539</v>
      </c>
      <c r="AK268" s="81">
        <f t="shared" si="55"/>
        <v>516883.0171192032</v>
      </c>
      <c r="AL268" s="81">
        <f t="shared" si="56"/>
        <v>15410790.209310677</v>
      </c>
      <c r="AM268" s="81">
        <f t="shared" si="57"/>
        <v>24875146.724319026</v>
      </c>
      <c r="AN268" s="81">
        <f t="shared" si="58"/>
        <v>0</v>
      </c>
      <c r="AO268" s="81">
        <f t="shared" si="59"/>
        <v>0</v>
      </c>
      <c r="AP268" s="81">
        <f t="shared" si="60"/>
        <v>0</v>
      </c>
      <c r="AQ268" s="81">
        <f t="shared" si="61"/>
        <v>0</v>
      </c>
      <c r="AR268" s="81">
        <f t="shared" si="62"/>
        <v>0</v>
      </c>
      <c r="AS268" s="82">
        <v>1212</v>
      </c>
      <c r="AT268" s="82">
        <v>27</v>
      </c>
      <c r="AU268" s="82"/>
      <c r="AV268" s="82">
        <v>27</v>
      </c>
      <c r="AW268" s="82">
        <f>13095811.017951*(0.001)</f>
        <v>13095.811017951044</v>
      </c>
      <c r="AX268" s="82">
        <v>-2780.1361750244732</v>
      </c>
      <c r="AY268" s="82">
        <v>2697.2687454125053</v>
      </c>
      <c r="AZ268" s="408"/>
      <c r="BA268" s="81"/>
      <c r="BB268" s="81"/>
      <c r="BC268" s="81"/>
      <c r="BD268" s="81"/>
      <c r="BE268" s="81"/>
      <c r="BF268" s="81"/>
      <c r="BG268" s="81"/>
      <c r="BO268" s="114"/>
    </row>
    <row r="269" spans="1:67" ht="12.75">
      <c r="A269" s="81">
        <v>831</v>
      </c>
      <c r="B269" s="81" t="s">
        <v>385</v>
      </c>
      <c r="C269" s="81">
        <v>9</v>
      </c>
      <c r="D269" s="81">
        <v>4628</v>
      </c>
      <c r="E269" s="100">
        <v>11703111.034448076</v>
      </c>
      <c r="F269" s="81">
        <v>7636983.802344242</v>
      </c>
      <c r="G269" s="81">
        <v>2095905.260055461</v>
      </c>
      <c r="H269" s="81">
        <v>538246.905343759</v>
      </c>
      <c r="I269" s="156">
        <v>2534681.9052712736</v>
      </c>
      <c r="J269" s="156">
        <v>623756.1995213656</v>
      </c>
      <c r="K269" s="81">
        <v>-67129.92637894966</v>
      </c>
      <c r="L269" s="81">
        <v>-1065438</v>
      </c>
      <c r="M269" s="82">
        <v>-159500</v>
      </c>
      <c r="N269" s="82">
        <v>54920.243668018054</v>
      </c>
      <c r="O269" s="214">
        <f t="shared" si="48"/>
        <v>489315.35537709296</v>
      </c>
      <c r="P269" s="215">
        <f t="shared" si="49"/>
        <v>105.72933348683945</v>
      </c>
      <c r="Q269" s="81"/>
      <c r="R269" s="223">
        <v>27430571</v>
      </c>
      <c r="S269" s="156">
        <v>17971535.013230998</v>
      </c>
      <c r="T269" s="156">
        <v>807370.3580156384</v>
      </c>
      <c r="U269" s="156">
        <v>6290417.4445903115</v>
      </c>
      <c r="V269" s="156">
        <v>2135229.9716104115</v>
      </c>
      <c r="W269" s="156">
        <v>870967.260055461</v>
      </c>
      <c r="X269" s="214">
        <f t="shared" si="50"/>
        <v>644949.0475028194</v>
      </c>
      <c r="Y269" s="215">
        <f t="shared" si="51"/>
        <v>139.35804829360836</v>
      </c>
      <c r="Z269" s="81"/>
      <c r="AA269" s="94">
        <f t="shared" si="52"/>
        <v>-155633.6921257265</v>
      </c>
      <c r="AB269" s="153">
        <f t="shared" si="53"/>
        <v>-33.628714806768905</v>
      </c>
      <c r="AD269" s="216"/>
      <c r="AE269" s="224"/>
      <c r="AF269" s="224"/>
      <c r="AG269" s="224"/>
      <c r="AH269" s="225"/>
      <c r="AJ269" s="81">
        <f t="shared" si="54"/>
        <v>10334551.210886756</v>
      </c>
      <c r="AK269" s="81">
        <f t="shared" si="55"/>
        <v>269123.45267187944</v>
      </c>
      <c r="AL269" s="81">
        <f t="shared" si="56"/>
        <v>3755735.539319038</v>
      </c>
      <c r="AM269" s="81">
        <f t="shared" si="57"/>
        <v>15727459.965551924</v>
      </c>
      <c r="AN269" s="81">
        <f t="shared" si="58"/>
        <v>0</v>
      </c>
      <c r="AO269" s="81">
        <f t="shared" si="59"/>
        <v>0</v>
      </c>
      <c r="AP269" s="81">
        <f t="shared" si="60"/>
        <v>0</v>
      </c>
      <c r="AQ269" s="81">
        <f t="shared" si="61"/>
        <v>0</v>
      </c>
      <c r="AR269" s="81">
        <f t="shared" si="62"/>
        <v>0</v>
      </c>
      <c r="AS269" s="82">
        <v>1666</v>
      </c>
      <c r="AT269" s="82"/>
      <c r="AU269" s="82">
        <v>4</v>
      </c>
      <c r="AV269" s="82">
        <v>4</v>
      </c>
      <c r="AW269" s="82">
        <f>3509217.86187544*(0.001)</f>
        <v>3509.217861875436</v>
      </c>
      <c r="AX269" s="82">
        <v>-48.25896503545985</v>
      </c>
      <c r="AY269" s="82">
        <v>1511.473772089046</v>
      </c>
      <c r="AZ269" s="408"/>
      <c r="BA269" s="81"/>
      <c r="BB269" s="81"/>
      <c r="BC269" s="81"/>
      <c r="BD269" s="81"/>
      <c r="BE269" s="81"/>
      <c r="BF269" s="81"/>
      <c r="BG269" s="81"/>
      <c r="BO269" s="114"/>
    </row>
    <row r="270" spans="1:67" ht="12.75">
      <c r="A270" s="81">
        <v>832</v>
      </c>
      <c r="B270" s="81" t="s">
        <v>386</v>
      </c>
      <c r="C270" s="81">
        <v>17</v>
      </c>
      <c r="D270" s="81">
        <v>3916</v>
      </c>
      <c r="E270" s="100">
        <v>15112291.754400894</v>
      </c>
      <c r="F270" s="81">
        <v>4555490.625672147</v>
      </c>
      <c r="G270" s="81">
        <v>930335.3166945785</v>
      </c>
      <c r="H270" s="81">
        <v>1145405.7124174298</v>
      </c>
      <c r="I270" s="156">
        <v>5077699.832466366</v>
      </c>
      <c r="J270" s="156">
        <v>717796.1389314602</v>
      </c>
      <c r="K270" s="81">
        <v>2448876.566346621</v>
      </c>
      <c r="L270" s="81">
        <v>-120261</v>
      </c>
      <c r="M270" s="82">
        <v>6000</v>
      </c>
      <c r="N270" s="82">
        <v>35093.16847678625</v>
      </c>
      <c r="O270" s="214">
        <f t="shared" si="48"/>
        <v>-315855.39339550585</v>
      </c>
      <c r="P270" s="215">
        <f t="shared" si="49"/>
        <v>-80.6576591919065</v>
      </c>
      <c r="Q270" s="81"/>
      <c r="R270" s="223">
        <v>32320824</v>
      </c>
      <c r="S270" s="156">
        <v>10758368.44042082</v>
      </c>
      <c r="T270" s="156">
        <v>1718108.568626145</v>
      </c>
      <c r="U270" s="156">
        <v>17909097.829715773</v>
      </c>
      <c r="V270" s="156">
        <v>2425683.765844951</v>
      </c>
      <c r="W270" s="156">
        <v>816074.3166945785</v>
      </c>
      <c r="X270" s="214">
        <f t="shared" si="50"/>
        <v>1306508.9213022664</v>
      </c>
      <c r="Y270" s="215">
        <f t="shared" si="51"/>
        <v>333.63353455114054</v>
      </c>
      <c r="Z270" s="81"/>
      <c r="AA270" s="94">
        <f t="shared" si="52"/>
        <v>-1622364.3146977723</v>
      </c>
      <c r="AB270" s="153">
        <f t="shared" si="53"/>
        <v>-414.2911937430471</v>
      </c>
      <c r="AD270" s="216"/>
      <c r="AE270" s="224"/>
      <c r="AF270" s="224"/>
      <c r="AG270" s="224"/>
      <c r="AH270" s="225"/>
      <c r="AJ270" s="81">
        <f t="shared" si="54"/>
        <v>6202877.814748673</v>
      </c>
      <c r="AK270" s="81">
        <f t="shared" si="55"/>
        <v>572702.8562087151</v>
      </c>
      <c r="AL270" s="81">
        <f t="shared" si="56"/>
        <v>12831397.997249408</v>
      </c>
      <c r="AM270" s="81">
        <f t="shared" si="57"/>
        <v>17208532.245599106</v>
      </c>
      <c r="AN270" s="81">
        <f t="shared" si="58"/>
        <v>0</v>
      </c>
      <c r="AO270" s="81">
        <f t="shared" si="59"/>
        <v>0</v>
      </c>
      <c r="AP270" s="81">
        <f t="shared" si="60"/>
        <v>0</v>
      </c>
      <c r="AQ270" s="81">
        <f t="shared" si="61"/>
        <v>0</v>
      </c>
      <c r="AR270" s="81">
        <f t="shared" si="62"/>
        <v>0</v>
      </c>
      <c r="AS270" s="82">
        <v>2707</v>
      </c>
      <c r="AT270" s="82">
        <v>152</v>
      </c>
      <c r="AU270" s="82">
        <v>1</v>
      </c>
      <c r="AV270" s="82">
        <v>153</v>
      </c>
      <c r="AW270" s="82">
        <f>10957451.4405014*(0.001)</f>
        <v>10957.451440501405</v>
      </c>
      <c r="AX270" s="82">
        <v>-1885.9674583586739</v>
      </c>
      <c r="AY270" s="82">
        <v>1707.8876269134907</v>
      </c>
      <c r="AZ270" s="408"/>
      <c r="BA270" s="81"/>
      <c r="BB270" s="81"/>
      <c r="BC270" s="81"/>
      <c r="BD270" s="81"/>
      <c r="BE270" s="81"/>
      <c r="BF270" s="81"/>
      <c r="BG270" s="81"/>
      <c r="BO270" s="114"/>
    </row>
    <row r="271" spans="1:67" ht="12.75">
      <c r="A271" s="81">
        <v>833</v>
      </c>
      <c r="B271" s="81" t="s">
        <v>387</v>
      </c>
      <c r="C271" s="81">
        <v>2</v>
      </c>
      <c r="D271" s="81">
        <v>1659</v>
      </c>
      <c r="E271" s="100">
        <v>4590015.425659463</v>
      </c>
      <c r="F271" s="81">
        <v>2324426.9863449135</v>
      </c>
      <c r="G271" s="81">
        <v>1244425.2463201443</v>
      </c>
      <c r="H271" s="81">
        <v>161342.63388228437</v>
      </c>
      <c r="I271" s="156">
        <v>478284.94393572025</v>
      </c>
      <c r="J271" s="156">
        <v>298491.8647255966</v>
      </c>
      <c r="K271" s="81">
        <v>290654.60695013055</v>
      </c>
      <c r="L271" s="81">
        <v>-401846</v>
      </c>
      <c r="M271" s="82">
        <v>-93000</v>
      </c>
      <c r="N271" s="82">
        <v>17355.115334843485</v>
      </c>
      <c r="O271" s="214">
        <f t="shared" si="48"/>
        <v>-269880.0281658303</v>
      </c>
      <c r="P271" s="215">
        <f t="shared" si="49"/>
        <v>-162.67632800833653</v>
      </c>
      <c r="Q271" s="81"/>
      <c r="R271" s="223">
        <v>11672974</v>
      </c>
      <c r="S271" s="156">
        <v>5594578.325465358</v>
      </c>
      <c r="T271" s="156">
        <v>242013.95082342657</v>
      </c>
      <c r="U271" s="156">
        <v>4300054.9060949925</v>
      </c>
      <c r="V271" s="156">
        <v>1013251.4875793348</v>
      </c>
      <c r="W271" s="156">
        <v>749579.2463201443</v>
      </c>
      <c r="X271" s="214">
        <f t="shared" si="50"/>
        <v>226503.91628325544</v>
      </c>
      <c r="Y271" s="215">
        <f t="shared" si="51"/>
        <v>136.5303895619382</v>
      </c>
      <c r="Z271" s="81"/>
      <c r="AA271" s="94">
        <f t="shared" si="52"/>
        <v>-496383.94444908574</v>
      </c>
      <c r="AB271" s="153">
        <f t="shared" si="53"/>
        <v>-299.2067175702747</v>
      </c>
      <c r="AD271" s="216"/>
      <c r="AE271" s="224"/>
      <c r="AF271" s="224"/>
      <c r="AG271" s="224"/>
      <c r="AH271" s="225"/>
      <c r="AJ271" s="81">
        <f t="shared" si="54"/>
        <v>3270151.3391204444</v>
      </c>
      <c r="AK271" s="81">
        <f t="shared" si="55"/>
        <v>80671.3169411422</v>
      </c>
      <c r="AL271" s="81">
        <f t="shared" si="56"/>
        <v>3821769.9621592723</v>
      </c>
      <c r="AM271" s="81">
        <f t="shared" si="57"/>
        <v>7082958.574340537</v>
      </c>
      <c r="AN271" s="81">
        <f t="shared" si="58"/>
        <v>0</v>
      </c>
      <c r="AO271" s="81">
        <f t="shared" si="59"/>
        <v>0</v>
      </c>
      <c r="AP271" s="81">
        <f t="shared" si="60"/>
        <v>0</v>
      </c>
      <c r="AQ271" s="81">
        <f t="shared" si="61"/>
        <v>0</v>
      </c>
      <c r="AR271" s="81">
        <f t="shared" si="62"/>
        <v>0</v>
      </c>
      <c r="AS271" s="82">
        <v>456</v>
      </c>
      <c r="AT271" s="82">
        <v>27</v>
      </c>
      <c r="AU271" s="82"/>
      <c r="AV271" s="82">
        <v>27</v>
      </c>
      <c r="AW271" s="82">
        <f>3232208.55888659*(0.001)</f>
        <v>3232.208558886586</v>
      </c>
      <c r="AX271" s="82">
        <v>-287.7101159620459</v>
      </c>
      <c r="AY271" s="82">
        <v>714.7596228537382</v>
      </c>
      <c r="AZ271" s="408"/>
      <c r="BA271" s="81"/>
      <c r="BB271" s="81"/>
      <c r="BC271" s="81"/>
      <c r="BD271" s="81"/>
      <c r="BE271" s="81"/>
      <c r="BF271" s="81"/>
      <c r="BG271" s="81"/>
      <c r="BO271" s="114"/>
    </row>
    <row r="272" spans="1:67" ht="12.75">
      <c r="A272" s="81">
        <v>834</v>
      </c>
      <c r="B272" s="81" t="s">
        <v>388</v>
      </c>
      <c r="C272" s="81">
        <v>5</v>
      </c>
      <c r="D272" s="81">
        <v>6016</v>
      </c>
      <c r="E272" s="100">
        <v>14640771.330314897</v>
      </c>
      <c r="F272" s="81">
        <v>9721967.058677197</v>
      </c>
      <c r="G272" s="81">
        <v>1816915.745878519</v>
      </c>
      <c r="H272" s="81">
        <v>1054158.8366345733</v>
      </c>
      <c r="I272" s="156">
        <v>2752098.4774671555</v>
      </c>
      <c r="J272" s="156">
        <v>1009876.0296218926</v>
      </c>
      <c r="K272" s="81">
        <v>1295399.5961393712</v>
      </c>
      <c r="L272" s="81">
        <v>-1430316</v>
      </c>
      <c r="M272" s="82">
        <v>-49360</v>
      </c>
      <c r="N272" s="82">
        <v>68422.99958336753</v>
      </c>
      <c r="O272" s="214">
        <f t="shared" si="48"/>
        <v>1598391.4136871789</v>
      </c>
      <c r="P272" s="215">
        <f t="shared" si="49"/>
        <v>265.690062115555</v>
      </c>
      <c r="Q272" s="81"/>
      <c r="R272" s="223">
        <v>36764941</v>
      </c>
      <c r="S272" s="156">
        <v>22405594.269277174</v>
      </c>
      <c r="T272" s="156">
        <v>1581238.2549518598</v>
      </c>
      <c r="U272" s="156">
        <v>11469651.686095424</v>
      </c>
      <c r="V272" s="156">
        <v>3426764.1982264714</v>
      </c>
      <c r="W272" s="156">
        <v>337239.745878519</v>
      </c>
      <c r="X272" s="214">
        <f t="shared" si="50"/>
        <v>2455547.1544294506</v>
      </c>
      <c r="Y272" s="215">
        <f t="shared" si="51"/>
        <v>408.1694073187252</v>
      </c>
      <c r="Z272" s="81"/>
      <c r="AA272" s="94">
        <f t="shared" si="52"/>
        <v>-857155.7407422718</v>
      </c>
      <c r="AB272" s="153">
        <f t="shared" si="53"/>
        <v>-142.47934520317017</v>
      </c>
      <c r="AD272" s="216"/>
      <c r="AE272" s="224"/>
      <c r="AF272" s="224"/>
      <c r="AG272" s="224"/>
      <c r="AH272" s="225"/>
      <c r="AJ272" s="81">
        <f t="shared" si="54"/>
        <v>12683627.210599978</v>
      </c>
      <c r="AK272" s="81">
        <f t="shared" si="55"/>
        <v>527079.4183172865</v>
      </c>
      <c r="AL272" s="81">
        <f t="shared" si="56"/>
        <v>8717553.208628269</v>
      </c>
      <c r="AM272" s="81">
        <f t="shared" si="57"/>
        <v>22124169.669685103</v>
      </c>
      <c r="AN272" s="81">
        <f t="shared" si="58"/>
        <v>0</v>
      </c>
      <c r="AO272" s="81">
        <f t="shared" si="59"/>
        <v>0</v>
      </c>
      <c r="AP272" s="81">
        <f t="shared" si="60"/>
        <v>0</v>
      </c>
      <c r="AQ272" s="81">
        <f t="shared" si="61"/>
        <v>0</v>
      </c>
      <c r="AR272" s="81">
        <f t="shared" si="62"/>
        <v>0</v>
      </c>
      <c r="AS272" s="82">
        <v>2133</v>
      </c>
      <c r="AT272" s="82"/>
      <c r="AU272" s="82"/>
      <c r="AV272" s="82">
        <v>0</v>
      </c>
      <c r="AW272" s="82">
        <f>7854416.0009009*(0.001)</f>
        <v>7854.416000900898</v>
      </c>
      <c r="AX272" s="82">
        <v>-872.3477569592061</v>
      </c>
      <c r="AY272" s="82">
        <v>2416.888168604579</v>
      </c>
      <c r="AZ272" s="408"/>
      <c r="BA272" s="81"/>
      <c r="BB272" s="81"/>
      <c r="BC272" s="81"/>
      <c r="BD272" s="81"/>
      <c r="BE272" s="81"/>
      <c r="BF272" s="81"/>
      <c r="BG272" s="81"/>
      <c r="BO272" s="114"/>
    </row>
    <row r="273" spans="1:67" ht="12.75">
      <c r="A273" s="81">
        <v>837</v>
      </c>
      <c r="B273" s="81" t="s">
        <v>389</v>
      </c>
      <c r="C273" s="81">
        <v>6</v>
      </c>
      <c r="D273" s="81">
        <v>241009</v>
      </c>
      <c r="E273" s="100">
        <v>545592847.0697268</v>
      </c>
      <c r="F273" s="81">
        <v>355571211.5843076</v>
      </c>
      <c r="G273" s="81">
        <v>95272958.82700764</v>
      </c>
      <c r="H273" s="81">
        <v>60704951.47480587</v>
      </c>
      <c r="I273" s="156">
        <v>22511680.2281663</v>
      </c>
      <c r="J273" s="156">
        <v>32595326.549026832</v>
      </c>
      <c r="K273" s="81">
        <v>-83441061.28903405</v>
      </c>
      <c r="L273" s="81">
        <v>67761072</v>
      </c>
      <c r="M273" s="82">
        <v>18318000</v>
      </c>
      <c r="N273" s="82">
        <v>2859982.8030309053</v>
      </c>
      <c r="O273" s="214">
        <f t="shared" si="48"/>
        <v>26561275.107584357</v>
      </c>
      <c r="P273" s="215">
        <f t="shared" si="49"/>
        <v>110.20864410700163</v>
      </c>
      <c r="Q273" s="81"/>
      <c r="R273" s="223">
        <v>1467864500</v>
      </c>
      <c r="S273" s="156">
        <v>877407239.7805148</v>
      </c>
      <c r="T273" s="156">
        <v>91057427.21220881</v>
      </c>
      <c r="U273" s="156">
        <v>194627111.12912902</v>
      </c>
      <c r="V273" s="156">
        <v>111403346.29191819</v>
      </c>
      <c r="W273" s="156">
        <v>181352030.82700765</v>
      </c>
      <c r="X273" s="214">
        <f t="shared" si="50"/>
        <v>-12017344.759221554</v>
      </c>
      <c r="Y273" s="215">
        <f t="shared" si="51"/>
        <v>-49.862638985355545</v>
      </c>
      <c r="Z273" s="81"/>
      <c r="AA273" s="94">
        <f t="shared" si="52"/>
        <v>38578619.86680591</v>
      </c>
      <c r="AB273" s="153">
        <f t="shared" si="53"/>
        <v>160.0712830923572</v>
      </c>
      <c r="AD273" s="216"/>
      <c r="AE273" s="224"/>
      <c r="AF273" s="224"/>
      <c r="AG273" s="224"/>
      <c r="AH273" s="225"/>
      <c r="AJ273" s="81">
        <f t="shared" si="54"/>
        <v>521836028.1962072</v>
      </c>
      <c r="AK273" s="81">
        <f t="shared" si="55"/>
        <v>30352475.73740294</v>
      </c>
      <c r="AL273" s="81">
        <f t="shared" si="56"/>
        <v>172115430.9009627</v>
      </c>
      <c r="AM273" s="81">
        <f t="shared" si="57"/>
        <v>922271652.9302732</v>
      </c>
      <c r="AN273" s="81">
        <f t="shared" si="58"/>
        <v>0</v>
      </c>
      <c r="AO273" s="81">
        <f t="shared" si="59"/>
        <v>0</v>
      </c>
      <c r="AP273" s="81">
        <f t="shared" si="60"/>
        <v>0</v>
      </c>
      <c r="AQ273" s="81">
        <f t="shared" si="61"/>
        <v>0</v>
      </c>
      <c r="AR273" s="81">
        <f t="shared" si="62"/>
        <v>0</v>
      </c>
      <c r="AS273" s="82">
        <v>111513</v>
      </c>
      <c r="AT273" s="82">
        <v>1611</v>
      </c>
      <c r="AU273" s="82">
        <v>1215</v>
      </c>
      <c r="AV273" s="82">
        <v>2826</v>
      </c>
      <c r="AW273" s="82">
        <f>157928944.668083*(0.001)</f>
        <v>157928.94466808252</v>
      </c>
      <c r="AX273" s="82">
        <v>2751.4360335395577</v>
      </c>
      <c r="AY273" s="82">
        <v>78808.01974289135</v>
      </c>
      <c r="AZ273" s="408"/>
      <c r="BA273" s="81"/>
      <c r="BB273" s="81"/>
      <c r="BC273" s="81"/>
      <c r="BD273" s="81"/>
      <c r="BE273" s="81"/>
      <c r="BF273" s="81"/>
      <c r="BG273" s="81"/>
      <c r="BO273" s="114"/>
    </row>
    <row r="274" spans="1:67" ht="12.75">
      <c r="A274" s="81">
        <v>844</v>
      </c>
      <c r="B274" s="81" t="s">
        <v>390</v>
      </c>
      <c r="C274" s="81">
        <v>11</v>
      </c>
      <c r="D274" s="81">
        <v>1503</v>
      </c>
      <c r="E274" s="100">
        <v>3787936.0165846646</v>
      </c>
      <c r="F274" s="81">
        <v>2036289.2079520936</v>
      </c>
      <c r="G274" s="81">
        <v>512650.9169824566</v>
      </c>
      <c r="H274" s="81">
        <v>375389.79825618933</v>
      </c>
      <c r="I274" s="156">
        <v>572707.260792075</v>
      </c>
      <c r="J274" s="156">
        <v>333557.1137072453</v>
      </c>
      <c r="K274" s="81">
        <v>159807.12834889992</v>
      </c>
      <c r="L274" s="81">
        <v>-390912</v>
      </c>
      <c r="M274" s="82">
        <v>185500</v>
      </c>
      <c r="N274" s="82">
        <v>13932.658804848903</v>
      </c>
      <c r="O274" s="214">
        <f t="shared" si="48"/>
        <v>10986.068259144202</v>
      </c>
      <c r="P274" s="215">
        <f t="shared" si="49"/>
        <v>7.309426652790553</v>
      </c>
      <c r="Q274" s="81"/>
      <c r="R274" s="223">
        <v>12460000</v>
      </c>
      <c r="S274" s="156">
        <v>4538629.372361344</v>
      </c>
      <c r="T274" s="156">
        <v>563084.6973842841</v>
      </c>
      <c r="U274" s="156">
        <v>5909291.992152568</v>
      </c>
      <c r="V274" s="156">
        <v>1124373.2703085274</v>
      </c>
      <c r="W274" s="156">
        <v>307238.9169824566</v>
      </c>
      <c r="X274" s="214">
        <f t="shared" si="50"/>
        <v>-17381.75081082061</v>
      </c>
      <c r="Y274" s="215">
        <f t="shared" si="51"/>
        <v>-11.564704464950506</v>
      </c>
      <c r="Z274" s="81"/>
      <c r="AA274" s="94">
        <f t="shared" si="52"/>
        <v>28367.81906996481</v>
      </c>
      <c r="AB274" s="153">
        <f t="shared" si="53"/>
        <v>18.874131117741058</v>
      </c>
      <c r="AD274" s="216"/>
      <c r="AE274" s="224"/>
      <c r="AF274" s="224"/>
      <c r="AG274" s="224"/>
      <c r="AH274" s="225"/>
      <c r="AJ274" s="81">
        <f t="shared" si="54"/>
        <v>2502340.164409251</v>
      </c>
      <c r="AK274" s="81">
        <f t="shared" si="55"/>
        <v>187694.89912809478</v>
      </c>
      <c r="AL274" s="81">
        <f t="shared" si="56"/>
        <v>5336584.731360493</v>
      </c>
      <c r="AM274" s="81">
        <f t="shared" si="57"/>
        <v>8672063.983415335</v>
      </c>
      <c r="AN274" s="81">
        <f t="shared" si="58"/>
        <v>0</v>
      </c>
      <c r="AO274" s="81">
        <f t="shared" si="59"/>
        <v>0</v>
      </c>
      <c r="AP274" s="81">
        <f t="shared" si="60"/>
        <v>0</v>
      </c>
      <c r="AQ274" s="81">
        <f t="shared" si="61"/>
        <v>0</v>
      </c>
      <c r="AR274" s="81">
        <f t="shared" si="62"/>
        <v>0</v>
      </c>
      <c r="AS274" s="82">
        <v>261</v>
      </c>
      <c r="AT274" s="82"/>
      <c r="AU274" s="82">
        <v>1</v>
      </c>
      <c r="AV274" s="82">
        <v>1</v>
      </c>
      <c r="AW274" s="82">
        <f>4710328.42148825*(0.001)</f>
        <v>4710.328421488249</v>
      </c>
      <c r="AX274" s="82">
        <v>-761.8533944448825</v>
      </c>
      <c r="AY274" s="82">
        <v>790.816156601282</v>
      </c>
      <c r="AZ274" s="408"/>
      <c r="BA274" s="81"/>
      <c r="BB274" s="81"/>
      <c r="BC274" s="81"/>
      <c r="BD274" s="81"/>
      <c r="BE274" s="81"/>
      <c r="BF274" s="81"/>
      <c r="BG274" s="81"/>
      <c r="BO274" s="114"/>
    </row>
    <row r="275" spans="1:67" ht="12.75">
      <c r="A275" s="81">
        <v>845</v>
      </c>
      <c r="B275" s="81" t="s">
        <v>391</v>
      </c>
      <c r="C275" s="81">
        <v>19</v>
      </c>
      <c r="D275" s="81">
        <v>2925</v>
      </c>
      <c r="E275" s="100">
        <v>11580224.902326092</v>
      </c>
      <c r="F275" s="81">
        <v>3567429.690110402</v>
      </c>
      <c r="G275" s="81">
        <v>2705667.501215766</v>
      </c>
      <c r="H275" s="81">
        <v>420179.7500259589</v>
      </c>
      <c r="I275" s="156">
        <v>3238425.4446798135</v>
      </c>
      <c r="J275" s="156">
        <v>516241.2589011411</v>
      </c>
      <c r="K275" s="81">
        <v>808815.480681743</v>
      </c>
      <c r="L275" s="81">
        <v>-90382</v>
      </c>
      <c r="M275" s="82">
        <v>144000</v>
      </c>
      <c r="N275" s="82">
        <v>28564.178490029022</v>
      </c>
      <c r="O275" s="214">
        <f t="shared" si="48"/>
        <v>-241283.5982212387</v>
      </c>
      <c r="P275" s="215">
        <f t="shared" si="49"/>
        <v>-82.49011904999614</v>
      </c>
      <c r="Q275" s="81"/>
      <c r="R275" s="223">
        <v>23961400</v>
      </c>
      <c r="S275" s="156">
        <v>8872341.85279719</v>
      </c>
      <c r="T275" s="156">
        <v>630269.6250389384</v>
      </c>
      <c r="U275" s="156">
        <v>10182851.704026781</v>
      </c>
      <c r="V275" s="156">
        <v>1752874.85895665</v>
      </c>
      <c r="W275" s="156">
        <v>2759285.501215766</v>
      </c>
      <c r="X275" s="214">
        <f t="shared" si="50"/>
        <v>236223.54203532636</v>
      </c>
      <c r="Y275" s="215">
        <f t="shared" si="51"/>
        <v>80.76018531122268</v>
      </c>
      <c r="Z275" s="81"/>
      <c r="AA275" s="94">
        <f t="shared" si="52"/>
        <v>-477507.14025656506</v>
      </c>
      <c r="AB275" s="153">
        <f t="shared" si="53"/>
        <v>-163.25030436121884</v>
      </c>
      <c r="AD275" s="216"/>
      <c r="AE275" s="224"/>
      <c r="AF275" s="224"/>
      <c r="AG275" s="224"/>
      <c r="AH275" s="225"/>
      <c r="AJ275" s="81">
        <f t="shared" si="54"/>
        <v>5304912.162686788</v>
      </c>
      <c r="AK275" s="81">
        <f t="shared" si="55"/>
        <v>210089.87501297944</v>
      </c>
      <c r="AL275" s="81">
        <f t="shared" si="56"/>
        <v>6944426.259346968</v>
      </c>
      <c r="AM275" s="81">
        <f t="shared" si="57"/>
        <v>12381175.097673908</v>
      </c>
      <c r="AN275" s="81">
        <f t="shared" si="58"/>
        <v>0</v>
      </c>
      <c r="AO275" s="81">
        <f t="shared" si="59"/>
        <v>0</v>
      </c>
      <c r="AP275" s="81">
        <f t="shared" si="60"/>
        <v>0</v>
      </c>
      <c r="AQ275" s="81">
        <f t="shared" si="61"/>
        <v>0</v>
      </c>
      <c r="AR275" s="81">
        <f t="shared" si="62"/>
        <v>0</v>
      </c>
      <c r="AS275" s="82">
        <v>1325</v>
      </c>
      <c r="AT275" s="82">
        <v>43</v>
      </c>
      <c r="AU275" s="82"/>
      <c r="AV275" s="82">
        <v>43</v>
      </c>
      <c r="AW275" s="82">
        <f>5942592.55654771*(0.001)</f>
        <v>5942.592556547708</v>
      </c>
      <c r="AX275" s="82">
        <v>-1064.8819936525256</v>
      </c>
      <c r="AY275" s="82">
        <v>1236.6336000555089</v>
      </c>
      <c r="AZ275" s="408"/>
      <c r="BA275" s="81"/>
      <c r="BB275" s="81"/>
      <c r="BC275" s="81"/>
      <c r="BD275" s="81"/>
      <c r="BE275" s="81"/>
      <c r="BF275" s="81"/>
      <c r="BG275" s="81"/>
      <c r="BO275" s="114"/>
    </row>
    <row r="276" spans="1:67" ht="12.75">
      <c r="A276" s="81">
        <v>846</v>
      </c>
      <c r="B276" s="81" t="s">
        <v>392</v>
      </c>
      <c r="C276" s="81">
        <v>14</v>
      </c>
      <c r="D276" s="81">
        <v>4994</v>
      </c>
      <c r="E276" s="100">
        <v>9009571.8616223</v>
      </c>
      <c r="F276" s="81">
        <v>7212937.861597267</v>
      </c>
      <c r="G276" s="81">
        <v>1110192.5566411647</v>
      </c>
      <c r="H276" s="81">
        <v>635343.6226518379</v>
      </c>
      <c r="I276" s="156">
        <v>3456795.4372946755</v>
      </c>
      <c r="J276" s="156">
        <v>1043020.8051574999</v>
      </c>
      <c r="K276" s="81">
        <v>305279.56950981566</v>
      </c>
      <c r="L276" s="81">
        <v>-637249</v>
      </c>
      <c r="M276" s="82">
        <v>-350000</v>
      </c>
      <c r="N276" s="82">
        <v>42096.966913969816</v>
      </c>
      <c r="O276" s="214">
        <f aca="true" t="shared" si="63" ref="O276:O312">N276+M276+L276+K276+J276+I276+H276+G276+F276-E276</f>
        <v>3808845.958143931</v>
      </c>
      <c r="P276" s="215">
        <f aca="true" t="shared" si="64" ref="P276:P312">O276/D276</f>
        <v>762.6844129242953</v>
      </c>
      <c r="Q276" s="81"/>
      <c r="R276" s="223">
        <v>33736419</v>
      </c>
      <c r="S276" s="156">
        <v>15023098.551827997</v>
      </c>
      <c r="T276" s="156">
        <v>953015.4339777569</v>
      </c>
      <c r="U276" s="156">
        <v>17679033.39443565</v>
      </c>
      <c r="V276" s="156">
        <v>3521400.652306777</v>
      </c>
      <c r="W276" s="156">
        <v>122943.5566411647</v>
      </c>
      <c r="X276" s="214">
        <f aca="true" t="shared" si="65" ref="X276:X312">W276+V276+U276+T276+S276-R276</f>
        <v>3563072.5891893506</v>
      </c>
      <c r="Y276" s="215">
        <f aca="true" t="shared" si="66" ref="Y276:Y312">X276/D276</f>
        <v>713.4706826570585</v>
      </c>
      <c r="Z276" s="81"/>
      <c r="AA276" s="94">
        <f aca="true" t="shared" si="67" ref="AA276:AA312">O276-X276</f>
        <v>245773.36895458028</v>
      </c>
      <c r="AB276" s="153">
        <f aca="true" t="shared" si="68" ref="AB276:AB312">AA276/D276</f>
        <v>49.21373026723674</v>
      </c>
      <c r="AD276" s="216"/>
      <c r="AE276" s="224"/>
      <c r="AF276" s="224"/>
      <c r="AG276" s="224"/>
      <c r="AH276" s="225"/>
      <c r="AJ276" s="81">
        <f aca="true" t="shared" si="69" ref="AJ276:AJ312">S276-F276</f>
        <v>7810160.69023073</v>
      </c>
      <c r="AK276" s="81">
        <f aca="true" t="shared" si="70" ref="AK276:AK312">T276-H276</f>
        <v>317671.811325919</v>
      </c>
      <c r="AL276" s="81">
        <f aca="true" t="shared" si="71" ref="AL276:AL312">U276-I276</f>
        <v>14222237.957140977</v>
      </c>
      <c r="AM276" s="81">
        <f aca="true" t="shared" si="72" ref="AM276:AM312">R276-E276</f>
        <v>24726847.1383777</v>
      </c>
      <c r="AN276" s="81">
        <f aca="true" t="shared" si="73" ref="AN276:AN312">AD276</f>
        <v>0</v>
      </c>
      <c r="AO276" s="81">
        <f aca="true" t="shared" si="74" ref="AO276:AO312">AE276</f>
        <v>0</v>
      </c>
      <c r="AP276" s="81">
        <f aca="true" t="shared" si="75" ref="AP276:AP312">AF276</f>
        <v>0</v>
      </c>
      <c r="AQ276" s="81">
        <f aca="true" t="shared" si="76" ref="AQ276:AQ312">AG276</f>
        <v>0</v>
      </c>
      <c r="AR276" s="81">
        <f aca="true" t="shared" si="77" ref="AR276:AR312">AH276</f>
        <v>0</v>
      </c>
      <c r="AS276" s="82">
        <v>1494</v>
      </c>
      <c r="AT276" s="82"/>
      <c r="AU276" s="82"/>
      <c r="AV276" s="82">
        <v>0</v>
      </c>
      <c r="AW276" s="82">
        <f>12113481.0728887*(0.001)</f>
        <v>12113.481072888666</v>
      </c>
      <c r="AX276" s="82">
        <v>-2560.346541465656</v>
      </c>
      <c r="AY276" s="82">
        <v>2478.379847149277</v>
      </c>
      <c r="AZ276" s="408"/>
      <c r="BA276" s="81"/>
      <c r="BB276" s="81"/>
      <c r="BC276" s="81"/>
      <c r="BD276" s="81"/>
      <c r="BE276" s="81"/>
      <c r="BF276" s="81"/>
      <c r="BG276" s="81"/>
      <c r="BO276" s="114"/>
    </row>
    <row r="277" spans="1:67" ht="12.75">
      <c r="A277" s="81">
        <v>848</v>
      </c>
      <c r="B277" s="81" t="s">
        <v>393</v>
      </c>
      <c r="C277" s="81">
        <v>12</v>
      </c>
      <c r="D277" s="81">
        <v>4307</v>
      </c>
      <c r="E277" s="100">
        <v>12200404.556459546</v>
      </c>
      <c r="F277" s="81">
        <v>5360844.636040891</v>
      </c>
      <c r="G277" s="81">
        <v>914790.1263131219</v>
      </c>
      <c r="H277" s="81">
        <v>754809.2925783646</v>
      </c>
      <c r="I277" s="156">
        <v>3346843.3963261107</v>
      </c>
      <c r="J277" s="156">
        <v>884399.0638845749</v>
      </c>
      <c r="K277" s="81">
        <v>440408.34552226064</v>
      </c>
      <c r="L277" s="81">
        <v>385967</v>
      </c>
      <c r="M277" s="82">
        <v>144000</v>
      </c>
      <c r="N277" s="82">
        <v>34357.07836825332</v>
      </c>
      <c r="O277" s="214">
        <f t="shared" si="63"/>
        <v>66014.38257402927</v>
      </c>
      <c r="P277" s="215">
        <f t="shared" si="64"/>
        <v>15.327230688188825</v>
      </c>
      <c r="Q277" s="81"/>
      <c r="R277" s="223">
        <v>31783000</v>
      </c>
      <c r="S277" s="156">
        <v>11616900.75168014</v>
      </c>
      <c r="T277" s="156">
        <v>1132213.938867547</v>
      </c>
      <c r="U277" s="156">
        <v>15157062.800396357</v>
      </c>
      <c r="V277" s="156">
        <v>2984823.2738805534</v>
      </c>
      <c r="W277" s="156">
        <v>1444757.126313122</v>
      </c>
      <c r="X277" s="214">
        <f t="shared" si="65"/>
        <v>552757.8911377192</v>
      </c>
      <c r="Y277" s="215">
        <f t="shared" si="66"/>
        <v>128.33942213552803</v>
      </c>
      <c r="Z277" s="81"/>
      <c r="AA277" s="94">
        <f t="shared" si="67"/>
        <v>-486743.5085636899</v>
      </c>
      <c r="AB277" s="153">
        <f t="shared" si="68"/>
        <v>-113.01219144733919</v>
      </c>
      <c r="AD277" s="216"/>
      <c r="AE277" s="224"/>
      <c r="AF277" s="224"/>
      <c r="AG277" s="224"/>
      <c r="AH277" s="225"/>
      <c r="AJ277" s="81">
        <f t="shared" si="69"/>
        <v>6256056.115639249</v>
      </c>
      <c r="AK277" s="81">
        <f t="shared" si="70"/>
        <v>377404.6462891825</v>
      </c>
      <c r="AL277" s="81">
        <f t="shared" si="71"/>
        <v>11810219.404070247</v>
      </c>
      <c r="AM277" s="81">
        <f t="shared" si="72"/>
        <v>19582595.443540454</v>
      </c>
      <c r="AN277" s="81">
        <f t="shared" si="73"/>
        <v>0</v>
      </c>
      <c r="AO277" s="81">
        <f t="shared" si="74"/>
        <v>0</v>
      </c>
      <c r="AP277" s="81">
        <f t="shared" si="75"/>
        <v>0</v>
      </c>
      <c r="AQ277" s="81">
        <f t="shared" si="76"/>
        <v>0</v>
      </c>
      <c r="AR277" s="81">
        <f t="shared" si="77"/>
        <v>0</v>
      </c>
      <c r="AS277" s="82">
        <v>959</v>
      </c>
      <c r="AT277" s="82"/>
      <c r="AU277" s="82"/>
      <c r="AV277" s="82">
        <v>0</v>
      </c>
      <c r="AW277" s="82">
        <f>9306800.0239502*(0.001)</f>
        <v>9306.800023950196</v>
      </c>
      <c r="AX277" s="82">
        <v>-2312.2620819361687</v>
      </c>
      <c r="AY277" s="82">
        <v>2100.4242099959783</v>
      </c>
      <c r="AZ277" s="408"/>
      <c r="BA277" s="81"/>
      <c r="BB277" s="81"/>
      <c r="BC277" s="81"/>
      <c r="BD277" s="81"/>
      <c r="BE277" s="81"/>
      <c r="BF277" s="81"/>
      <c r="BG277" s="81"/>
      <c r="BO277" s="114"/>
    </row>
    <row r="278" spans="1:67" ht="12.75">
      <c r="A278" s="81">
        <v>849</v>
      </c>
      <c r="B278" s="81" t="s">
        <v>394</v>
      </c>
      <c r="C278" s="81">
        <v>16</v>
      </c>
      <c r="D278" s="81">
        <v>2966</v>
      </c>
      <c r="E278" s="100">
        <v>10156128.000360806</v>
      </c>
      <c r="F278" s="81">
        <v>3801816.11116854</v>
      </c>
      <c r="G278" s="81">
        <v>787533.0851008457</v>
      </c>
      <c r="H278" s="81">
        <v>586517.3678727901</v>
      </c>
      <c r="I278" s="156">
        <v>3607678.086764954</v>
      </c>
      <c r="J278" s="156">
        <v>610649.8619652805</v>
      </c>
      <c r="K278" s="81">
        <v>220762.48239557305</v>
      </c>
      <c r="L278" s="81">
        <v>177463</v>
      </c>
      <c r="M278" s="82">
        <v>-137000</v>
      </c>
      <c r="N278" s="82">
        <v>24316.989943507317</v>
      </c>
      <c r="O278" s="214">
        <f t="shared" si="63"/>
        <v>-476391.01514931396</v>
      </c>
      <c r="P278" s="215">
        <f t="shared" si="64"/>
        <v>-160.61733484467766</v>
      </c>
      <c r="Q278" s="81"/>
      <c r="R278" s="223">
        <v>22401740</v>
      </c>
      <c r="S278" s="156">
        <v>8203537.509924919</v>
      </c>
      <c r="T278" s="156">
        <v>879776.0518091853</v>
      </c>
      <c r="U278" s="156">
        <v>9817760.982892953</v>
      </c>
      <c r="V278" s="156">
        <v>2060611.8656722219</v>
      </c>
      <c r="W278" s="156">
        <v>827996.0851008457</v>
      </c>
      <c r="X278" s="214">
        <f t="shared" si="65"/>
        <v>-612057.504599873</v>
      </c>
      <c r="Y278" s="215">
        <f t="shared" si="66"/>
        <v>-206.3578909642188</v>
      </c>
      <c r="Z278" s="81"/>
      <c r="AA278" s="94">
        <f t="shared" si="67"/>
        <v>135666.48945055902</v>
      </c>
      <c r="AB278" s="153">
        <f t="shared" si="68"/>
        <v>45.74055611954114</v>
      </c>
      <c r="AD278" s="216"/>
      <c r="AE278" s="224"/>
      <c r="AF278" s="224"/>
      <c r="AG278" s="224"/>
      <c r="AH278" s="225"/>
      <c r="AJ278" s="81">
        <f t="shared" si="69"/>
        <v>4401721.398756379</v>
      </c>
      <c r="AK278" s="81">
        <f t="shared" si="70"/>
        <v>293258.6839363952</v>
      </c>
      <c r="AL278" s="81">
        <f t="shared" si="71"/>
        <v>6210082.896127999</v>
      </c>
      <c r="AM278" s="81">
        <f t="shared" si="72"/>
        <v>12245611.999639194</v>
      </c>
      <c r="AN278" s="81">
        <f t="shared" si="73"/>
        <v>0</v>
      </c>
      <c r="AO278" s="81">
        <f t="shared" si="74"/>
        <v>0</v>
      </c>
      <c r="AP278" s="81">
        <f t="shared" si="75"/>
        <v>0</v>
      </c>
      <c r="AQ278" s="81">
        <f t="shared" si="76"/>
        <v>0</v>
      </c>
      <c r="AR278" s="81">
        <f t="shared" si="77"/>
        <v>0</v>
      </c>
      <c r="AS278" s="82">
        <v>965</v>
      </c>
      <c r="AT278" s="82"/>
      <c r="AU278" s="82">
        <v>26</v>
      </c>
      <c r="AV278" s="82">
        <v>26</v>
      </c>
      <c r="AW278" s="82">
        <f>4815798.71447646*(0.001)</f>
        <v>4815.798714476462</v>
      </c>
      <c r="AX278" s="82">
        <v>-1678.4896245636664</v>
      </c>
      <c r="AY278" s="82">
        <v>1449.9620037069415</v>
      </c>
      <c r="AZ278" s="408"/>
      <c r="BA278" s="81"/>
      <c r="BB278" s="81"/>
      <c r="BC278" s="81"/>
      <c r="BD278" s="81"/>
      <c r="BE278" s="81"/>
      <c r="BF278" s="81"/>
      <c r="BG278" s="81"/>
      <c r="BO278" s="114"/>
    </row>
    <row r="279" spans="1:67" ht="12.75">
      <c r="A279" s="81">
        <v>850</v>
      </c>
      <c r="B279" s="81" t="s">
        <v>395</v>
      </c>
      <c r="C279" s="81">
        <v>13</v>
      </c>
      <c r="D279" s="81">
        <v>2401</v>
      </c>
      <c r="E279" s="100">
        <v>6655649.607765909</v>
      </c>
      <c r="F279" s="81">
        <v>3099403.363402169</v>
      </c>
      <c r="G279" s="81">
        <v>760072.8461925484</v>
      </c>
      <c r="H279" s="81">
        <v>524594.5334614995</v>
      </c>
      <c r="I279" s="156">
        <v>2114924.4250866203</v>
      </c>
      <c r="J279" s="156">
        <v>382972.6919770143</v>
      </c>
      <c r="K279" s="81">
        <v>453929.98928195215</v>
      </c>
      <c r="L279" s="81">
        <v>-475480</v>
      </c>
      <c r="M279" s="82">
        <v>-20000</v>
      </c>
      <c r="N279" s="82">
        <v>22085.176131823144</v>
      </c>
      <c r="O279" s="214">
        <f t="shared" si="63"/>
        <v>206853.41776771843</v>
      </c>
      <c r="P279" s="215">
        <f t="shared" si="64"/>
        <v>86.15302697530963</v>
      </c>
      <c r="Q279" s="81"/>
      <c r="R279" s="223">
        <v>15070000</v>
      </c>
      <c r="S279" s="156">
        <v>7101180.815728363</v>
      </c>
      <c r="T279" s="156">
        <v>786891.8001922492</v>
      </c>
      <c r="U279" s="156">
        <v>6229767.485453522</v>
      </c>
      <c r="V279" s="156">
        <v>1299535.9704596992</v>
      </c>
      <c r="W279" s="156">
        <v>264592.8461925484</v>
      </c>
      <c r="X279" s="214">
        <f t="shared" si="65"/>
        <v>611968.9180263821</v>
      </c>
      <c r="Y279" s="215">
        <f t="shared" si="66"/>
        <v>254.88084882398255</v>
      </c>
      <c r="Z279" s="81"/>
      <c r="AA279" s="94">
        <f t="shared" si="67"/>
        <v>-405115.50025866367</v>
      </c>
      <c r="AB279" s="153">
        <f t="shared" si="68"/>
        <v>-168.7278218486729</v>
      </c>
      <c r="AD279" s="216"/>
      <c r="AE279" s="224"/>
      <c r="AF279" s="224"/>
      <c r="AG279" s="224"/>
      <c r="AH279" s="225"/>
      <c r="AJ279" s="81">
        <f t="shared" si="69"/>
        <v>4001777.4523261935</v>
      </c>
      <c r="AK279" s="81">
        <f t="shared" si="70"/>
        <v>262297.26673074975</v>
      </c>
      <c r="AL279" s="81">
        <f t="shared" si="71"/>
        <v>4114843.0603669016</v>
      </c>
      <c r="AM279" s="81">
        <f t="shared" si="72"/>
        <v>8414350.39223409</v>
      </c>
      <c r="AN279" s="81">
        <f t="shared" si="73"/>
        <v>0</v>
      </c>
      <c r="AO279" s="81">
        <f t="shared" si="74"/>
        <v>0</v>
      </c>
      <c r="AP279" s="81">
        <f t="shared" si="75"/>
        <v>0</v>
      </c>
      <c r="AQ279" s="81">
        <f t="shared" si="76"/>
        <v>0</v>
      </c>
      <c r="AR279" s="81">
        <f t="shared" si="77"/>
        <v>0</v>
      </c>
      <c r="AS279" s="82">
        <v>875</v>
      </c>
      <c r="AT279" s="82">
        <v>1</v>
      </c>
      <c r="AU279" s="82"/>
      <c r="AV279" s="82">
        <v>1</v>
      </c>
      <c r="AW279" s="82">
        <f>3176404.47304006*(0.001)</f>
        <v>3176.4044730400637</v>
      </c>
      <c r="AX279" s="82">
        <v>-837.0472203274093</v>
      </c>
      <c r="AY279" s="82">
        <v>916.5632784826848</v>
      </c>
      <c r="AZ279" s="408"/>
      <c r="BA279" s="81"/>
      <c r="BB279" s="81"/>
      <c r="BC279" s="81"/>
      <c r="BD279" s="81"/>
      <c r="BE279" s="81"/>
      <c r="BF279" s="81"/>
      <c r="BG279" s="81"/>
      <c r="BO279" s="114"/>
    </row>
    <row r="280" spans="1:67" ht="12.75">
      <c r="A280" s="81">
        <v>851</v>
      </c>
      <c r="B280" s="81" t="s">
        <v>396</v>
      </c>
      <c r="C280" s="81">
        <v>19</v>
      </c>
      <c r="D280" s="81">
        <v>21467</v>
      </c>
      <c r="E280" s="100">
        <v>54487133.028439835</v>
      </c>
      <c r="F280" s="81">
        <v>35126916.84151952</v>
      </c>
      <c r="G280" s="81">
        <v>6720432.112288993</v>
      </c>
      <c r="H280" s="81">
        <v>2378509.1585495607</v>
      </c>
      <c r="I280" s="156">
        <v>12917778.249410458</v>
      </c>
      <c r="J280" s="156">
        <v>2988197.6985981995</v>
      </c>
      <c r="K280" s="81">
        <v>275404.88322575466</v>
      </c>
      <c r="L280" s="81">
        <v>-939830</v>
      </c>
      <c r="M280" s="82">
        <v>481760</v>
      </c>
      <c r="N280" s="82">
        <v>254047.0656965495</v>
      </c>
      <c r="O280" s="214">
        <f t="shared" si="63"/>
        <v>5716082.980849199</v>
      </c>
      <c r="P280" s="215">
        <f t="shared" si="64"/>
        <v>266.2730228187077</v>
      </c>
      <c r="Q280" s="81"/>
      <c r="R280" s="223">
        <v>133286440</v>
      </c>
      <c r="S280" s="156">
        <v>82987561.78857604</v>
      </c>
      <c r="T280" s="156">
        <v>3567763.7378243417</v>
      </c>
      <c r="U280" s="156">
        <v>35919903.95268292</v>
      </c>
      <c r="V280" s="156">
        <v>10199588.639818806</v>
      </c>
      <c r="W280" s="156">
        <v>6262362.112288993</v>
      </c>
      <c r="X280" s="214">
        <f t="shared" si="65"/>
        <v>5650740.231191099</v>
      </c>
      <c r="Y280" s="215">
        <f t="shared" si="66"/>
        <v>263.2291531742255</v>
      </c>
      <c r="Z280" s="81"/>
      <c r="AA280" s="94">
        <f t="shared" si="67"/>
        <v>65342.74965810031</v>
      </c>
      <c r="AB280" s="153">
        <f t="shared" si="68"/>
        <v>3.0438696444822426</v>
      </c>
      <c r="AD280" s="216"/>
      <c r="AE280" s="224"/>
      <c r="AF280" s="224"/>
      <c r="AG280" s="224"/>
      <c r="AH280" s="225"/>
      <c r="AJ280" s="81">
        <f t="shared" si="69"/>
        <v>47860644.94705652</v>
      </c>
      <c r="AK280" s="81">
        <f t="shared" si="70"/>
        <v>1189254.579274781</v>
      </c>
      <c r="AL280" s="81">
        <f t="shared" si="71"/>
        <v>23002125.703272462</v>
      </c>
      <c r="AM280" s="81">
        <f t="shared" si="72"/>
        <v>78799306.97156017</v>
      </c>
      <c r="AN280" s="81">
        <f t="shared" si="73"/>
        <v>0</v>
      </c>
      <c r="AO280" s="81">
        <f t="shared" si="74"/>
        <v>0</v>
      </c>
      <c r="AP280" s="81">
        <f t="shared" si="75"/>
        <v>0</v>
      </c>
      <c r="AQ280" s="81">
        <f t="shared" si="76"/>
        <v>0</v>
      </c>
      <c r="AR280" s="81">
        <f t="shared" si="77"/>
        <v>0</v>
      </c>
      <c r="AS280" s="82">
        <v>5796</v>
      </c>
      <c r="AT280" s="82">
        <v>89</v>
      </c>
      <c r="AU280" s="82"/>
      <c r="AV280" s="82">
        <v>89</v>
      </c>
      <c r="AW280" s="82">
        <f>21042668.6456796*(0.001)</f>
        <v>21042.66864567959</v>
      </c>
      <c r="AX280" s="82">
        <v>-2218.275025277728</v>
      </c>
      <c r="AY280" s="82">
        <v>7211.390941220607</v>
      </c>
      <c r="AZ280" s="408"/>
      <c r="BA280" s="81"/>
      <c r="BB280" s="81"/>
      <c r="BC280" s="81"/>
      <c r="BD280" s="81"/>
      <c r="BE280" s="81"/>
      <c r="BF280" s="81"/>
      <c r="BG280" s="81"/>
      <c r="BO280" s="114"/>
    </row>
    <row r="281" spans="1:67" ht="12.75">
      <c r="A281" s="81">
        <v>853</v>
      </c>
      <c r="B281" s="81" t="s">
        <v>397</v>
      </c>
      <c r="C281" s="81">
        <v>2</v>
      </c>
      <c r="D281" s="81">
        <v>194391</v>
      </c>
      <c r="E281" s="100">
        <v>453971628.08766997</v>
      </c>
      <c r="F281" s="81">
        <v>261022335.4696289</v>
      </c>
      <c r="G281" s="81">
        <v>68639137.42849903</v>
      </c>
      <c r="H281" s="81">
        <v>75042412.67829844</v>
      </c>
      <c r="I281" s="156">
        <v>17827908.96305165</v>
      </c>
      <c r="J281" s="156">
        <v>28368133.35647747</v>
      </c>
      <c r="K281" s="81">
        <v>-54365912.701239355</v>
      </c>
      <c r="L281" s="81">
        <v>41800267</v>
      </c>
      <c r="M281" s="82">
        <v>27472000</v>
      </c>
      <c r="N281" s="82">
        <v>2386924.2776727714</v>
      </c>
      <c r="O281" s="214">
        <f t="shared" si="63"/>
        <v>14221578.384718895</v>
      </c>
      <c r="P281" s="215">
        <f t="shared" si="64"/>
        <v>73.15965443214395</v>
      </c>
      <c r="Q281" s="81"/>
      <c r="R281" s="223">
        <v>1212413630.1</v>
      </c>
      <c r="S281" s="156">
        <v>684354300.8677847</v>
      </c>
      <c r="T281" s="156">
        <v>112563619.01744767</v>
      </c>
      <c r="U281" s="156">
        <v>172468318.02053794</v>
      </c>
      <c r="V281" s="156">
        <v>96665010.25078373</v>
      </c>
      <c r="W281" s="156">
        <v>137911404.42849904</v>
      </c>
      <c r="X281" s="214">
        <f t="shared" si="65"/>
        <v>-8450977.5149467</v>
      </c>
      <c r="Y281" s="215">
        <f t="shared" si="66"/>
        <v>-43.47411924907377</v>
      </c>
      <c r="Z281" s="81"/>
      <c r="AA281" s="94">
        <f t="shared" si="67"/>
        <v>22672555.899665594</v>
      </c>
      <c r="AB281" s="153">
        <f t="shared" si="68"/>
        <v>116.63377368121772</v>
      </c>
      <c r="AD281" s="216"/>
      <c r="AE281" s="224"/>
      <c r="AF281" s="224"/>
      <c r="AG281" s="224"/>
      <c r="AH281" s="225"/>
      <c r="AJ281" s="81">
        <f t="shared" si="69"/>
        <v>423331965.3981558</v>
      </c>
      <c r="AK281" s="81">
        <f t="shared" si="70"/>
        <v>37521206.33914922</v>
      </c>
      <c r="AL281" s="81">
        <f t="shared" si="71"/>
        <v>154640409.0574863</v>
      </c>
      <c r="AM281" s="81">
        <f t="shared" si="72"/>
        <v>758442002.0123299</v>
      </c>
      <c r="AN281" s="81">
        <f t="shared" si="73"/>
        <v>0</v>
      </c>
      <c r="AO281" s="81">
        <f t="shared" si="74"/>
        <v>0</v>
      </c>
      <c r="AP281" s="81">
        <f t="shared" si="75"/>
        <v>0</v>
      </c>
      <c r="AQ281" s="81">
        <f t="shared" si="76"/>
        <v>0</v>
      </c>
      <c r="AR281" s="81">
        <f t="shared" si="77"/>
        <v>0</v>
      </c>
      <c r="AS281" s="82">
        <v>57729</v>
      </c>
      <c r="AT281" s="82">
        <v>548</v>
      </c>
      <c r="AU281" s="82">
        <v>1909</v>
      </c>
      <c r="AV281" s="82">
        <v>2457</v>
      </c>
      <c r="AW281" s="82">
        <f>153080142.984215*(0.001)</f>
        <v>153080.14298421485</v>
      </c>
      <c r="AX281" s="82">
        <v>11921.725843136597</v>
      </c>
      <c r="AY281" s="82">
        <v>68296.87689430626</v>
      </c>
      <c r="AZ281" s="408"/>
      <c r="BA281" s="81"/>
      <c r="BB281" s="81"/>
      <c r="BC281" s="81"/>
      <c r="BD281" s="81"/>
      <c r="BE281" s="81"/>
      <c r="BF281" s="81"/>
      <c r="BG281" s="81"/>
      <c r="BO281" s="114"/>
    </row>
    <row r="282" spans="1:67" ht="12.75">
      <c r="A282" s="81">
        <v>854</v>
      </c>
      <c r="B282" s="81" t="s">
        <v>319</v>
      </c>
      <c r="C282" s="81">
        <v>19</v>
      </c>
      <c r="D282" s="81">
        <v>3304</v>
      </c>
      <c r="E282" s="100">
        <v>9413929.7844969</v>
      </c>
      <c r="F282" s="81">
        <v>4837357.3406943865</v>
      </c>
      <c r="G282" s="81">
        <v>968056.5477568337</v>
      </c>
      <c r="H282" s="81">
        <v>596363.0617340727</v>
      </c>
      <c r="I282" s="156">
        <v>2584963.2541766437</v>
      </c>
      <c r="J282" s="156">
        <v>632269.6135188472</v>
      </c>
      <c r="K282" s="81">
        <v>1491880.0519337854</v>
      </c>
      <c r="L282" s="81">
        <v>-218252</v>
      </c>
      <c r="M282" s="82">
        <v>133970</v>
      </c>
      <c r="N282" s="82">
        <v>33858.11495528832</v>
      </c>
      <c r="O282" s="214">
        <f t="shared" si="63"/>
        <v>1646536.2002729587</v>
      </c>
      <c r="P282" s="215">
        <f t="shared" si="64"/>
        <v>498.3463075886679</v>
      </c>
      <c r="Q282" s="81"/>
      <c r="R282" s="223">
        <v>27449900</v>
      </c>
      <c r="S282" s="156">
        <v>11076299.677621048</v>
      </c>
      <c r="T282" s="156">
        <v>894544.5926011091</v>
      </c>
      <c r="U282" s="156">
        <v>14935723.529803833</v>
      </c>
      <c r="V282" s="156">
        <v>2140059.903915854</v>
      </c>
      <c r="W282" s="156">
        <v>883774.5477568337</v>
      </c>
      <c r="X282" s="214">
        <f t="shared" si="65"/>
        <v>2480502.25169868</v>
      </c>
      <c r="Y282" s="215">
        <f t="shared" si="66"/>
        <v>750.7573401025061</v>
      </c>
      <c r="Z282" s="81"/>
      <c r="AA282" s="94">
        <f t="shared" si="67"/>
        <v>-833966.0514257215</v>
      </c>
      <c r="AB282" s="153">
        <f t="shared" si="68"/>
        <v>-252.41103251383822</v>
      </c>
      <c r="AD282" s="216"/>
      <c r="AE282" s="224"/>
      <c r="AF282" s="224"/>
      <c r="AG282" s="224"/>
      <c r="AH282" s="225"/>
      <c r="AJ282" s="81">
        <f t="shared" si="69"/>
        <v>6238942.336926661</v>
      </c>
      <c r="AK282" s="81">
        <f t="shared" si="70"/>
        <v>298181.5308670363</v>
      </c>
      <c r="AL282" s="81">
        <f t="shared" si="71"/>
        <v>12350760.275627188</v>
      </c>
      <c r="AM282" s="81">
        <f t="shared" si="72"/>
        <v>18035970.2155031</v>
      </c>
      <c r="AN282" s="81">
        <f t="shared" si="73"/>
        <v>0</v>
      </c>
      <c r="AO282" s="81">
        <f t="shared" si="74"/>
        <v>0</v>
      </c>
      <c r="AP282" s="81">
        <f t="shared" si="75"/>
        <v>0</v>
      </c>
      <c r="AQ282" s="81">
        <f t="shared" si="76"/>
        <v>0</v>
      </c>
      <c r="AR282" s="81">
        <f t="shared" si="77"/>
        <v>0</v>
      </c>
      <c r="AS282" s="82">
        <v>1159</v>
      </c>
      <c r="AT282" s="82">
        <v>231</v>
      </c>
      <c r="AU282" s="82"/>
      <c r="AV282" s="82">
        <v>231</v>
      </c>
      <c r="AW282" s="82">
        <f>11301635.9572607*(0.001)</f>
        <v>11301.635957260707</v>
      </c>
      <c r="AX282" s="82">
        <v>-1211.264368436866</v>
      </c>
      <c r="AY282" s="82">
        <v>1507.790290397007</v>
      </c>
      <c r="AZ282" s="408"/>
      <c r="BA282" s="81"/>
      <c r="BB282" s="81"/>
      <c r="BC282" s="81"/>
      <c r="BD282" s="81"/>
      <c r="BE282" s="81"/>
      <c r="BF282" s="81"/>
      <c r="BG282" s="81"/>
      <c r="BO282" s="114"/>
    </row>
    <row r="283" spans="1:67" ht="12.75">
      <c r="A283" s="81">
        <v>857</v>
      </c>
      <c r="B283" s="81" t="s">
        <v>398</v>
      </c>
      <c r="C283" s="81">
        <v>11</v>
      </c>
      <c r="D283" s="81">
        <v>2433</v>
      </c>
      <c r="E283" s="100">
        <v>5586602.256290536</v>
      </c>
      <c r="F283" s="81">
        <v>3540870.1946207182</v>
      </c>
      <c r="G283" s="81">
        <v>935922.7485345907</v>
      </c>
      <c r="H283" s="81">
        <v>636495.2533183568</v>
      </c>
      <c r="I283" s="156">
        <v>1045221.754326435</v>
      </c>
      <c r="J283" s="156">
        <v>495032.1725614988</v>
      </c>
      <c r="K283" s="81">
        <v>-267377.442048105</v>
      </c>
      <c r="L283" s="81">
        <v>-87455</v>
      </c>
      <c r="M283" s="82">
        <v>125521</v>
      </c>
      <c r="N283" s="82">
        <v>23412.970180035365</v>
      </c>
      <c r="O283" s="214">
        <f t="shared" si="63"/>
        <v>861041.3952029934</v>
      </c>
      <c r="P283" s="215">
        <f t="shared" si="64"/>
        <v>353.90110776941776</v>
      </c>
      <c r="Q283" s="81"/>
      <c r="R283" s="223">
        <v>19559736</v>
      </c>
      <c r="S283" s="156">
        <v>7743059.880610742</v>
      </c>
      <c r="T283" s="156">
        <v>954742.8799775353</v>
      </c>
      <c r="U283" s="156">
        <v>8884493.531058546</v>
      </c>
      <c r="V283" s="156">
        <v>1672084.2038821205</v>
      </c>
      <c r="W283" s="156">
        <v>973988.7485345907</v>
      </c>
      <c r="X283" s="214">
        <f t="shared" si="65"/>
        <v>668633.2440635338</v>
      </c>
      <c r="Y283" s="215">
        <f t="shared" si="66"/>
        <v>274.8184315920813</v>
      </c>
      <c r="Z283" s="81"/>
      <c r="AA283" s="94">
        <f t="shared" si="67"/>
        <v>192408.15113945957</v>
      </c>
      <c r="AB283" s="153">
        <f t="shared" si="68"/>
        <v>79.08267617733645</v>
      </c>
      <c r="AD283" s="216"/>
      <c r="AE283" s="224"/>
      <c r="AF283" s="224"/>
      <c r="AG283" s="224"/>
      <c r="AH283" s="225"/>
      <c r="AJ283" s="81">
        <f t="shared" si="69"/>
        <v>4202189.685990023</v>
      </c>
      <c r="AK283" s="81">
        <f t="shared" si="70"/>
        <v>318247.6266591785</v>
      </c>
      <c r="AL283" s="81">
        <f t="shared" si="71"/>
        <v>7839271.776732111</v>
      </c>
      <c r="AM283" s="81">
        <f t="shared" si="72"/>
        <v>13973133.743709464</v>
      </c>
      <c r="AN283" s="81">
        <f t="shared" si="73"/>
        <v>0</v>
      </c>
      <c r="AO283" s="81">
        <f t="shared" si="74"/>
        <v>0</v>
      </c>
      <c r="AP283" s="81">
        <f t="shared" si="75"/>
        <v>0</v>
      </c>
      <c r="AQ283" s="81">
        <f t="shared" si="76"/>
        <v>0</v>
      </c>
      <c r="AR283" s="81">
        <f t="shared" si="77"/>
        <v>0</v>
      </c>
      <c r="AS283" s="82">
        <v>1051</v>
      </c>
      <c r="AT283" s="82">
        <v>254</v>
      </c>
      <c r="AU283" s="82"/>
      <c r="AV283" s="82">
        <v>254</v>
      </c>
      <c r="AW283" s="82">
        <f>6731454.24075325*(0.001)</f>
        <v>6731.454240753255</v>
      </c>
      <c r="AX283" s="82">
        <v>-1123.0929152313488</v>
      </c>
      <c r="AY283" s="82">
        <v>1177.0520313206218</v>
      </c>
      <c r="AZ283" s="408"/>
      <c r="BA283" s="81"/>
      <c r="BB283" s="81"/>
      <c r="BC283" s="81"/>
      <c r="BD283" s="81"/>
      <c r="BE283" s="81"/>
      <c r="BF283" s="81"/>
      <c r="BG283" s="81"/>
      <c r="BO283" s="114"/>
    </row>
    <row r="284" spans="1:67" ht="12.75">
      <c r="A284" s="81">
        <v>858</v>
      </c>
      <c r="B284" s="81" t="s">
        <v>399</v>
      </c>
      <c r="C284" s="81">
        <v>1</v>
      </c>
      <c r="D284" s="81">
        <v>38783</v>
      </c>
      <c r="E284" s="100">
        <v>103000656.19143145</v>
      </c>
      <c r="F284" s="81">
        <v>66320596.110060774</v>
      </c>
      <c r="G284" s="81">
        <v>13817150.2153654</v>
      </c>
      <c r="H284" s="81">
        <v>5987770.365597086</v>
      </c>
      <c r="I284" s="156">
        <v>18459972.07360048</v>
      </c>
      <c r="J284" s="156">
        <v>3915992.4255098943</v>
      </c>
      <c r="K284" s="81">
        <v>-571526.4326422943</v>
      </c>
      <c r="L284" s="81">
        <v>-4074726</v>
      </c>
      <c r="M284" s="82">
        <v>-1234000</v>
      </c>
      <c r="N284" s="82">
        <v>570746.0470709933</v>
      </c>
      <c r="O284" s="214">
        <f t="shared" si="63"/>
        <v>191318.61313088238</v>
      </c>
      <c r="P284" s="215">
        <f t="shared" si="64"/>
        <v>4.933053480413645</v>
      </c>
      <c r="Q284" s="81"/>
      <c r="R284" s="223">
        <v>230058097.9</v>
      </c>
      <c r="S284" s="156">
        <v>173522969.9831416</v>
      </c>
      <c r="T284" s="156">
        <v>8981655.54839563</v>
      </c>
      <c r="U284" s="156">
        <v>24419509.51199674</v>
      </c>
      <c r="V284" s="156">
        <v>13561573.514014812</v>
      </c>
      <c r="W284" s="156">
        <v>8508424.2153654</v>
      </c>
      <c r="X284" s="214">
        <f t="shared" si="65"/>
        <v>-1063965.1270858347</v>
      </c>
      <c r="Y284" s="215">
        <f t="shared" si="66"/>
        <v>-27.433801590537986</v>
      </c>
      <c r="Z284" s="81"/>
      <c r="AA284" s="94">
        <f t="shared" si="67"/>
        <v>1255283.7402167171</v>
      </c>
      <c r="AB284" s="153">
        <f t="shared" si="68"/>
        <v>32.36685507095163</v>
      </c>
      <c r="AD284" s="216"/>
      <c r="AE284" s="224"/>
      <c r="AF284" s="224"/>
      <c r="AG284" s="224"/>
      <c r="AH284" s="225"/>
      <c r="AJ284" s="81">
        <f t="shared" si="69"/>
        <v>107202373.87308082</v>
      </c>
      <c r="AK284" s="81">
        <f t="shared" si="70"/>
        <v>2993885.182798544</v>
      </c>
      <c r="AL284" s="81">
        <f t="shared" si="71"/>
        <v>5959537.43839626</v>
      </c>
      <c r="AM284" s="81">
        <f t="shared" si="72"/>
        <v>127057441.70856856</v>
      </c>
      <c r="AN284" s="81">
        <f t="shared" si="73"/>
        <v>0</v>
      </c>
      <c r="AO284" s="81">
        <f t="shared" si="74"/>
        <v>0</v>
      </c>
      <c r="AP284" s="81">
        <f t="shared" si="75"/>
        <v>0</v>
      </c>
      <c r="AQ284" s="81">
        <f t="shared" si="76"/>
        <v>0</v>
      </c>
      <c r="AR284" s="81">
        <f t="shared" si="77"/>
        <v>0</v>
      </c>
      <c r="AS284" s="82">
        <v>25385</v>
      </c>
      <c r="AT284" s="82"/>
      <c r="AU284" s="82"/>
      <c r="AV284" s="82">
        <v>0</v>
      </c>
      <c r="AW284" s="82">
        <f>16884561.342477*(0.001)</f>
        <v>16884.56134247697</v>
      </c>
      <c r="AX284" s="82">
        <v>10032.922768003014</v>
      </c>
      <c r="AY284" s="82">
        <v>9645.581088504918</v>
      </c>
      <c r="AZ284" s="408"/>
      <c r="BA284" s="81"/>
      <c r="BB284" s="81"/>
      <c r="BC284" s="81"/>
      <c r="BD284" s="81"/>
      <c r="BE284" s="81"/>
      <c r="BF284" s="81"/>
      <c r="BG284" s="81"/>
      <c r="BO284" s="114"/>
    </row>
    <row r="285" spans="1:67" ht="12.75">
      <c r="A285" s="81">
        <v>859</v>
      </c>
      <c r="B285" s="81" t="s">
        <v>400</v>
      </c>
      <c r="C285" s="81">
        <v>17</v>
      </c>
      <c r="D285" s="81">
        <v>6603</v>
      </c>
      <c r="E285" s="100">
        <v>20538516.34080624</v>
      </c>
      <c r="F285" s="81">
        <v>9579468.770088723</v>
      </c>
      <c r="G285" s="81">
        <v>929470.1905118792</v>
      </c>
      <c r="H285" s="81">
        <v>342376.52065155655</v>
      </c>
      <c r="I285" s="156">
        <v>14123051.234674707</v>
      </c>
      <c r="J285" s="156">
        <v>880301.9002612629</v>
      </c>
      <c r="K285" s="81">
        <v>-599510.2111873274</v>
      </c>
      <c r="L285" s="81">
        <v>-924954</v>
      </c>
      <c r="M285" s="82">
        <v>-290000</v>
      </c>
      <c r="N285" s="82">
        <v>59261.172354343056</v>
      </c>
      <c r="O285" s="214">
        <f t="shared" si="63"/>
        <v>3560949.236548908</v>
      </c>
      <c r="P285" s="215">
        <f t="shared" si="64"/>
        <v>539.2926300997892</v>
      </c>
      <c r="Q285" s="81"/>
      <c r="R285" s="223">
        <v>41523931</v>
      </c>
      <c r="S285" s="156">
        <v>20850075.918119077</v>
      </c>
      <c r="T285" s="156">
        <v>513564.7809773348</v>
      </c>
      <c r="U285" s="156">
        <v>19839358.68077582</v>
      </c>
      <c r="V285" s="156">
        <v>2990673.76865233</v>
      </c>
      <c r="W285" s="156">
        <v>-285483.80948812084</v>
      </c>
      <c r="X285" s="214">
        <f t="shared" si="65"/>
        <v>2384258.3390364423</v>
      </c>
      <c r="Y285" s="215">
        <f t="shared" si="66"/>
        <v>361.0871329753812</v>
      </c>
      <c r="Z285" s="81"/>
      <c r="AA285" s="94">
        <f t="shared" si="67"/>
        <v>1176690.8975124657</v>
      </c>
      <c r="AB285" s="153">
        <f t="shared" si="68"/>
        <v>178.20549712440794</v>
      </c>
      <c r="AD285" s="216"/>
      <c r="AE285" s="224"/>
      <c r="AF285" s="224"/>
      <c r="AG285" s="224"/>
      <c r="AH285" s="225"/>
      <c r="AJ285" s="81">
        <f t="shared" si="69"/>
        <v>11270607.148030354</v>
      </c>
      <c r="AK285" s="81">
        <f t="shared" si="70"/>
        <v>171188.26032577828</v>
      </c>
      <c r="AL285" s="81">
        <f t="shared" si="71"/>
        <v>5716307.446101114</v>
      </c>
      <c r="AM285" s="81">
        <f t="shared" si="72"/>
        <v>20985414.65919376</v>
      </c>
      <c r="AN285" s="81">
        <f t="shared" si="73"/>
        <v>0</v>
      </c>
      <c r="AO285" s="81">
        <f t="shared" si="74"/>
        <v>0</v>
      </c>
      <c r="AP285" s="81">
        <f t="shared" si="75"/>
        <v>0</v>
      </c>
      <c r="AQ285" s="81">
        <f t="shared" si="76"/>
        <v>0</v>
      </c>
      <c r="AR285" s="81">
        <f t="shared" si="77"/>
        <v>0</v>
      </c>
      <c r="AS285" s="82">
        <v>2009</v>
      </c>
      <c r="AT285" s="82">
        <v>160</v>
      </c>
      <c r="AU285" s="82"/>
      <c r="AV285" s="82">
        <v>160</v>
      </c>
      <c r="AW285" s="82">
        <f>3167626.69776982*(0.001)</f>
        <v>3167.626697769817</v>
      </c>
      <c r="AX285" s="82">
        <v>-3328.7346727982513</v>
      </c>
      <c r="AY285" s="82">
        <v>2110.3718683910674</v>
      </c>
      <c r="AZ285" s="408"/>
      <c r="BA285" s="81"/>
      <c r="BB285" s="81"/>
      <c r="BC285" s="81"/>
      <c r="BD285" s="81"/>
      <c r="BE285" s="81"/>
      <c r="BF285" s="81"/>
      <c r="BG285" s="81"/>
      <c r="BO285" s="114"/>
    </row>
    <row r="286" spans="1:67" ht="12.75">
      <c r="A286" s="81">
        <v>886</v>
      </c>
      <c r="B286" s="81" t="s">
        <v>401</v>
      </c>
      <c r="C286" s="81">
        <v>4</v>
      </c>
      <c r="D286" s="81">
        <v>12735</v>
      </c>
      <c r="E286" s="100">
        <v>29639225.2795007</v>
      </c>
      <c r="F286" s="81">
        <v>22596669.826886445</v>
      </c>
      <c r="G286" s="81">
        <v>2893189.4229240958</v>
      </c>
      <c r="H286" s="81">
        <v>1494754.041433701</v>
      </c>
      <c r="I286" s="156">
        <v>6749815.085609682</v>
      </c>
      <c r="J286" s="156">
        <v>1763436.4761825558</v>
      </c>
      <c r="K286" s="81">
        <v>-1040618.0212784379</v>
      </c>
      <c r="L286" s="81">
        <v>-531278</v>
      </c>
      <c r="M286" s="82">
        <v>-94500</v>
      </c>
      <c r="N286" s="82">
        <v>154332.81595913722</v>
      </c>
      <c r="O286" s="214">
        <f t="shared" si="63"/>
        <v>4346576.368216477</v>
      </c>
      <c r="P286" s="215">
        <f t="shared" si="64"/>
        <v>341.30949102602887</v>
      </c>
      <c r="Q286" s="81"/>
      <c r="R286" s="223">
        <v>78456573.29</v>
      </c>
      <c r="S286" s="156">
        <v>51646956.85576573</v>
      </c>
      <c r="T286" s="156">
        <v>2242131.062150552</v>
      </c>
      <c r="U286" s="156">
        <v>19504127.13339653</v>
      </c>
      <c r="V286" s="156">
        <v>6020570.454125696</v>
      </c>
      <c r="W286" s="156">
        <v>2267411.4229240958</v>
      </c>
      <c r="X286" s="214">
        <f t="shared" si="65"/>
        <v>3224623.6383626014</v>
      </c>
      <c r="Y286" s="215">
        <f t="shared" si="66"/>
        <v>253.2095515007932</v>
      </c>
      <c r="Z286" s="81"/>
      <c r="AA286" s="94">
        <f t="shared" si="67"/>
        <v>1121952.729853876</v>
      </c>
      <c r="AB286" s="153">
        <f t="shared" si="68"/>
        <v>88.09993952523564</v>
      </c>
      <c r="AD286" s="216"/>
      <c r="AE286" s="224"/>
      <c r="AF286" s="224"/>
      <c r="AG286" s="224"/>
      <c r="AH286" s="225"/>
      <c r="AJ286" s="81">
        <f t="shared" si="69"/>
        <v>29050287.028879285</v>
      </c>
      <c r="AK286" s="81">
        <f t="shared" si="70"/>
        <v>747377.0207168509</v>
      </c>
      <c r="AL286" s="81">
        <f t="shared" si="71"/>
        <v>12754312.047786847</v>
      </c>
      <c r="AM286" s="81">
        <f t="shared" si="72"/>
        <v>48817348.010499306</v>
      </c>
      <c r="AN286" s="81">
        <f t="shared" si="73"/>
        <v>0</v>
      </c>
      <c r="AO286" s="81">
        <f t="shared" si="74"/>
        <v>0</v>
      </c>
      <c r="AP286" s="81">
        <f t="shared" si="75"/>
        <v>0</v>
      </c>
      <c r="AQ286" s="81">
        <f t="shared" si="76"/>
        <v>0</v>
      </c>
      <c r="AR286" s="81">
        <f t="shared" si="77"/>
        <v>0</v>
      </c>
      <c r="AS286" s="82">
        <v>2948</v>
      </c>
      <c r="AT286" s="82">
        <v>66</v>
      </c>
      <c r="AU286" s="82"/>
      <c r="AV286" s="82">
        <v>66</v>
      </c>
      <c r="AW286" s="82">
        <f>12378919.3373672*(0.001)</f>
        <v>12378.91933736724</v>
      </c>
      <c r="AX286" s="82">
        <v>-809.4564976077543</v>
      </c>
      <c r="AY286" s="82">
        <v>4257.13397794314</v>
      </c>
      <c r="AZ286" s="408"/>
      <c r="BA286" s="81"/>
      <c r="BB286" s="81"/>
      <c r="BC286" s="81"/>
      <c r="BD286" s="81"/>
      <c r="BE286" s="81"/>
      <c r="BF286" s="81"/>
      <c r="BG286" s="81"/>
      <c r="BO286" s="114"/>
    </row>
    <row r="287" spans="1:67" ht="12.75">
      <c r="A287" s="81">
        <v>887</v>
      </c>
      <c r="B287" s="81" t="s">
        <v>402</v>
      </c>
      <c r="C287" s="81">
        <v>6</v>
      </c>
      <c r="D287" s="81">
        <v>4644</v>
      </c>
      <c r="E287" s="100">
        <v>11300678.484304436</v>
      </c>
      <c r="F287" s="81">
        <v>6793551.062916204</v>
      </c>
      <c r="G287" s="81">
        <v>1615922.4521798755</v>
      </c>
      <c r="H287" s="81">
        <v>645665.28610132</v>
      </c>
      <c r="I287" s="156">
        <v>2410208.1438662284</v>
      </c>
      <c r="J287" s="156">
        <v>939894.691589593</v>
      </c>
      <c r="K287" s="81">
        <v>-444219.17246407847</v>
      </c>
      <c r="L287" s="81">
        <v>-306521</v>
      </c>
      <c r="M287" s="82">
        <v>9900</v>
      </c>
      <c r="N287" s="82">
        <v>42643.20301890825</v>
      </c>
      <c r="O287" s="214">
        <f t="shared" si="63"/>
        <v>406366.1829036139</v>
      </c>
      <c r="P287" s="215">
        <f t="shared" si="64"/>
        <v>87.50348469070066</v>
      </c>
      <c r="Q287" s="81"/>
      <c r="R287" s="223">
        <v>32827184</v>
      </c>
      <c r="S287" s="156">
        <v>14704014.946332002</v>
      </c>
      <c r="T287" s="156">
        <v>968497.92915198</v>
      </c>
      <c r="U287" s="156">
        <v>12840732.949059745</v>
      </c>
      <c r="V287" s="156">
        <v>3177592.167665061</v>
      </c>
      <c r="W287" s="156">
        <v>1319301.4521798755</v>
      </c>
      <c r="X287" s="214">
        <f t="shared" si="65"/>
        <v>182955.44438866526</v>
      </c>
      <c r="Y287" s="215">
        <f t="shared" si="66"/>
        <v>39.3960905229684</v>
      </c>
      <c r="Z287" s="81"/>
      <c r="AA287" s="94">
        <f t="shared" si="67"/>
        <v>223410.73851494864</v>
      </c>
      <c r="AB287" s="153">
        <f t="shared" si="68"/>
        <v>48.10739416773227</v>
      </c>
      <c r="AD287" s="216"/>
      <c r="AE287" s="224"/>
      <c r="AF287" s="224"/>
      <c r="AG287" s="224"/>
      <c r="AH287" s="225"/>
      <c r="AJ287" s="81">
        <f t="shared" si="69"/>
        <v>7910463.883415798</v>
      </c>
      <c r="AK287" s="81">
        <f t="shared" si="70"/>
        <v>322832.64305066003</v>
      </c>
      <c r="AL287" s="81">
        <f t="shared" si="71"/>
        <v>10430524.805193517</v>
      </c>
      <c r="AM287" s="81">
        <f t="shared" si="72"/>
        <v>21526505.515695564</v>
      </c>
      <c r="AN287" s="81">
        <f t="shared" si="73"/>
        <v>0</v>
      </c>
      <c r="AO287" s="81">
        <f t="shared" si="74"/>
        <v>0</v>
      </c>
      <c r="AP287" s="81">
        <f t="shared" si="75"/>
        <v>0</v>
      </c>
      <c r="AQ287" s="81">
        <f t="shared" si="76"/>
        <v>0</v>
      </c>
      <c r="AR287" s="81">
        <f t="shared" si="77"/>
        <v>0</v>
      </c>
      <c r="AS287" s="82">
        <v>1423</v>
      </c>
      <c r="AT287" s="82">
        <v>18</v>
      </c>
      <c r="AU287" s="82">
        <v>2</v>
      </c>
      <c r="AV287" s="82">
        <v>20</v>
      </c>
      <c r="AW287" s="82">
        <f>8352099.3542205*(0.001)</f>
        <v>8352.099354220498</v>
      </c>
      <c r="AX287" s="82">
        <v>-2007.8256963523866</v>
      </c>
      <c r="AY287" s="82">
        <v>2237.6974760754683</v>
      </c>
      <c r="AZ287" s="408"/>
      <c r="BA287" s="81"/>
      <c r="BB287" s="81"/>
      <c r="BC287" s="81"/>
      <c r="BD287" s="81"/>
      <c r="BE287" s="81"/>
      <c r="BF287" s="81"/>
      <c r="BG287" s="81"/>
      <c r="BO287" s="114"/>
    </row>
    <row r="288" spans="1:67" ht="12.75">
      <c r="A288" s="81">
        <v>889</v>
      </c>
      <c r="B288" s="81" t="s">
        <v>403</v>
      </c>
      <c r="C288" s="81">
        <v>17</v>
      </c>
      <c r="D288" s="81">
        <v>2619</v>
      </c>
      <c r="E288" s="100">
        <v>11371126.955859149</v>
      </c>
      <c r="F288" s="81">
        <v>2887533.9902552827</v>
      </c>
      <c r="G288" s="81">
        <v>2868678.990149536</v>
      </c>
      <c r="H288" s="81">
        <v>644919.5105227558</v>
      </c>
      <c r="I288" s="156">
        <v>3136435.8937698337</v>
      </c>
      <c r="J288" s="156">
        <v>496930.7809035822</v>
      </c>
      <c r="K288" s="81">
        <v>833625.3273098934</v>
      </c>
      <c r="L288" s="81">
        <v>317972</v>
      </c>
      <c r="M288" s="82">
        <v>98150</v>
      </c>
      <c r="N288" s="82">
        <v>22009.56690779212</v>
      </c>
      <c r="O288" s="214">
        <f t="shared" si="63"/>
        <v>-64870.89604047313</v>
      </c>
      <c r="P288" s="215">
        <f t="shared" si="64"/>
        <v>-24.769337930688483</v>
      </c>
      <c r="Q288" s="81"/>
      <c r="R288" s="223">
        <v>23312638</v>
      </c>
      <c r="S288" s="156">
        <v>6814550.773860035</v>
      </c>
      <c r="T288" s="156">
        <v>967379.2657841338</v>
      </c>
      <c r="U288" s="156">
        <v>10747356.071154604</v>
      </c>
      <c r="V288" s="156">
        <v>1683353.7679866108</v>
      </c>
      <c r="W288" s="156">
        <v>3284800.990149536</v>
      </c>
      <c r="X288" s="214">
        <f t="shared" si="65"/>
        <v>184802.86893492192</v>
      </c>
      <c r="Y288" s="215">
        <f t="shared" si="66"/>
        <v>70.56237836384953</v>
      </c>
      <c r="Z288" s="81"/>
      <c r="AA288" s="94">
        <f t="shared" si="67"/>
        <v>-249673.76497539505</v>
      </c>
      <c r="AB288" s="153">
        <f t="shared" si="68"/>
        <v>-95.33171629453801</v>
      </c>
      <c r="AD288" s="216"/>
      <c r="AE288" s="224"/>
      <c r="AF288" s="224"/>
      <c r="AG288" s="224"/>
      <c r="AH288" s="225"/>
      <c r="AJ288" s="81">
        <f t="shared" si="69"/>
        <v>3927016.7836047527</v>
      </c>
      <c r="AK288" s="81">
        <f t="shared" si="70"/>
        <v>322459.755261378</v>
      </c>
      <c r="AL288" s="81">
        <f t="shared" si="71"/>
        <v>7610920.17738477</v>
      </c>
      <c r="AM288" s="81">
        <f t="shared" si="72"/>
        <v>11941511.044140851</v>
      </c>
      <c r="AN288" s="81">
        <f t="shared" si="73"/>
        <v>0</v>
      </c>
      <c r="AO288" s="81">
        <f t="shared" si="74"/>
        <v>0</v>
      </c>
      <c r="AP288" s="81">
        <f t="shared" si="75"/>
        <v>0</v>
      </c>
      <c r="AQ288" s="81">
        <f t="shared" si="76"/>
        <v>0</v>
      </c>
      <c r="AR288" s="81">
        <f t="shared" si="77"/>
        <v>0</v>
      </c>
      <c r="AS288" s="82">
        <v>1153</v>
      </c>
      <c r="AT288" s="82"/>
      <c r="AU288" s="82"/>
      <c r="AV288" s="82">
        <v>0</v>
      </c>
      <c r="AW288" s="82">
        <f>6487777.68392235*(0.001)</f>
        <v>6487.777683922353</v>
      </c>
      <c r="AX288" s="82">
        <v>-1430.4233380803955</v>
      </c>
      <c r="AY288" s="82">
        <v>1186.4229870830286</v>
      </c>
      <c r="AZ288" s="408"/>
      <c r="BA288" s="81"/>
      <c r="BB288" s="81"/>
      <c r="BC288" s="81"/>
      <c r="BD288" s="81"/>
      <c r="BE288" s="81"/>
      <c r="BF288" s="81"/>
      <c r="BG288" s="81"/>
      <c r="BO288" s="114"/>
    </row>
    <row r="289" spans="1:67" ht="12.75">
      <c r="A289" s="81">
        <v>890</v>
      </c>
      <c r="B289" s="81" t="s">
        <v>404</v>
      </c>
      <c r="C289" s="81">
        <v>19</v>
      </c>
      <c r="D289" s="81">
        <v>1219</v>
      </c>
      <c r="E289" s="100">
        <v>5923816.665100108</v>
      </c>
      <c r="F289" s="81">
        <v>1771276.1544127166</v>
      </c>
      <c r="G289" s="81">
        <v>655942.9553905398</v>
      </c>
      <c r="H289" s="81">
        <v>79416.26738676231</v>
      </c>
      <c r="I289" s="156">
        <v>2273263.4856603043</v>
      </c>
      <c r="J289" s="156">
        <v>217797.80037297774</v>
      </c>
      <c r="K289" s="81">
        <v>530143.0498252757</v>
      </c>
      <c r="L289" s="81">
        <v>-37567</v>
      </c>
      <c r="M289" s="82">
        <v>-94050</v>
      </c>
      <c r="N289" s="82">
        <v>12582.345044740474</v>
      </c>
      <c r="O289" s="214">
        <f t="shared" si="63"/>
        <v>-515011.60700679105</v>
      </c>
      <c r="P289" s="215">
        <f t="shared" si="64"/>
        <v>-422.4869622697219</v>
      </c>
      <c r="Q289" s="81"/>
      <c r="R289" s="223">
        <v>12060165</v>
      </c>
      <c r="S289" s="156">
        <v>4160892.5183592034</v>
      </c>
      <c r="T289" s="156">
        <v>119124.40108014348</v>
      </c>
      <c r="U289" s="156">
        <v>6852310.971588312</v>
      </c>
      <c r="V289" s="156">
        <v>739318.0753234185</v>
      </c>
      <c r="W289" s="156">
        <v>524325.9553905398</v>
      </c>
      <c r="X289" s="214">
        <f t="shared" si="65"/>
        <v>335806.92174161784</v>
      </c>
      <c r="Y289" s="215">
        <f t="shared" si="66"/>
        <v>275.4773763261836</v>
      </c>
      <c r="Z289" s="81"/>
      <c r="AA289" s="94">
        <f t="shared" si="67"/>
        <v>-850818.5287484089</v>
      </c>
      <c r="AB289" s="153">
        <f t="shared" si="68"/>
        <v>-697.9643385959056</v>
      </c>
      <c r="AD289" s="216"/>
      <c r="AE289" s="224"/>
      <c r="AF289" s="224"/>
      <c r="AG289" s="224"/>
      <c r="AH289" s="225"/>
      <c r="AJ289" s="81">
        <f t="shared" si="69"/>
        <v>2389616.3639464867</v>
      </c>
      <c r="AK289" s="81">
        <f t="shared" si="70"/>
        <v>39708.13369338117</v>
      </c>
      <c r="AL289" s="81">
        <f t="shared" si="71"/>
        <v>4579047.485928007</v>
      </c>
      <c r="AM289" s="81">
        <f t="shared" si="72"/>
        <v>6136348.334899892</v>
      </c>
      <c r="AN289" s="81">
        <f t="shared" si="73"/>
        <v>0</v>
      </c>
      <c r="AO289" s="81">
        <f t="shared" si="74"/>
        <v>0</v>
      </c>
      <c r="AP289" s="81">
        <f t="shared" si="75"/>
        <v>0</v>
      </c>
      <c r="AQ289" s="81">
        <f t="shared" si="76"/>
        <v>0</v>
      </c>
      <c r="AR289" s="81">
        <f t="shared" si="77"/>
        <v>0</v>
      </c>
      <c r="AS289" s="82">
        <v>650</v>
      </c>
      <c r="AT289" s="82">
        <v>114</v>
      </c>
      <c r="AU289" s="82"/>
      <c r="AV289" s="82">
        <v>114</v>
      </c>
      <c r="AW289" s="82">
        <f>3765447.46075691*(0.001)</f>
        <v>3765.447460756913</v>
      </c>
      <c r="AX289" s="82">
        <v>-316.7707740459819</v>
      </c>
      <c r="AY289" s="82">
        <v>521.5202749504407</v>
      </c>
      <c r="AZ289" s="408"/>
      <c r="BA289" s="81"/>
      <c r="BB289" s="81"/>
      <c r="BC289" s="81"/>
      <c r="BD289" s="81"/>
      <c r="BE289" s="81"/>
      <c r="BF289" s="81"/>
      <c r="BG289" s="81"/>
      <c r="BO289" s="114"/>
    </row>
    <row r="290" spans="1:67" ht="12.75">
      <c r="A290" s="81">
        <v>892</v>
      </c>
      <c r="B290" s="81" t="s">
        <v>405</v>
      </c>
      <c r="C290" s="81">
        <v>13</v>
      </c>
      <c r="D290" s="81">
        <v>3646</v>
      </c>
      <c r="E290" s="100">
        <v>11806196.459122036</v>
      </c>
      <c r="F290" s="81">
        <v>5082693.249603111</v>
      </c>
      <c r="G290" s="81">
        <v>720480.4701625064</v>
      </c>
      <c r="H290" s="81">
        <v>454727.051994599</v>
      </c>
      <c r="I290" s="156">
        <v>5664475.322586619</v>
      </c>
      <c r="J290" s="156">
        <v>537187.662426041</v>
      </c>
      <c r="K290" s="81">
        <v>-44969.27311760374</v>
      </c>
      <c r="L290" s="81">
        <v>-720738</v>
      </c>
      <c r="M290" s="82">
        <v>30000</v>
      </c>
      <c r="N290" s="82">
        <v>33696.810519596875</v>
      </c>
      <c r="O290" s="214">
        <f t="shared" si="63"/>
        <v>-48643.164947165176</v>
      </c>
      <c r="P290" s="215">
        <f t="shared" si="64"/>
        <v>-13.341515344806686</v>
      </c>
      <c r="Q290" s="81"/>
      <c r="R290" s="223">
        <v>23359000</v>
      </c>
      <c r="S290" s="156">
        <v>11361309.888392651</v>
      </c>
      <c r="T290" s="156">
        <v>682090.5779918985</v>
      </c>
      <c r="U290" s="156">
        <v>9280147.35191271</v>
      </c>
      <c r="V290" s="156">
        <v>1823521.8919564446</v>
      </c>
      <c r="W290" s="156">
        <v>29742.470162506448</v>
      </c>
      <c r="X290" s="214">
        <f t="shared" si="65"/>
        <v>-182187.8195837885</v>
      </c>
      <c r="Y290" s="215">
        <f t="shared" si="66"/>
        <v>-49.96923192095132</v>
      </c>
      <c r="Z290" s="81"/>
      <c r="AA290" s="94">
        <f t="shared" si="67"/>
        <v>133544.65463662334</v>
      </c>
      <c r="AB290" s="153">
        <f t="shared" si="68"/>
        <v>36.627716576144635</v>
      </c>
      <c r="AD290" s="216"/>
      <c r="AE290" s="224"/>
      <c r="AF290" s="224"/>
      <c r="AG290" s="224"/>
      <c r="AH290" s="225"/>
      <c r="AJ290" s="81">
        <f t="shared" si="69"/>
        <v>6278616.63878954</v>
      </c>
      <c r="AK290" s="81">
        <f t="shared" si="70"/>
        <v>227363.52599729953</v>
      </c>
      <c r="AL290" s="81">
        <f t="shared" si="71"/>
        <v>3615672.0293260915</v>
      </c>
      <c r="AM290" s="81">
        <f t="shared" si="72"/>
        <v>11552803.540877964</v>
      </c>
      <c r="AN290" s="81">
        <f t="shared" si="73"/>
        <v>0</v>
      </c>
      <c r="AO290" s="81">
        <f t="shared" si="74"/>
        <v>0</v>
      </c>
      <c r="AP290" s="81">
        <f t="shared" si="75"/>
        <v>0</v>
      </c>
      <c r="AQ290" s="81">
        <f t="shared" si="76"/>
        <v>0</v>
      </c>
      <c r="AR290" s="81">
        <f t="shared" si="77"/>
        <v>0</v>
      </c>
      <c r="AS290" s="82">
        <v>1355</v>
      </c>
      <c r="AT290" s="82">
        <v>100</v>
      </c>
      <c r="AU290" s="82"/>
      <c r="AV290" s="82">
        <v>100</v>
      </c>
      <c r="AW290" s="82">
        <f>2073435.50124258*(0.001)</f>
        <v>2073.4355012425835</v>
      </c>
      <c r="AX290" s="82">
        <v>-1647.4783419919324</v>
      </c>
      <c r="AY290" s="82">
        <v>1286.3342295304037</v>
      </c>
      <c r="AZ290" s="408"/>
      <c r="BA290" s="81"/>
      <c r="BB290" s="81"/>
      <c r="BC290" s="81"/>
      <c r="BD290" s="81"/>
      <c r="BE290" s="81"/>
      <c r="BF290" s="81"/>
      <c r="BG290" s="81"/>
      <c r="BO290" s="114"/>
    </row>
    <row r="291" spans="1:67" ht="12.75">
      <c r="A291" s="81">
        <v>893</v>
      </c>
      <c r="B291" s="81" t="s">
        <v>406</v>
      </c>
      <c r="C291" s="81">
        <v>15</v>
      </c>
      <c r="D291" s="81">
        <v>7479</v>
      </c>
      <c r="E291" s="100">
        <v>21157613.29920111</v>
      </c>
      <c r="F291" s="81">
        <v>11342731.894001596</v>
      </c>
      <c r="G291" s="81">
        <v>2788838.715049243</v>
      </c>
      <c r="H291" s="81">
        <v>1700897.279096369</v>
      </c>
      <c r="I291" s="156">
        <v>7825638.986426605</v>
      </c>
      <c r="J291" s="156">
        <v>1381088.5678994916</v>
      </c>
      <c r="K291" s="81">
        <v>163066.16035202934</v>
      </c>
      <c r="L291" s="81">
        <v>-613444</v>
      </c>
      <c r="M291" s="82">
        <v>130000</v>
      </c>
      <c r="N291" s="82">
        <v>79907.07463616537</v>
      </c>
      <c r="O291" s="214">
        <f t="shared" si="63"/>
        <v>3641111.378260389</v>
      </c>
      <c r="P291" s="215">
        <f t="shared" si="64"/>
        <v>486.8446822115776</v>
      </c>
      <c r="Q291" s="81"/>
      <c r="R291" s="223">
        <v>50668801.5</v>
      </c>
      <c r="S291" s="156">
        <v>25920266.929842904</v>
      </c>
      <c r="T291" s="156">
        <v>2551345.9186445535</v>
      </c>
      <c r="U291" s="156">
        <v>19203915.95146415</v>
      </c>
      <c r="V291" s="156">
        <v>4675843.276094072</v>
      </c>
      <c r="W291" s="156">
        <v>2305394.715049243</v>
      </c>
      <c r="X291" s="214">
        <f t="shared" si="65"/>
        <v>3987965.2910949215</v>
      </c>
      <c r="Y291" s="215">
        <f t="shared" si="66"/>
        <v>533.2217263129993</v>
      </c>
      <c r="Z291" s="81"/>
      <c r="AA291" s="94">
        <f t="shared" si="67"/>
        <v>-346853.91283453256</v>
      </c>
      <c r="AB291" s="153">
        <f t="shared" si="68"/>
        <v>-46.37704410142165</v>
      </c>
      <c r="AD291" s="216"/>
      <c r="AE291" s="224"/>
      <c r="AF291" s="224"/>
      <c r="AG291" s="224"/>
      <c r="AH291" s="225"/>
      <c r="AJ291" s="81">
        <f t="shared" si="69"/>
        <v>14577535.035841309</v>
      </c>
      <c r="AK291" s="81">
        <f t="shared" si="70"/>
        <v>850448.6395481846</v>
      </c>
      <c r="AL291" s="81">
        <f t="shared" si="71"/>
        <v>11378276.965037545</v>
      </c>
      <c r="AM291" s="81">
        <f t="shared" si="72"/>
        <v>29511188.20079889</v>
      </c>
      <c r="AN291" s="81">
        <f t="shared" si="73"/>
        <v>0</v>
      </c>
      <c r="AO291" s="81">
        <f t="shared" si="74"/>
        <v>0</v>
      </c>
      <c r="AP291" s="81">
        <f t="shared" si="75"/>
        <v>0</v>
      </c>
      <c r="AQ291" s="81">
        <f t="shared" si="76"/>
        <v>0</v>
      </c>
      <c r="AR291" s="81">
        <f t="shared" si="77"/>
        <v>0</v>
      </c>
      <c r="AS291" s="82">
        <v>2205</v>
      </c>
      <c r="AT291" s="82">
        <v>322</v>
      </c>
      <c r="AU291" s="82"/>
      <c r="AV291" s="82">
        <v>322</v>
      </c>
      <c r="AW291" s="82">
        <f>9011461.04080743*(0.001)</f>
        <v>9011.461040807426</v>
      </c>
      <c r="AX291" s="82">
        <v>-2132.1121294392437</v>
      </c>
      <c r="AY291" s="82">
        <v>3294.75470819458</v>
      </c>
      <c r="AZ291" s="408"/>
      <c r="BA291" s="81"/>
      <c r="BB291" s="81"/>
      <c r="BC291" s="81"/>
      <c r="BD291" s="81"/>
      <c r="BE291" s="81"/>
      <c r="BF291" s="81"/>
      <c r="BG291" s="81"/>
      <c r="BO291" s="114"/>
    </row>
    <row r="292" spans="1:67" ht="12.75">
      <c r="A292" s="81">
        <v>895</v>
      </c>
      <c r="B292" s="81" t="s">
        <v>407</v>
      </c>
      <c r="C292" s="81">
        <v>2</v>
      </c>
      <c r="D292" s="81">
        <v>15378</v>
      </c>
      <c r="E292" s="100">
        <v>37347089.81088552</v>
      </c>
      <c r="F292" s="81">
        <v>26137232.193953715</v>
      </c>
      <c r="G292" s="81">
        <v>5236012.9359498685</v>
      </c>
      <c r="H292" s="81">
        <v>3320437.1978338175</v>
      </c>
      <c r="I292" s="156">
        <v>3029818.9111986873</v>
      </c>
      <c r="J292" s="156">
        <v>2325842.7609760007</v>
      </c>
      <c r="K292" s="81">
        <v>1413349.2853378365</v>
      </c>
      <c r="L292" s="81">
        <v>-1733628</v>
      </c>
      <c r="M292" s="82">
        <v>538706</v>
      </c>
      <c r="N292" s="82">
        <v>196546.2959285345</v>
      </c>
      <c r="O292" s="214">
        <f t="shared" si="63"/>
        <v>3117227.7702929378</v>
      </c>
      <c r="P292" s="215">
        <f t="shared" si="64"/>
        <v>202.70696906573923</v>
      </c>
      <c r="Q292" s="81"/>
      <c r="R292" s="223">
        <v>99815125.75</v>
      </c>
      <c r="S292" s="156">
        <v>62425005.79535819</v>
      </c>
      <c r="T292" s="156">
        <v>4980655.796750726</v>
      </c>
      <c r="U292" s="156">
        <v>25530343.926398862</v>
      </c>
      <c r="V292" s="156">
        <v>7929072.46743532</v>
      </c>
      <c r="W292" s="156">
        <v>4041090.9359498685</v>
      </c>
      <c r="X292" s="214">
        <f t="shared" si="65"/>
        <v>5091043.171892971</v>
      </c>
      <c r="Y292" s="215">
        <f t="shared" si="66"/>
        <v>331.06016204272146</v>
      </c>
      <c r="Z292" s="81"/>
      <c r="AA292" s="94">
        <f t="shared" si="67"/>
        <v>-1973815.401600033</v>
      </c>
      <c r="AB292" s="153">
        <f t="shared" si="68"/>
        <v>-128.35319297698226</v>
      </c>
      <c r="AD292" s="216"/>
      <c r="AE292" s="224"/>
      <c r="AF292" s="224"/>
      <c r="AG292" s="224"/>
      <c r="AH292" s="225"/>
      <c r="AJ292" s="81">
        <f t="shared" si="69"/>
        <v>36287773.60140447</v>
      </c>
      <c r="AK292" s="81">
        <f t="shared" si="70"/>
        <v>1660218.5989169087</v>
      </c>
      <c r="AL292" s="81">
        <f t="shared" si="71"/>
        <v>22500525.015200175</v>
      </c>
      <c r="AM292" s="81">
        <f t="shared" si="72"/>
        <v>62468035.93911448</v>
      </c>
      <c r="AN292" s="81">
        <f t="shared" si="73"/>
        <v>0</v>
      </c>
      <c r="AO292" s="81">
        <f t="shared" si="74"/>
        <v>0</v>
      </c>
      <c r="AP292" s="81">
        <f t="shared" si="75"/>
        <v>0</v>
      </c>
      <c r="AQ292" s="81">
        <f t="shared" si="76"/>
        <v>0</v>
      </c>
      <c r="AR292" s="81">
        <f t="shared" si="77"/>
        <v>0</v>
      </c>
      <c r="AS292" s="82">
        <v>6628</v>
      </c>
      <c r="AT292" s="82">
        <v>268</v>
      </c>
      <c r="AU292" s="82"/>
      <c r="AV292" s="82">
        <v>268</v>
      </c>
      <c r="AW292" s="82">
        <f>21964465.2051304*(0.001)</f>
        <v>21964.46520513036</v>
      </c>
      <c r="AX292" s="82">
        <v>488.45090159294597</v>
      </c>
      <c r="AY292" s="82">
        <v>5603.2297064593195</v>
      </c>
      <c r="AZ292" s="408"/>
      <c r="BA292" s="81"/>
      <c r="BB292" s="81"/>
      <c r="BC292" s="81"/>
      <c r="BD292" s="81"/>
      <c r="BE292" s="81"/>
      <c r="BF292" s="81"/>
      <c r="BG292" s="81"/>
      <c r="BO292" s="114"/>
    </row>
    <row r="293" spans="1:67" ht="12.75">
      <c r="A293" s="81">
        <v>905</v>
      </c>
      <c r="B293" s="81" t="s">
        <v>409</v>
      </c>
      <c r="C293" s="81">
        <v>15</v>
      </c>
      <c r="D293" s="81">
        <v>67551</v>
      </c>
      <c r="E293" s="100">
        <v>190856300.91429734</v>
      </c>
      <c r="F293" s="81">
        <v>105473619.69870429</v>
      </c>
      <c r="G293" s="81">
        <v>26873746.906972256</v>
      </c>
      <c r="H293" s="81">
        <v>17153245.375583522</v>
      </c>
      <c r="I293" s="156">
        <v>26333346.72684891</v>
      </c>
      <c r="J293" s="156">
        <v>9500541.240591154</v>
      </c>
      <c r="K293" s="81">
        <v>-13820334.958397247</v>
      </c>
      <c r="L293" s="81">
        <v>25253238</v>
      </c>
      <c r="M293" s="82">
        <v>9344500</v>
      </c>
      <c r="N293" s="82">
        <v>770830.330985257</v>
      </c>
      <c r="O293" s="214">
        <f t="shared" si="63"/>
        <v>16026432.406990826</v>
      </c>
      <c r="P293" s="215">
        <f t="shared" si="64"/>
        <v>237.24937316976545</v>
      </c>
      <c r="Q293" s="81"/>
      <c r="R293" s="223">
        <v>439299100</v>
      </c>
      <c r="S293" s="156">
        <v>245724341.98736382</v>
      </c>
      <c r="T293" s="156">
        <v>25729868.063375283</v>
      </c>
      <c r="U293" s="156">
        <v>83025530.91719304</v>
      </c>
      <c r="V293" s="156">
        <v>32469983.340929635</v>
      </c>
      <c r="W293" s="156">
        <v>61471484.90697226</v>
      </c>
      <c r="X293" s="214">
        <f t="shared" si="65"/>
        <v>9122109.215834022</v>
      </c>
      <c r="Y293" s="215">
        <f t="shared" si="66"/>
        <v>135.04032828283846</v>
      </c>
      <c r="Z293" s="81"/>
      <c r="AA293" s="94">
        <f t="shared" si="67"/>
        <v>6904323.191156805</v>
      </c>
      <c r="AB293" s="153">
        <f t="shared" si="68"/>
        <v>102.20904488692697</v>
      </c>
      <c r="AD293" s="216"/>
      <c r="AE293" s="224"/>
      <c r="AF293" s="224"/>
      <c r="AG293" s="224"/>
      <c r="AH293" s="225"/>
      <c r="AJ293" s="81">
        <f t="shared" si="69"/>
        <v>140250722.2886595</v>
      </c>
      <c r="AK293" s="81">
        <f t="shared" si="70"/>
        <v>8576622.687791761</v>
      </c>
      <c r="AL293" s="81">
        <f t="shared" si="71"/>
        <v>56692184.190344125</v>
      </c>
      <c r="AM293" s="81">
        <f t="shared" si="72"/>
        <v>248442799.08570266</v>
      </c>
      <c r="AN293" s="81">
        <f t="shared" si="73"/>
        <v>0</v>
      </c>
      <c r="AO293" s="81">
        <f t="shared" si="74"/>
        <v>0</v>
      </c>
      <c r="AP293" s="81">
        <f t="shared" si="75"/>
        <v>0</v>
      </c>
      <c r="AQ293" s="81">
        <f t="shared" si="76"/>
        <v>0</v>
      </c>
      <c r="AR293" s="81">
        <f t="shared" si="77"/>
        <v>0</v>
      </c>
      <c r="AS293" s="82">
        <v>28828</v>
      </c>
      <c r="AT293" s="82">
        <v>994</v>
      </c>
      <c r="AU293" s="82">
        <v>552</v>
      </c>
      <c r="AV293" s="82">
        <v>1546</v>
      </c>
      <c r="AW293" s="82">
        <f>53163949.2683424*(0.001)</f>
        <v>53163.949268342396</v>
      </c>
      <c r="AX293" s="82">
        <v>-1250.065942561515</v>
      </c>
      <c r="AY293" s="82">
        <v>22969.44210033848</v>
      </c>
      <c r="AZ293" s="408"/>
      <c r="BA293" s="81"/>
      <c r="BB293" s="81"/>
      <c r="BC293" s="81"/>
      <c r="BD293" s="81"/>
      <c r="BE293" s="81"/>
      <c r="BF293" s="81"/>
      <c r="BG293" s="81"/>
      <c r="BO293" s="114"/>
    </row>
    <row r="294" spans="1:67" ht="12.75">
      <c r="A294" s="81">
        <v>908</v>
      </c>
      <c r="B294" s="81" t="s">
        <v>410</v>
      </c>
      <c r="C294" s="81">
        <v>6</v>
      </c>
      <c r="D294" s="81">
        <v>20765</v>
      </c>
      <c r="E294" s="100">
        <v>51940244.84845713</v>
      </c>
      <c r="F294" s="81">
        <v>32611659.469613306</v>
      </c>
      <c r="G294" s="81">
        <v>6058977.969635486</v>
      </c>
      <c r="H294" s="81">
        <v>3437297.30506279</v>
      </c>
      <c r="I294" s="156">
        <v>7829389.2886672905</v>
      </c>
      <c r="J294" s="156">
        <v>2571923.8959190194</v>
      </c>
      <c r="K294" s="81">
        <v>2193199.436195948</v>
      </c>
      <c r="L294" s="81">
        <v>821720</v>
      </c>
      <c r="M294" s="82">
        <v>1672303</v>
      </c>
      <c r="N294" s="82">
        <v>263028.60216747824</v>
      </c>
      <c r="O294" s="214">
        <f t="shared" si="63"/>
        <v>5519254.118804187</v>
      </c>
      <c r="P294" s="215">
        <f t="shared" si="64"/>
        <v>265.7960086108445</v>
      </c>
      <c r="Q294" s="81"/>
      <c r="R294" s="223">
        <v>132296913</v>
      </c>
      <c r="S294" s="156">
        <v>81677012.09453262</v>
      </c>
      <c r="T294" s="156">
        <v>5155945.957594185</v>
      </c>
      <c r="U294" s="156">
        <v>35512241.74388964</v>
      </c>
      <c r="V294" s="156">
        <v>8804774.820846882</v>
      </c>
      <c r="W294" s="156">
        <v>8553000.969635487</v>
      </c>
      <c r="X294" s="214">
        <f t="shared" si="65"/>
        <v>7406062.586498797</v>
      </c>
      <c r="Y294" s="215">
        <f t="shared" si="66"/>
        <v>356.660851745668</v>
      </c>
      <c r="Z294" s="81"/>
      <c r="AA294" s="94">
        <f t="shared" si="67"/>
        <v>-1886808.4676946104</v>
      </c>
      <c r="AB294" s="153">
        <f t="shared" si="68"/>
        <v>-90.86484313482352</v>
      </c>
      <c r="AD294" s="216"/>
      <c r="AE294" s="224"/>
      <c r="AF294" s="224"/>
      <c r="AG294" s="224"/>
      <c r="AH294" s="225"/>
      <c r="AJ294" s="81">
        <f t="shared" si="69"/>
        <v>49065352.62491932</v>
      </c>
      <c r="AK294" s="81">
        <f t="shared" si="70"/>
        <v>1718648.6525313952</v>
      </c>
      <c r="AL294" s="81">
        <f t="shared" si="71"/>
        <v>27682852.455222346</v>
      </c>
      <c r="AM294" s="81">
        <f t="shared" si="72"/>
        <v>80356668.15154287</v>
      </c>
      <c r="AN294" s="81">
        <f t="shared" si="73"/>
        <v>0</v>
      </c>
      <c r="AO294" s="81">
        <f t="shared" si="74"/>
        <v>0</v>
      </c>
      <c r="AP294" s="81">
        <f t="shared" si="75"/>
        <v>0</v>
      </c>
      <c r="AQ294" s="81">
        <f t="shared" si="76"/>
        <v>0</v>
      </c>
      <c r="AR294" s="81">
        <f t="shared" si="77"/>
        <v>0</v>
      </c>
      <c r="AS294" s="82">
        <v>7703</v>
      </c>
      <c r="AT294" s="82">
        <v>13</v>
      </c>
      <c r="AU294" s="82"/>
      <c r="AV294" s="82">
        <v>13</v>
      </c>
      <c r="AW294" s="82">
        <f>27344581.5295395*(0.001)</f>
        <v>27344.581529539482</v>
      </c>
      <c r="AX294" s="82">
        <v>76.85544856215036</v>
      </c>
      <c r="AY294" s="82">
        <v>6232.850924927862</v>
      </c>
      <c r="AZ294" s="408"/>
      <c r="BA294" s="81"/>
      <c r="BB294" s="81"/>
      <c r="BC294" s="81"/>
      <c r="BD294" s="81"/>
      <c r="BE294" s="81"/>
      <c r="BF294" s="81"/>
      <c r="BG294" s="81"/>
      <c r="BO294" s="114"/>
    </row>
    <row r="295" spans="1:67" ht="12.75">
      <c r="A295" s="81">
        <v>915</v>
      </c>
      <c r="B295" s="81" t="s">
        <v>413</v>
      </c>
      <c r="C295" s="81">
        <v>11</v>
      </c>
      <c r="D295" s="81">
        <v>20278</v>
      </c>
      <c r="E295" s="100">
        <v>46222462.754061535</v>
      </c>
      <c r="F295" s="81">
        <v>34509353.73767353</v>
      </c>
      <c r="G295" s="81">
        <v>6448117.616332016</v>
      </c>
      <c r="H295" s="81">
        <v>2877290.6342392475</v>
      </c>
      <c r="I295" s="156">
        <v>2871545.4844886144</v>
      </c>
      <c r="J295" s="156">
        <v>3038858.5268925223</v>
      </c>
      <c r="K295" s="81">
        <v>4118964.541679202</v>
      </c>
      <c r="L295" s="81">
        <v>-2232937</v>
      </c>
      <c r="M295" s="82">
        <v>1620000</v>
      </c>
      <c r="N295" s="82">
        <v>254282.84655565044</v>
      </c>
      <c r="O295" s="214">
        <f t="shared" si="63"/>
        <v>7283013.633799247</v>
      </c>
      <c r="P295" s="215">
        <f t="shared" si="64"/>
        <v>359.1583802051113</v>
      </c>
      <c r="Q295" s="81"/>
      <c r="R295" s="223">
        <v>140485020</v>
      </c>
      <c r="S295" s="156">
        <v>82166131.11566271</v>
      </c>
      <c r="T295" s="156">
        <v>4315935.951358872</v>
      </c>
      <c r="U295" s="156">
        <v>48463518.521106035</v>
      </c>
      <c r="V295" s="156">
        <v>10351325.473051922</v>
      </c>
      <c r="W295" s="156">
        <v>5835180.616332016</v>
      </c>
      <c r="X295" s="214">
        <f t="shared" si="65"/>
        <v>10647071.677511573</v>
      </c>
      <c r="Y295" s="215">
        <f t="shared" si="66"/>
        <v>525.0553149971187</v>
      </c>
      <c r="Z295" s="81"/>
      <c r="AA295" s="94">
        <f t="shared" si="67"/>
        <v>-3364058.0437123254</v>
      </c>
      <c r="AB295" s="153">
        <f t="shared" si="68"/>
        <v>-165.89693479200736</v>
      </c>
      <c r="AD295" s="216"/>
      <c r="AE295" s="224"/>
      <c r="AF295" s="224"/>
      <c r="AG295" s="224"/>
      <c r="AH295" s="225"/>
      <c r="AJ295" s="81">
        <f t="shared" si="69"/>
        <v>47656777.37798918</v>
      </c>
      <c r="AK295" s="81">
        <f t="shared" si="70"/>
        <v>1438645.317119624</v>
      </c>
      <c r="AL295" s="81">
        <f t="shared" si="71"/>
        <v>45591973.03661742</v>
      </c>
      <c r="AM295" s="81">
        <f t="shared" si="72"/>
        <v>94262557.24593846</v>
      </c>
      <c r="AN295" s="81">
        <f t="shared" si="73"/>
        <v>0</v>
      </c>
      <c r="AO295" s="81">
        <f t="shared" si="74"/>
        <v>0</v>
      </c>
      <c r="AP295" s="81">
        <f t="shared" si="75"/>
        <v>0</v>
      </c>
      <c r="AQ295" s="81">
        <f t="shared" si="76"/>
        <v>0</v>
      </c>
      <c r="AR295" s="81">
        <f t="shared" si="77"/>
        <v>0</v>
      </c>
      <c r="AS295" s="82">
        <v>8994</v>
      </c>
      <c r="AT295" s="82">
        <v>352</v>
      </c>
      <c r="AU295" s="82"/>
      <c r="AV295" s="82">
        <v>352</v>
      </c>
      <c r="AW295" s="82">
        <f>43540624.1674665*(0.001)</f>
        <v>43540.62416746646</v>
      </c>
      <c r="AX295" s="82">
        <v>-1442.5923673679833</v>
      </c>
      <c r="AY295" s="82">
        <v>7312.4669461594</v>
      </c>
      <c r="AZ295" s="408"/>
      <c r="BA295" s="81"/>
      <c r="BB295" s="81"/>
      <c r="BC295" s="81"/>
      <c r="BD295" s="81"/>
      <c r="BE295" s="81"/>
      <c r="BF295" s="81"/>
      <c r="BG295" s="81"/>
      <c r="BO295" s="114"/>
    </row>
    <row r="296" spans="1:67" ht="12.75">
      <c r="A296" s="81">
        <v>918</v>
      </c>
      <c r="B296" s="81" t="s">
        <v>414</v>
      </c>
      <c r="C296" s="81">
        <v>2</v>
      </c>
      <c r="D296" s="81">
        <v>2292</v>
      </c>
      <c r="E296" s="100">
        <v>5009072.9324205</v>
      </c>
      <c r="F296" s="81">
        <v>3591556.3249209877</v>
      </c>
      <c r="G296" s="81">
        <v>939478.4747815124</v>
      </c>
      <c r="H296" s="81">
        <v>515201.7523046821</v>
      </c>
      <c r="I296" s="156">
        <v>892166.6939667991</v>
      </c>
      <c r="J296" s="156">
        <v>453518.30551553005</v>
      </c>
      <c r="K296" s="81">
        <v>-155044.3990621586</v>
      </c>
      <c r="L296" s="81">
        <v>-563571</v>
      </c>
      <c r="M296" s="82">
        <v>-77773</v>
      </c>
      <c r="N296" s="82">
        <v>22218.465984117945</v>
      </c>
      <c r="O296" s="214">
        <f t="shared" si="63"/>
        <v>608678.6859909706</v>
      </c>
      <c r="P296" s="215">
        <f t="shared" si="64"/>
        <v>265.56661692450723</v>
      </c>
      <c r="Q296" s="81"/>
      <c r="R296" s="223">
        <v>14896655</v>
      </c>
      <c r="S296" s="156">
        <v>7623764.981353209</v>
      </c>
      <c r="T296" s="156">
        <v>772802.6284570232</v>
      </c>
      <c r="U296" s="156">
        <v>5188791.104285277</v>
      </c>
      <c r="V296" s="156">
        <v>1534756.1305392853</v>
      </c>
      <c r="W296" s="156">
        <v>298134.4747815124</v>
      </c>
      <c r="X296" s="214">
        <f t="shared" si="65"/>
        <v>521594.3194163069</v>
      </c>
      <c r="Y296" s="215">
        <f t="shared" si="66"/>
        <v>227.57169259001174</v>
      </c>
      <c r="Z296" s="81"/>
      <c r="AA296" s="94">
        <f t="shared" si="67"/>
        <v>87084.36657466367</v>
      </c>
      <c r="AB296" s="153">
        <f t="shared" si="68"/>
        <v>37.994924334495494</v>
      </c>
      <c r="AD296" s="216"/>
      <c r="AE296" s="224"/>
      <c r="AF296" s="224"/>
      <c r="AG296" s="224"/>
      <c r="AH296" s="225"/>
      <c r="AJ296" s="81">
        <f t="shared" si="69"/>
        <v>4032208.6564322216</v>
      </c>
      <c r="AK296" s="81">
        <f t="shared" si="70"/>
        <v>257600.87615234108</v>
      </c>
      <c r="AL296" s="81">
        <f t="shared" si="71"/>
        <v>4296624.410318478</v>
      </c>
      <c r="AM296" s="81">
        <f t="shared" si="72"/>
        <v>9887582.0675795</v>
      </c>
      <c r="AN296" s="81">
        <f t="shared" si="73"/>
        <v>0</v>
      </c>
      <c r="AO296" s="81">
        <f t="shared" si="74"/>
        <v>0</v>
      </c>
      <c r="AP296" s="81">
        <f t="shared" si="75"/>
        <v>0</v>
      </c>
      <c r="AQ296" s="81">
        <f t="shared" si="76"/>
        <v>0</v>
      </c>
      <c r="AR296" s="81">
        <f t="shared" si="77"/>
        <v>0</v>
      </c>
      <c r="AS296" s="82">
        <v>637</v>
      </c>
      <c r="AT296" s="82">
        <v>6</v>
      </c>
      <c r="AU296" s="82">
        <v>11</v>
      </c>
      <c r="AV296" s="82">
        <v>17</v>
      </c>
      <c r="AW296" s="82">
        <f>3635658.63151929*(0.001)</f>
        <v>3635.658631519289</v>
      </c>
      <c r="AX296" s="82">
        <v>-645.7412275792608</v>
      </c>
      <c r="AY296" s="82">
        <v>1081.2378250237552</v>
      </c>
      <c r="AZ296" s="408"/>
      <c r="BA296" s="81"/>
      <c r="BB296" s="81"/>
      <c r="BC296" s="81"/>
      <c r="BD296" s="81"/>
      <c r="BE296" s="81"/>
      <c r="BF296" s="81"/>
      <c r="BG296" s="81"/>
      <c r="BO296" s="114"/>
    </row>
    <row r="297" spans="1:67" ht="12.75">
      <c r="A297" s="81">
        <v>921</v>
      </c>
      <c r="B297" s="81" t="s">
        <v>415</v>
      </c>
      <c r="C297" s="81">
        <v>11</v>
      </c>
      <c r="D297" s="81">
        <v>1972</v>
      </c>
      <c r="E297" s="100">
        <v>5309927.729826676</v>
      </c>
      <c r="F297" s="81">
        <v>2553986.960192898</v>
      </c>
      <c r="G297" s="81">
        <v>868459.1816661583</v>
      </c>
      <c r="H297" s="81">
        <v>461175.4286478718</v>
      </c>
      <c r="I297" s="156">
        <v>1191552.6378671203</v>
      </c>
      <c r="J297" s="156">
        <v>451735.8643325665</v>
      </c>
      <c r="K297" s="81">
        <v>1003298.8844823285</v>
      </c>
      <c r="L297" s="81">
        <v>116427</v>
      </c>
      <c r="M297" s="82">
        <v>130100</v>
      </c>
      <c r="N297" s="82">
        <v>16334.045830973808</v>
      </c>
      <c r="O297" s="214">
        <f t="shared" si="63"/>
        <v>1483142.273193242</v>
      </c>
      <c r="P297" s="215">
        <f t="shared" si="64"/>
        <v>752.10054421564</v>
      </c>
      <c r="Q297" s="81"/>
      <c r="R297" s="223">
        <v>16635510</v>
      </c>
      <c r="S297" s="156">
        <v>5477079.862769854</v>
      </c>
      <c r="T297" s="156">
        <v>691763.1429718077</v>
      </c>
      <c r="U297" s="156">
        <v>9597347.025141511</v>
      </c>
      <c r="V297" s="156">
        <v>1522194.5331633743</v>
      </c>
      <c r="W297" s="156">
        <v>1114986.1816661581</v>
      </c>
      <c r="X297" s="214">
        <f t="shared" si="65"/>
        <v>1767860.745712705</v>
      </c>
      <c r="Y297" s="215">
        <f t="shared" si="66"/>
        <v>896.4811083735826</v>
      </c>
      <c r="Z297" s="81"/>
      <c r="AA297" s="94">
        <f t="shared" si="67"/>
        <v>-284718.4725194629</v>
      </c>
      <c r="AB297" s="153">
        <f t="shared" si="68"/>
        <v>-144.38056415794267</v>
      </c>
      <c r="AD297" s="216"/>
      <c r="AE297" s="224"/>
      <c r="AF297" s="224"/>
      <c r="AG297" s="224"/>
      <c r="AH297" s="225"/>
      <c r="AJ297" s="81">
        <f t="shared" si="69"/>
        <v>2923092.9025769564</v>
      </c>
      <c r="AK297" s="81">
        <f t="shared" si="70"/>
        <v>230587.7143239359</v>
      </c>
      <c r="AL297" s="81">
        <f t="shared" si="71"/>
        <v>8405794.38727439</v>
      </c>
      <c r="AM297" s="81">
        <f t="shared" si="72"/>
        <v>11325582.270173324</v>
      </c>
      <c r="AN297" s="81">
        <f t="shared" si="73"/>
        <v>0</v>
      </c>
      <c r="AO297" s="81">
        <f t="shared" si="74"/>
        <v>0</v>
      </c>
      <c r="AP297" s="81">
        <f t="shared" si="75"/>
        <v>0</v>
      </c>
      <c r="AQ297" s="81">
        <f t="shared" si="76"/>
        <v>0</v>
      </c>
      <c r="AR297" s="81">
        <f t="shared" si="77"/>
        <v>0</v>
      </c>
      <c r="AS297" s="82">
        <v>627</v>
      </c>
      <c r="AT297" s="82"/>
      <c r="AU297" s="82"/>
      <c r="AV297" s="82">
        <v>0</v>
      </c>
      <c r="AW297" s="82">
        <f>7617408.24977143*(0.001)</f>
        <v>7617.408249771432</v>
      </c>
      <c r="AX297" s="82">
        <v>-1173.4404454801995</v>
      </c>
      <c r="AY297" s="82">
        <v>1070.4586688308077</v>
      </c>
      <c r="AZ297" s="408"/>
      <c r="BA297" s="81"/>
      <c r="BB297" s="81"/>
      <c r="BC297" s="81"/>
      <c r="BD297" s="81"/>
      <c r="BE297" s="81"/>
      <c r="BF297" s="81"/>
      <c r="BG297" s="81"/>
      <c r="BO297" s="114"/>
    </row>
    <row r="298" spans="1:67" ht="12.75">
      <c r="A298" s="81">
        <v>922</v>
      </c>
      <c r="B298" s="81" t="s">
        <v>416</v>
      </c>
      <c r="C298" s="81">
        <v>6</v>
      </c>
      <c r="D298" s="81">
        <v>4367</v>
      </c>
      <c r="E298" s="100">
        <v>12272159.649595961</v>
      </c>
      <c r="F298" s="81">
        <v>7273283.533318501</v>
      </c>
      <c r="G298" s="81">
        <v>1305196.8691693118</v>
      </c>
      <c r="H298" s="81">
        <v>406912.7382238904</v>
      </c>
      <c r="I298" s="156">
        <v>3953507.4838747755</v>
      </c>
      <c r="J298" s="156">
        <v>636939.5066247615</v>
      </c>
      <c r="K298" s="81">
        <v>-1038573.4898536068</v>
      </c>
      <c r="L298" s="81">
        <v>-1022138</v>
      </c>
      <c r="M298" s="82">
        <v>-169800</v>
      </c>
      <c r="N298" s="82">
        <v>45954.29328944751</v>
      </c>
      <c r="O298" s="214">
        <f t="shared" si="63"/>
        <v>-880876.7149488814</v>
      </c>
      <c r="P298" s="215">
        <f t="shared" si="64"/>
        <v>-201.7120941032474</v>
      </c>
      <c r="Q298" s="81"/>
      <c r="R298" s="223">
        <v>27243876</v>
      </c>
      <c r="S298" s="156">
        <v>15942409.346845698</v>
      </c>
      <c r="T298" s="156">
        <v>610369.1073358357</v>
      </c>
      <c r="U298" s="156">
        <v>6695359.498448049</v>
      </c>
      <c r="V298" s="156">
        <v>2170262.5922259083</v>
      </c>
      <c r="W298" s="156">
        <v>113258.86916931183</v>
      </c>
      <c r="X298" s="214">
        <f t="shared" si="65"/>
        <v>-1712216.5859752</v>
      </c>
      <c r="Y298" s="215">
        <f t="shared" si="66"/>
        <v>-392.08073871655597</v>
      </c>
      <c r="Z298" s="81"/>
      <c r="AA298" s="94">
        <f t="shared" si="67"/>
        <v>831339.8710263185</v>
      </c>
      <c r="AB298" s="153">
        <f t="shared" si="68"/>
        <v>190.36864461330856</v>
      </c>
      <c r="AD298" s="216"/>
      <c r="AE298" s="224"/>
      <c r="AF298" s="224"/>
      <c r="AG298" s="224"/>
      <c r="AH298" s="225"/>
      <c r="AJ298" s="81">
        <f t="shared" si="69"/>
        <v>8669125.813527197</v>
      </c>
      <c r="AK298" s="81">
        <f t="shared" si="70"/>
        <v>203456.36911194527</v>
      </c>
      <c r="AL298" s="81">
        <f t="shared" si="71"/>
        <v>2741852.0145732732</v>
      </c>
      <c r="AM298" s="81">
        <f t="shared" si="72"/>
        <v>14971716.350404039</v>
      </c>
      <c r="AN298" s="81">
        <f t="shared" si="73"/>
        <v>0</v>
      </c>
      <c r="AO298" s="81">
        <f t="shared" si="74"/>
        <v>0</v>
      </c>
      <c r="AP298" s="81">
        <f t="shared" si="75"/>
        <v>0</v>
      </c>
      <c r="AQ298" s="81">
        <f t="shared" si="76"/>
        <v>0</v>
      </c>
      <c r="AR298" s="81">
        <f t="shared" si="77"/>
        <v>0</v>
      </c>
      <c r="AS298" s="82">
        <v>1566</v>
      </c>
      <c r="AT298" s="82">
        <v>2</v>
      </c>
      <c r="AU298" s="82"/>
      <c r="AV298" s="82">
        <v>2</v>
      </c>
      <c r="AW298" s="82">
        <f>2257985.83873395*(0.001)</f>
        <v>2257.9858387339527</v>
      </c>
      <c r="AX298" s="82">
        <v>-624.8319590083076</v>
      </c>
      <c r="AY298" s="82">
        <v>1533.3230856011469</v>
      </c>
      <c r="AZ298" s="408"/>
      <c r="BA298" s="81"/>
      <c r="BB298" s="81"/>
      <c r="BC298" s="81"/>
      <c r="BD298" s="81"/>
      <c r="BE298" s="81"/>
      <c r="BF298" s="81"/>
      <c r="BG298" s="81"/>
      <c r="BO298" s="114"/>
    </row>
    <row r="299" spans="1:67" ht="12.75">
      <c r="A299" s="81">
        <v>924</v>
      </c>
      <c r="B299" s="81" t="s">
        <v>417</v>
      </c>
      <c r="C299" s="81">
        <v>16</v>
      </c>
      <c r="D299" s="81">
        <v>3065</v>
      </c>
      <c r="E299" s="100">
        <v>8366286.498654824</v>
      </c>
      <c r="F299" s="81">
        <v>4728200.915562013</v>
      </c>
      <c r="G299" s="81">
        <v>735387.0657431585</v>
      </c>
      <c r="H299" s="81">
        <v>471899.71113145124</v>
      </c>
      <c r="I299" s="156">
        <v>2592734.211130417</v>
      </c>
      <c r="J299" s="156">
        <v>648930.666876174</v>
      </c>
      <c r="K299" s="81">
        <v>-345655.3710884409</v>
      </c>
      <c r="L299" s="81">
        <v>-283688</v>
      </c>
      <c r="M299" s="82">
        <v>77000</v>
      </c>
      <c r="N299" s="82">
        <v>27779.719412902836</v>
      </c>
      <c r="O299" s="214">
        <f t="shared" si="63"/>
        <v>286302.420112852</v>
      </c>
      <c r="P299" s="215">
        <f t="shared" si="64"/>
        <v>93.4102512603106</v>
      </c>
      <c r="Q299" s="81"/>
      <c r="R299" s="223">
        <v>23062807</v>
      </c>
      <c r="S299" s="156">
        <v>9855794.395309316</v>
      </c>
      <c r="T299" s="156">
        <v>707849.5666971769</v>
      </c>
      <c r="U299" s="156">
        <v>9610066.993023358</v>
      </c>
      <c r="V299" s="156">
        <v>2191750.999865693</v>
      </c>
      <c r="W299" s="156">
        <v>528699.0657431585</v>
      </c>
      <c r="X299" s="214">
        <f t="shared" si="65"/>
        <v>-168645.9793612957</v>
      </c>
      <c r="Y299" s="215">
        <f t="shared" si="66"/>
        <v>-55.02315802978652</v>
      </c>
      <c r="Z299" s="81"/>
      <c r="AA299" s="94">
        <f t="shared" si="67"/>
        <v>454948.3994741477</v>
      </c>
      <c r="AB299" s="153">
        <f t="shared" si="68"/>
        <v>148.43340929009713</v>
      </c>
      <c r="AD299" s="216"/>
      <c r="AE299" s="224"/>
      <c r="AF299" s="224"/>
      <c r="AG299" s="224"/>
      <c r="AH299" s="225"/>
      <c r="AJ299" s="81">
        <f t="shared" si="69"/>
        <v>5127593.479747303</v>
      </c>
      <c r="AK299" s="81">
        <f t="shared" si="70"/>
        <v>235949.85556572565</v>
      </c>
      <c r="AL299" s="81">
        <f t="shared" si="71"/>
        <v>7017332.781892941</v>
      </c>
      <c r="AM299" s="81">
        <f t="shared" si="72"/>
        <v>14696520.501345176</v>
      </c>
      <c r="AN299" s="81">
        <f t="shared" si="73"/>
        <v>0</v>
      </c>
      <c r="AO299" s="81">
        <f t="shared" si="74"/>
        <v>0</v>
      </c>
      <c r="AP299" s="81">
        <f t="shared" si="75"/>
        <v>0</v>
      </c>
      <c r="AQ299" s="81">
        <f t="shared" si="76"/>
        <v>0</v>
      </c>
      <c r="AR299" s="81">
        <f t="shared" si="77"/>
        <v>0</v>
      </c>
      <c r="AS299" s="82">
        <v>1042</v>
      </c>
      <c r="AT299" s="82"/>
      <c r="AU299" s="82">
        <v>15</v>
      </c>
      <c r="AV299" s="82">
        <v>15</v>
      </c>
      <c r="AW299" s="82">
        <f>5829182.63802835*(0.001)</f>
        <v>5829.182638028348</v>
      </c>
      <c r="AX299" s="82">
        <v>-1414.0711212998162</v>
      </c>
      <c r="AY299" s="82">
        <v>1542.820332989519</v>
      </c>
      <c r="AZ299" s="408"/>
      <c r="BA299" s="81"/>
      <c r="BB299" s="81"/>
      <c r="BC299" s="81"/>
      <c r="BD299" s="81"/>
      <c r="BE299" s="81"/>
      <c r="BF299" s="81"/>
      <c r="BG299" s="81"/>
      <c r="BO299" s="114"/>
    </row>
    <row r="300" spans="1:67" ht="12.75">
      <c r="A300" s="81">
        <v>925</v>
      </c>
      <c r="B300" s="81" t="s">
        <v>418</v>
      </c>
      <c r="C300" s="81">
        <v>11</v>
      </c>
      <c r="D300" s="81">
        <v>3522</v>
      </c>
      <c r="E300" s="100">
        <v>11436728.091743601</v>
      </c>
      <c r="F300" s="81">
        <v>4522770.412782684</v>
      </c>
      <c r="G300" s="81">
        <v>1089662.6985187856</v>
      </c>
      <c r="H300" s="81">
        <v>2536056.4405993694</v>
      </c>
      <c r="I300" s="156">
        <v>1298052.5628443065</v>
      </c>
      <c r="J300" s="156">
        <v>727514.2761990014</v>
      </c>
      <c r="K300" s="81">
        <v>521747.36718262377</v>
      </c>
      <c r="L300" s="81">
        <v>50751</v>
      </c>
      <c r="M300" s="82">
        <v>291600</v>
      </c>
      <c r="N300" s="82">
        <v>36285.338171487325</v>
      </c>
      <c r="O300" s="214">
        <f t="shared" si="63"/>
        <v>-362287.99544534273</v>
      </c>
      <c r="P300" s="215">
        <f t="shared" si="64"/>
        <v>-102.86428036494684</v>
      </c>
      <c r="Q300" s="81"/>
      <c r="R300" s="223">
        <v>26477590</v>
      </c>
      <c r="S300" s="156">
        <v>10260499.911866806</v>
      </c>
      <c r="T300" s="156">
        <v>3804084.6608990547</v>
      </c>
      <c r="U300" s="156">
        <v>8613902.23742528</v>
      </c>
      <c r="V300" s="156">
        <v>2458275.7393799587</v>
      </c>
      <c r="W300" s="156">
        <v>1432013.6985187856</v>
      </c>
      <c r="X300" s="214">
        <f t="shared" si="65"/>
        <v>91186.2480898872</v>
      </c>
      <c r="Y300" s="215">
        <f t="shared" si="66"/>
        <v>25.89047362007019</v>
      </c>
      <c r="Z300" s="81"/>
      <c r="AA300" s="94">
        <f t="shared" si="67"/>
        <v>-453474.24353522994</v>
      </c>
      <c r="AB300" s="153">
        <f t="shared" si="68"/>
        <v>-128.754753985017</v>
      </c>
      <c r="AD300" s="216"/>
      <c r="AE300" s="224"/>
      <c r="AF300" s="224"/>
      <c r="AG300" s="224"/>
      <c r="AH300" s="225"/>
      <c r="AJ300" s="81">
        <f t="shared" si="69"/>
        <v>5737729.4990841225</v>
      </c>
      <c r="AK300" s="81">
        <f t="shared" si="70"/>
        <v>1268028.2202996854</v>
      </c>
      <c r="AL300" s="81">
        <f t="shared" si="71"/>
        <v>7315849.6745809745</v>
      </c>
      <c r="AM300" s="81">
        <f t="shared" si="72"/>
        <v>15040861.908256399</v>
      </c>
      <c r="AN300" s="81">
        <f t="shared" si="73"/>
        <v>0</v>
      </c>
      <c r="AO300" s="81">
        <f t="shared" si="74"/>
        <v>0</v>
      </c>
      <c r="AP300" s="81">
        <f t="shared" si="75"/>
        <v>0</v>
      </c>
      <c r="AQ300" s="81">
        <f t="shared" si="76"/>
        <v>0</v>
      </c>
      <c r="AR300" s="81">
        <f t="shared" si="77"/>
        <v>0</v>
      </c>
      <c r="AS300" s="82">
        <v>1317</v>
      </c>
      <c r="AT300" s="82"/>
      <c r="AU300" s="82"/>
      <c r="AV300" s="82">
        <v>0</v>
      </c>
      <c r="AW300" s="82">
        <f>6655640.17487112*(0.001)</f>
        <v>6655.6401748711205</v>
      </c>
      <c r="AX300" s="82">
        <v>-556.1864854854623</v>
      </c>
      <c r="AY300" s="82">
        <v>1730.7614631809574</v>
      </c>
      <c r="AZ300" s="408"/>
      <c r="BA300" s="81"/>
      <c r="BB300" s="81"/>
      <c r="BC300" s="81"/>
      <c r="BD300" s="81"/>
      <c r="BE300" s="81"/>
      <c r="BF300" s="81"/>
      <c r="BG300" s="81"/>
      <c r="BO300" s="114"/>
    </row>
    <row r="301" spans="1:67" ht="12.75">
      <c r="A301" s="81">
        <v>927</v>
      </c>
      <c r="B301" s="81" t="s">
        <v>419</v>
      </c>
      <c r="C301" s="81">
        <v>1</v>
      </c>
      <c r="D301" s="81">
        <v>29160</v>
      </c>
      <c r="E301" s="100">
        <v>69070797.8581412</v>
      </c>
      <c r="F301" s="81">
        <v>50630351.03578027</v>
      </c>
      <c r="G301" s="81">
        <v>7331817.1356773265</v>
      </c>
      <c r="H301" s="81">
        <v>2678536.5210533272</v>
      </c>
      <c r="I301" s="156">
        <v>15829828.520981053</v>
      </c>
      <c r="J301" s="156">
        <v>3491898.958527332</v>
      </c>
      <c r="K301" s="81">
        <v>-2320121.166392546</v>
      </c>
      <c r="L301" s="81">
        <v>-3203224</v>
      </c>
      <c r="M301" s="82">
        <v>-597129</v>
      </c>
      <c r="N301" s="82">
        <v>387946.0336052055</v>
      </c>
      <c r="O301" s="214">
        <f t="shared" si="63"/>
        <v>5159106.181090772</v>
      </c>
      <c r="P301" s="215">
        <f t="shared" si="64"/>
        <v>176.92408028432004</v>
      </c>
      <c r="Q301" s="81"/>
      <c r="R301" s="223">
        <v>164719058</v>
      </c>
      <c r="S301" s="156">
        <v>124193400.25646877</v>
      </c>
      <c r="T301" s="156">
        <v>4017804.7815799913</v>
      </c>
      <c r="U301" s="156">
        <v>25566750.266787246</v>
      </c>
      <c r="V301" s="156">
        <v>11996314.8342937</v>
      </c>
      <c r="W301" s="156">
        <v>3531464.1356773265</v>
      </c>
      <c r="X301" s="214">
        <f t="shared" si="65"/>
        <v>4586676.274807036</v>
      </c>
      <c r="Y301" s="215">
        <f t="shared" si="66"/>
        <v>157.29342506196969</v>
      </c>
      <c r="Z301" s="81"/>
      <c r="AA301" s="94">
        <f t="shared" si="67"/>
        <v>572429.9062837362</v>
      </c>
      <c r="AB301" s="153">
        <f t="shared" si="68"/>
        <v>19.630655222350352</v>
      </c>
      <c r="AD301" s="216"/>
      <c r="AE301" s="224"/>
      <c r="AF301" s="224"/>
      <c r="AG301" s="224"/>
      <c r="AH301" s="225"/>
      <c r="AJ301" s="81">
        <f t="shared" si="69"/>
        <v>73563049.22068849</v>
      </c>
      <c r="AK301" s="81">
        <f t="shared" si="70"/>
        <v>1339268.260526664</v>
      </c>
      <c r="AL301" s="81">
        <f t="shared" si="71"/>
        <v>9736921.745806193</v>
      </c>
      <c r="AM301" s="81">
        <f t="shared" si="72"/>
        <v>95648260.1418588</v>
      </c>
      <c r="AN301" s="81">
        <f t="shared" si="73"/>
        <v>0</v>
      </c>
      <c r="AO301" s="81">
        <f t="shared" si="74"/>
        <v>0</v>
      </c>
      <c r="AP301" s="81">
        <f t="shared" si="75"/>
        <v>0</v>
      </c>
      <c r="AQ301" s="81">
        <f t="shared" si="76"/>
        <v>0</v>
      </c>
      <c r="AR301" s="81">
        <f t="shared" si="77"/>
        <v>0</v>
      </c>
      <c r="AS301" s="82">
        <v>10508</v>
      </c>
      <c r="AT301" s="82">
        <v>8</v>
      </c>
      <c r="AU301" s="82"/>
      <c r="AV301" s="82">
        <v>8</v>
      </c>
      <c r="AW301" s="82">
        <f>13086192.6019532*(0.001)</f>
        <v>13086.192601953204</v>
      </c>
      <c r="AX301" s="82">
        <v>4310.1786755917865</v>
      </c>
      <c r="AY301" s="82">
        <v>8504.415875766368</v>
      </c>
      <c r="AZ301" s="408"/>
      <c r="BA301" s="81"/>
      <c r="BB301" s="81"/>
      <c r="BC301" s="81"/>
      <c r="BD301" s="81"/>
      <c r="BE301" s="81"/>
      <c r="BF301" s="81"/>
      <c r="BG301" s="81"/>
      <c r="BO301" s="114"/>
    </row>
    <row r="302" spans="1:67" ht="12.75">
      <c r="A302" s="81">
        <v>931</v>
      </c>
      <c r="B302" s="81" t="s">
        <v>420</v>
      </c>
      <c r="C302" s="81">
        <v>13</v>
      </c>
      <c r="D302" s="81">
        <v>6097</v>
      </c>
      <c r="E302" s="100">
        <v>17974731.503659826</v>
      </c>
      <c r="F302" s="81">
        <v>8082798.943585775</v>
      </c>
      <c r="G302" s="81">
        <v>1833475.3516475132</v>
      </c>
      <c r="H302" s="81">
        <v>1760908.9540336826</v>
      </c>
      <c r="I302" s="156">
        <v>2582396.189621304</v>
      </c>
      <c r="J302" s="156">
        <v>1222170.8041844685</v>
      </c>
      <c r="K302" s="81">
        <v>3098652.3231029557</v>
      </c>
      <c r="L302" s="81">
        <v>-30828</v>
      </c>
      <c r="M302" s="82">
        <v>59310</v>
      </c>
      <c r="N302" s="82">
        <v>58720.58782711915</v>
      </c>
      <c r="O302" s="214">
        <f t="shared" si="63"/>
        <v>692873.6503429934</v>
      </c>
      <c r="P302" s="215">
        <f t="shared" si="64"/>
        <v>113.64173369575093</v>
      </c>
      <c r="Q302" s="81"/>
      <c r="R302" s="223">
        <v>47446373</v>
      </c>
      <c r="S302" s="156">
        <v>18539767.02309495</v>
      </c>
      <c r="T302" s="156">
        <v>2641363.431050524</v>
      </c>
      <c r="U302" s="156">
        <v>23133540.744403012</v>
      </c>
      <c r="V302" s="156">
        <v>4128892.1852955893</v>
      </c>
      <c r="W302" s="156">
        <v>1861957.3516475132</v>
      </c>
      <c r="X302" s="214">
        <f t="shared" si="65"/>
        <v>2859147.7354915887</v>
      </c>
      <c r="Y302" s="215">
        <f t="shared" si="66"/>
        <v>468.94337141079035</v>
      </c>
      <c r="Z302" s="81"/>
      <c r="AA302" s="94">
        <f t="shared" si="67"/>
        <v>-2166274.0851485953</v>
      </c>
      <c r="AB302" s="153">
        <f t="shared" si="68"/>
        <v>-355.3016377150394</v>
      </c>
      <c r="AD302" s="216"/>
      <c r="AE302" s="224"/>
      <c r="AF302" s="224"/>
      <c r="AG302" s="224"/>
      <c r="AH302" s="225"/>
      <c r="AJ302" s="81">
        <f t="shared" si="69"/>
        <v>10456968.079509173</v>
      </c>
      <c r="AK302" s="81">
        <f t="shared" si="70"/>
        <v>880454.4770168415</v>
      </c>
      <c r="AL302" s="81">
        <f t="shared" si="71"/>
        <v>20551144.55478171</v>
      </c>
      <c r="AM302" s="81">
        <f t="shared" si="72"/>
        <v>29471641.496340174</v>
      </c>
      <c r="AN302" s="81">
        <f t="shared" si="73"/>
        <v>0</v>
      </c>
      <c r="AO302" s="81">
        <f t="shared" si="74"/>
        <v>0</v>
      </c>
      <c r="AP302" s="81">
        <f t="shared" si="75"/>
        <v>0</v>
      </c>
      <c r="AQ302" s="81">
        <f t="shared" si="76"/>
        <v>0</v>
      </c>
      <c r="AR302" s="81">
        <f t="shared" si="77"/>
        <v>0</v>
      </c>
      <c r="AS302" s="82">
        <v>2654</v>
      </c>
      <c r="AT302" s="82">
        <v>86</v>
      </c>
      <c r="AU302" s="82"/>
      <c r="AV302" s="82">
        <v>86</v>
      </c>
      <c r="AW302" s="82">
        <f>17869986.9693665*(0.001)</f>
        <v>17869.986969366466</v>
      </c>
      <c r="AX302" s="82">
        <v>-2583.4555241012954</v>
      </c>
      <c r="AY302" s="82">
        <v>2906.721381111121</v>
      </c>
      <c r="AZ302" s="408"/>
      <c r="BA302" s="81"/>
      <c r="BB302" s="81"/>
      <c r="BC302" s="81"/>
      <c r="BD302" s="81"/>
      <c r="BE302" s="81"/>
      <c r="BF302" s="81"/>
      <c r="BG302" s="81"/>
      <c r="BO302" s="114"/>
    </row>
    <row r="303" spans="1:67" ht="12.75">
      <c r="A303" s="81">
        <v>934</v>
      </c>
      <c r="B303" s="81" t="s">
        <v>421</v>
      </c>
      <c r="C303" s="81">
        <v>14</v>
      </c>
      <c r="D303" s="81">
        <v>2784</v>
      </c>
      <c r="E303" s="100">
        <v>6512424.748916019</v>
      </c>
      <c r="F303" s="81">
        <v>4161657.9058011123</v>
      </c>
      <c r="G303" s="81">
        <v>771507.9095664289</v>
      </c>
      <c r="H303" s="81">
        <v>453977.7706910226</v>
      </c>
      <c r="I303" s="156">
        <v>1853925.4059124505</v>
      </c>
      <c r="J303" s="156">
        <v>512628.19999231</v>
      </c>
      <c r="K303" s="81">
        <v>121286.19354874796</v>
      </c>
      <c r="L303" s="81">
        <v>-744675</v>
      </c>
      <c r="M303" s="82">
        <v>-34653</v>
      </c>
      <c r="N303" s="82">
        <v>25311.50470870808</v>
      </c>
      <c r="O303" s="214">
        <f t="shared" si="63"/>
        <v>608542.1413047612</v>
      </c>
      <c r="P303" s="215">
        <f t="shared" si="64"/>
        <v>218.58553926176765</v>
      </c>
      <c r="Q303" s="81"/>
      <c r="R303" s="223">
        <v>18894119</v>
      </c>
      <c r="S303" s="156">
        <v>8821664.110984825</v>
      </c>
      <c r="T303" s="156">
        <v>680966.656036534</v>
      </c>
      <c r="U303" s="156">
        <v>8161520.193906872</v>
      </c>
      <c r="V303" s="156">
        <v>1736185.7957648009</v>
      </c>
      <c r="W303" s="156">
        <v>-7820.090433571138</v>
      </c>
      <c r="X303" s="214">
        <f t="shared" si="65"/>
        <v>498397.66625946015</v>
      </c>
      <c r="Y303" s="215">
        <f t="shared" si="66"/>
        <v>179.02215023687506</v>
      </c>
      <c r="Z303" s="81"/>
      <c r="AA303" s="94">
        <f t="shared" si="67"/>
        <v>110144.47504530102</v>
      </c>
      <c r="AB303" s="153">
        <f t="shared" si="68"/>
        <v>39.56338902489261</v>
      </c>
      <c r="AD303" s="216"/>
      <c r="AE303" s="224"/>
      <c r="AF303" s="224"/>
      <c r="AG303" s="224"/>
      <c r="AH303" s="225"/>
      <c r="AJ303" s="81">
        <f t="shared" si="69"/>
        <v>4660006.205183713</v>
      </c>
      <c r="AK303" s="81">
        <f t="shared" si="70"/>
        <v>226988.88534551137</v>
      </c>
      <c r="AL303" s="81">
        <f t="shared" si="71"/>
        <v>6307594.787994421</v>
      </c>
      <c r="AM303" s="81">
        <f t="shared" si="72"/>
        <v>12381694.251083981</v>
      </c>
      <c r="AN303" s="81">
        <f t="shared" si="73"/>
        <v>0</v>
      </c>
      <c r="AO303" s="81">
        <f t="shared" si="74"/>
        <v>0</v>
      </c>
      <c r="AP303" s="81">
        <f t="shared" si="75"/>
        <v>0</v>
      </c>
      <c r="AQ303" s="81">
        <f t="shared" si="76"/>
        <v>0</v>
      </c>
      <c r="AR303" s="81">
        <f t="shared" si="77"/>
        <v>0</v>
      </c>
      <c r="AS303" s="82">
        <v>940</v>
      </c>
      <c r="AT303" s="82"/>
      <c r="AU303" s="82"/>
      <c r="AV303" s="82">
        <v>0</v>
      </c>
      <c r="AW303" s="82">
        <f>5405925.7538874*(0.001)</f>
        <v>5405.925753887402</v>
      </c>
      <c r="AX303" s="82">
        <v>-1093.951240941896</v>
      </c>
      <c r="AY303" s="82">
        <v>1223.557595772491</v>
      </c>
      <c r="AZ303" s="408"/>
      <c r="BA303" s="81"/>
      <c r="BB303" s="81"/>
      <c r="BC303" s="81"/>
      <c r="BD303" s="81"/>
      <c r="BE303" s="81"/>
      <c r="BF303" s="81"/>
      <c r="BG303" s="81"/>
      <c r="BO303" s="114"/>
    </row>
    <row r="304" spans="1:67" ht="12.75">
      <c r="A304" s="81">
        <v>935</v>
      </c>
      <c r="B304" s="81" t="s">
        <v>422</v>
      </c>
      <c r="C304" s="81">
        <v>8</v>
      </c>
      <c r="D304" s="81">
        <v>3087</v>
      </c>
      <c r="E304" s="100">
        <v>10433663.903823027</v>
      </c>
      <c r="F304" s="81">
        <v>3708047.158478198</v>
      </c>
      <c r="G304" s="81">
        <v>1496778.7742656628</v>
      </c>
      <c r="H304" s="81">
        <v>729021.4490595241</v>
      </c>
      <c r="I304" s="156">
        <v>1038034.7650926334</v>
      </c>
      <c r="J304" s="156">
        <v>569998.6326577717</v>
      </c>
      <c r="K304" s="81">
        <v>1606805.1520727968</v>
      </c>
      <c r="L304" s="81">
        <v>-299654</v>
      </c>
      <c r="M304" s="82">
        <v>123000</v>
      </c>
      <c r="N304" s="82">
        <v>28326.947825012525</v>
      </c>
      <c r="O304" s="214">
        <f t="shared" si="63"/>
        <v>-1433305.0243714284</v>
      </c>
      <c r="P304" s="215">
        <f t="shared" si="64"/>
        <v>-464.30353883104254</v>
      </c>
      <c r="Q304" s="81"/>
      <c r="R304" s="223">
        <v>21584100</v>
      </c>
      <c r="S304" s="156">
        <v>8812735.382949974</v>
      </c>
      <c r="T304" s="156">
        <v>1093532.1735892862</v>
      </c>
      <c r="U304" s="156">
        <v>8206090.874605975</v>
      </c>
      <c r="V304" s="156">
        <v>1929250.0058362298</v>
      </c>
      <c r="W304" s="156">
        <v>1320124.7742656628</v>
      </c>
      <c r="X304" s="214">
        <f t="shared" si="65"/>
        <v>-222366.7887528725</v>
      </c>
      <c r="Y304" s="215">
        <f t="shared" si="66"/>
        <v>-72.03329729603904</v>
      </c>
      <c r="Z304" s="81"/>
      <c r="AA304" s="94">
        <f t="shared" si="67"/>
        <v>-1210938.235618556</v>
      </c>
      <c r="AB304" s="153">
        <f t="shared" si="68"/>
        <v>-392.27024153500355</v>
      </c>
      <c r="AD304" s="216"/>
      <c r="AE304" s="224"/>
      <c r="AF304" s="224"/>
      <c r="AG304" s="224"/>
      <c r="AH304" s="225"/>
      <c r="AJ304" s="81">
        <f t="shared" si="69"/>
        <v>5104688.224471776</v>
      </c>
      <c r="AK304" s="81">
        <f t="shared" si="70"/>
        <v>364510.72452976205</v>
      </c>
      <c r="AL304" s="81">
        <f t="shared" si="71"/>
        <v>7168056.109513341</v>
      </c>
      <c r="AM304" s="81">
        <f t="shared" si="72"/>
        <v>11150436.096176973</v>
      </c>
      <c r="AN304" s="81">
        <f t="shared" si="73"/>
        <v>0</v>
      </c>
      <c r="AO304" s="81">
        <f t="shared" si="74"/>
        <v>0</v>
      </c>
      <c r="AP304" s="81">
        <f t="shared" si="75"/>
        <v>0</v>
      </c>
      <c r="AQ304" s="81">
        <f t="shared" si="76"/>
        <v>0</v>
      </c>
      <c r="AR304" s="81">
        <f t="shared" si="77"/>
        <v>0</v>
      </c>
      <c r="AS304" s="82">
        <v>1429</v>
      </c>
      <c r="AT304" s="82"/>
      <c r="AU304" s="82"/>
      <c r="AV304" s="82">
        <v>0</v>
      </c>
      <c r="AW304" s="82">
        <f>5918079.15164858*(0.001)</f>
        <v>5918.079151648579</v>
      </c>
      <c r="AX304" s="82">
        <v>-1111.6617660530353</v>
      </c>
      <c r="AY304" s="82">
        <v>1359.2513731784582</v>
      </c>
      <c r="AZ304" s="408"/>
      <c r="BA304" s="81"/>
      <c r="BB304" s="81"/>
      <c r="BC304" s="81"/>
      <c r="BD304" s="81"/>
      <c r="BE304" s="81"/>
      <c r="BF304" s="81"/>
      <c r="BG304" s="81"/>
      <c r="BO304" s="114"/>
    </row>
    <row r="305" spans="1:67" ht="12.75">
      <c r="A305" s="81">
        <v>936</v>
      </c>
      <c r="B305" s="81" t="s">
        <v>423</v>
      </c>
      <c r="C305" s="81">
        <v>6</v>
      </c>
      <c r="D305" s="81">
        <v>6510</v>
      </c>
      <c r="E305" s="100">
        <v>18402029.50958635</v>
      </c>
      <c r="F305" s="81">
        <v>8358975.415165071</v>
      </c>
      <c r="G305" s="81">
        <v>1982056.6940634355</v>
      </c>
      <c r="H305" s="81">
        <v>1951167.07748803</v>
      </c>
      <c r="I305" s="156">
        <v>2560287.432066513</v>
      </c>
      <c r="J305" s="156">
        <v>1295511.7045532973</v>
      </c>
      <c r="K305" s="81">
        <v>1940653.1973266623</v>
      </c>
      <c r="L305" s="81">
        <v>450857</v>
      </c>
      <c r="M305" s="82">
        <v>-85500</v>
      </c>
      <c r="N305" s="82">
        <v>58638.44932397304</v>
      </c>
      <c r="O305" s="214">
        <f t="shared" si="63"/>
        <v>110617.46040063351</v>
      </c>
      <c r="P305" s="215">
        <f t="shared" si="64"/>
        <v>16.99192940101897</v>
      </c>
      <c r="Q305" s="81"/>
      <c r="R305" s="223">
        <v>50206774</v>
      </c>
      <c r="S305" s="156">
        <v>18704955.618299816</v>
      </c>
      <c r="T305" s="156">
        <v>2926750.616232045</v>
      </c>
      <c r="U305" s="156">
        <v>22916124.40085794</v>
      </c>
      <c r="V305" s="156">
        <v>4379141.246038977</v>
      </c>
      <c r="W305" s="156">
        <v>2347413.6940634353</v>
      </c>
      <c r="X305" s="214">
        <f t="shared" si="65"/>
        <v>1067611.5754922181</v>
      </c>
      <c r="Y305" s="215">
        <f t="shared" si="66"/>
        <v>163.99563371616253</v>
      </c>
      <c r="Z305" s="81"/>
      <c r="AA305" s="94">
        <f t="shared" si="67"/>
        <v>-956994.1150915846</v>
      </c>
      <c r="AB305" s="153">
        <f t="shared" si="68"/>
        <v>-147.00370431514358</v>
      </c>
      <c r="AD305" s="216"/>
      <c r="AE305" s="224"/>
      <c r="AF305" s="224"/>
      <c r="AG305" s="224"/>
      <c r="AH305" s="225"/>
      <c r="AJ305" s="81">
        <f t="shared" si="69"/>
        <v>10345980.203134745</v>
      </c>
      <c r="AK305" s="81">
        <f t="shared" si="70"/>
        <v>975583.5387440149</v>
      </c>
      <c r="AL305" s="81">
        <f t="shared" si="71"/>
        <v>20355836.968791425</v>
      </c>
      <c r="AM305" s="81">
        <f t="shared" si="72"/>
        <v>31804744.49041365</v>
      </c>
      <c r="AN305" s="81">
        <f t="shared" si="73"/>
        <v>0</v>
      </c>
      <c r="AO305" s="81">
        <f t="shared" si="74"/>
        <v>0</v>
      </c>
      <c r="AP305" s="81">
        <f t="shared" si="75"/>
        <v>0</v>
      </c>
      <c r="AQ305" s="81">
        <f t="shared" si="76"/>
        <v>0</v>
      </c>
      <c r="AR305" s="81">
        <f t="shared" si="77"/>
        <v>0</v>
      </c>
      <c r="AS305" s="82">
        <v>3917</v>
      </c>
      <c r="AT305" s="82">
        <v>104</v>
      </c>
      <c r="AU305" s="82">
        <v>8</v>
      </c>
      <c r="AV305" s="82">
        <v>112</v>
      </c>
      <c r="AW305" s="82">
        <f>18146606.9682188*(0.001)</f>
        <v>18146.606968218828</v>
      </c>
      <c r="AX305" s="82">
        <v>-2548.9984171573306</v>
      </c>
      <c r="AY305" s="82">
        <v>3083.62954148568</v>
      </c>
      <c r="AZ305" s="408"/>
      <c r="BA305" s="81"/>
      <c r="BB305" s="81"/>
      <c r="BC305" s="81"/>
      <c r="BD305" s="81"/>
      <c r="BE305" s="81"/>
      <c r="BF305" s="81"/>
      <c r="BG305" s="81"/>
      <c r="BO305" s="114"/>
    </row>
    <row r="306" spans="1:67" ht="12.75">
      <c r="A306" s="81">
        <v>946</v>
      </c>
      <c r="B306" s="81" t="s">
        <v>137</v>
      </c>
      <c r="C306" s="81">
        <v>15</v>
      </c>
      <c r="D306" s="81">
        <v>6388</v>
      </c>
      <c r="E306" s="100">
        <v>20690950.232551787</v>
      </c>
      <c r="F306" s="81">
        <v>10037996.728590585</v>
      </c>
      <c r="G306" s="81">
        <v>1968143.8534577193</v>
      </c>
      <c r="H306" s="81">
        <v>1268830.1548962332</v>
      </c>
      <c r="I306" s="156">
        <v>6505253.375829368</v>
      </c>
      <c r="J306" s="156">
        <v>1229937.1192211653</v>
      </c>
      <c r="K306" s="81">
        <v>945142.8666437754</v>
      </c>
      <c r="L306" s="81">
        <v>-16334</v>
      </c>
      <c r="M306" s="82">
        <v>-158000</v>
      </c>
      <c r="N306" s="82">
        <v>68079.47468354799</v>
      </c>
      <c r="O306" s="214">
        <f t="shared" si="63"/>
        <v>1158099.340770606</v>
      </c>
      <c r="P306" s="215">
        <f t="shared" si="64"/>
        <v>181.2929462696628</v>
      </c>
      <c r="Q306" s="81"/>
      <c r="R306" s="223">
        <v>45429000</v>
      </c>
      <c r="S306" s="156">
        <v>22547962.531424366</v>
      </c>
      <c r="T306" s="156">
        <v>1903245.23234435</v>
      </c>
      <c r="U306" s="156">
        <v>17132436.34000358</v>
      </c>
      <c r="V306" s="156">
        <v>4162820.9226891096</v>
      </c>
      <c r="W306" s="156">
        <v>1793809.8534577193</v>
      </c>
      <c r="X306" s="214">
        <f t="shared" si="65"/>
        <v>2111274.8799191266</v>
      </c>
      <c r="Y306" s="215">
        <f t="shared" si="66"/>
        <v>330.50639948640054</v>
      </c>
      <c r="Z306" s="81"/>
      <c r="AA306" s="94">
        <f t="shared" si="67"/>
        <v>-953175.5391485207</v>
      </c>
      <c r="AB306" s="153">
        <f t="shared" si="68"/>
        <v>-149.21345321673775</v>
      </c>
      <c r="AD306" s="216"/>
      <c r="AE306" s="224"/>
      <c r="AF306" s="224"/>
      <c r="AG306" s="224"/>
      <c r="AH306" s="225"/>
      <c r="AJ306" s="81">
        <f t="shared" si="69"/>
        <v>12509965.80283378</v>
      </c>
      <c r="AK306" s="81">
        <f t="shared" si="70"/>
        <v>634415.0774481168</v>
      </c>
      <c r="AL306" s="81">
        <f t="shared" si="71"/>
        <v>10627182.964174211</v>
      </c>
      <c r="AM306" s="81">
        <f t="shared" si="72"/>
        <v>24738049.767448213</v>
      </c>
      <c r="AN306" s="81">
        <f t="shared" si="73"/>
        <v>0</v>
      </c>
      <c r="AO306" s="81">
        <f t="shared" si="74"/>
        <v>0</v>
      </c>
      <c r="AP306" s="81">
        <f t="shared" si="75"/>
        <v>0</v>
      </c>
      <c r="AQ306" s="81">
        <f t="shared" si="76"/>
        <v>0</v>
      </c>
      <c r="AR306" s="81">
        <f t="shared" si="77"/>
        <v>0</v>
      </c>
      <c r="AS306" s="82">
        <v>1694</v>
      </c>
      <c r="AT306" s="82">
        <v>11</v>
      </c>
      <c r="AU306" s="82"/>
      <c r="AV306" s="82">
        <v>11</v>
      </c>
      <c r="AW306" s="82">
        <f>8536650.7857613*(0.001)</f>
        <v>8536.650785761303</v>
      </c>
      <c r="AX306" s="82">
        <v>-1770.3895133914455</v>
      </c>
      <c r="AY306" s="82">
        <v>2932.8838034679443</v>
      </c>
      <c r="AZ306" s="408"/>
      <c r="BA306" s="81"/>
      <c r="BB306" s="81"/>
      <c r="BC306" s="81"/>
      <c r="BD306" s="81"/>
      <c r="BE306" s="81"/>
      <c r="BF306" s="81"/>
      <c r="BG306" s="81"/>
      <c r="BO306" s="114"/>
    </row>
    <row r="307" spans="1:67" ht="12.75">
      <c r="A307" s="81">
        <v>976</v>
      </c>
      <c r="B307" s="81" t="s">
        <v>424</v>
      </c>
      <c r="C307" s="81">
        <v>19</v>
      </c>
      <c r="D307" s="81">
        <v>3890</v>
      </c>
      <c r="E307" s="100">
        <v>10163850.032655824</v>
      </c>
      <c r="F307" s="81">
        <v>4799527.429094659</v>
      </c>
      <c r="G307" s="81">
        <v>1283630.2199873438</v>
      </c>
      <c r="H307" s="81">
        <v>478608.9946269807</v>
      </c>
      <c r="I307" s="156">
        <v>3315290.020596709</v>
      </c>
      <c r="J307" s="156">
        <v>752879.8099995223</v>
      </c>
      <c r="K307" s="81">
        <v>846862.617312056</v>
      </c>
      <c r="L307" s="81">
        <v>-2943</v>
      </c>
      <c r="M307" s="82">
        <v>25000</v>
      </c>
      <c r="N307" s="82">
        <v>38541.97629538109</v>
      </c>
      <c r="O307" s="214">
        <f t="shared" si="63"/>
        <v>1373548.035256829</v>
      </c>
      <c r="P307" s="215">
        <f t="shared" si="64"/>
        <v>353.09718129995605</v>
      </c>
      <c r="Q307" s="81"/>
      <c r="R307" s="223">
        <v>32850500</v>
      </c>
      <c r="S307" s="156">
        <v>12001678.94565538</v>
      </c>
      <c r="T307" s="156">
        <v>717913.491940471</v>
      </c>
      <c r="U307" s="156">
        <v>18138928.42216667</v>
      </c>
      <c r="V307" s="156">
        <v>2544868.166752037</v>
      </c>
      <c r="W307" s="156">
        <v>1305687.2199873438</v>
      </c>
      <c r="X307" s="214">
        <f t="shared" si="65"/>
        <v>1858576.2465019077</v>
      </c>
      <c r="Y307" s="215">
        <f t="shared" si="66"/>
        <v>477.7830967871228</v>
      </c>
      <c r="Z307" s="81"/>
      <c r="AA307" s="94">
        <f t="shared" si="67"/>
        <v>-485028.2112450786</v>
      </c>
      <c r="AB307" s="153">
        <f t="shared" si="68"/>
        <v>-124.68591548716674</v>
      </c>
      <c r="AD307" s="216"/>
      <c r="AE307" s="224"/>
      <c r="AF307" s="224"/>
      <c r="AG307" s="224"/>
      <c r="AH307" s="225"/>
      <c r="AJ307" s="81">
        <f t="shared" si="69"/>
        <v>7202151.51656072</v>
      </c>
      <c r="AK307" s="81">
        <f t="shared" si="70"/>
        <v>239304.4973134903</v>
      </c>
      <c r="AL307" s="81">
        <f t="shared" si="71"/>
        <v>14823638.401569963</v>
      </c>
      <c r="AM307" s="81">
        <f t="shared" si="72"/>
        <v>22686649.967344176</v>
      </c>
      <c r="AN307" s="81">
        <f t="shared" si="73"/>
        <v>0</v>
      </c>
      <c r="AO307" s="81">
        <f t="shared" si="74"/>
        <v>0</v>
      </c>
      <c r="AP307" s="81">
        <f t="shared" si="75"/>
        <v>0</v>
      </c>
      <c r="AQ307" s="81">
        <f t="shared" si="76"/>
        <v>0</v>
      </c>
      <c r="AR307" s="81">
        <f t="shared" si="77"/>
        <v>0</v>
      </c>
      <c r="AS307" s="82">
        <v>1500</v>
      </c>
      <c r="AT307" s="82">
        <v>33</v>
      </c>
      <c r="AU307" s="82"/>
      <c r="AV307" s="82">
        <v>33</v>
      </c>
      <c r="AW307" s="82">
        <f>13375718.1466748*(0.001)</f>
        <v>13375.718146674762</v>
      </c>
      <c r="AX307" s="82">
        <v>-1529.2560040630333</v>
      </c>
      <c r="AY307" s="82">
        <v>1791.9883567525148</v>
      </c>
      <c r="AZ307" s="408"/>
      <c r="BA307" s="81"/>
      <c r="BB307" s="81"/>
      <c r="BC307" s="81"/>
      <c r="BD307" s="81"/>
      <c r="BE307" s="81"/>
      <c r="BF307" s="81"/>
      <c r="BG307" s="81"/>
      <c r="BO307" s="114"/>
    </row>
    <row r="308" spans="1:67" ht="12.75">
      <c r="A308" s="81">
        <v>977</v>
      </c>
      <c r="B308" s="81" t="s">
        <v>425</v>
      </c>
      <c r="C308" s="81">
        <v>17</v>
      </c>
      <c r="D308" s="81">
        <v>15304</v>
      </c>
      <c r="E308" s="100">
        <v>46875185.69967692</v>
      </c>
      <c r="F308" s="81">
        <v>24902936.241615266</v>
      </c>
      <c r="G308" s="81">
        <v>5047976.13214027</v>
      </c>
      <c r="H308" s="81">
        <v>2179171.7466558362</v>
      </c>
      <c r="I308" s="156">
        <v>16224670.007431112</v>
      </c>
      <c r="J308" s="156">
        <v>2191714.4937301325</v>
      </c>
      <c r="K308" s="81">
        <v>-925713.9997438032</v>
      </c>
      <c r="L308" s="81">
        <v>277361</v>
      </c>
      <c r="M308" s="82">
        <v>-506200</v>
      </c>
      <c r="N308" s="82">
        <v>139597.2210104271</v>
      </c>
      <c r="O308" s="214">
        <f t="shared" si="63"/>
        <v>2656327.1431623176</v>
      </c>
      <c r="P308" s="215">
        <f t="shared" si="64"/>
        <v>173.57077516742797</v>
      </c>
      <c r="Q308" s="81"/>
      <c r="R308" s="223">
        <v>105694660</v>
      </c>
      <c r="S308" s="156">
        <v>50765953.20958643</v>
      </c>
      <c r="T308" s="156">
        <v>3268757.6199837546</v>
      </c>
      <c r="U308" s="156">
        <v>40979607.14259471</v>
      </c>
      <c r="V308" s="156">
        <v>7461827.7011086885</v>
      </c>
      <c r="W308" s="156">
        <v>4819137.13214027</v>
      </c>
      <c r="X308" s="214">
        <f t="shared" si="65"/>
        <v>1600622.8054138422</v>
      </c>
      <c r="Y308" s="215">
        <f t="shared" si="66"/>
        <v>104.5885262293415</v>
      </c>
      <c r="Z308" s="81"/>
      <c r="AA308" s="94">
        <f t="shared" si="67"/>
        <v>1055704.3377484754</v>
      </c>
      <c r="AB308" s="153">
        <f t="shared" si="68"/>
        <v>68.98224893808647</v>
      </c>
      <c r="AD308" s="216"/>
      <c r="AE308" s="224"/>
      <c r="AF308" s="224"/>
      <c r="AG308" s="224"/>
      <c r="AH308" s="225"/>
      <c r="AJ308" s="81">
        <f t="shared" si="69"/>
        <v>25863016.96797116</v>
      </c>
      <c r="AK308" s="81">
        <f t="shared" si="70"/>
        <v>1089585.8733279184</v>
      </c>
      <c r="AL308" s="81">
        <f t="shared" si="71"/>
        <v>24754937.135163598</v>
      </c>
      <c r="AM308" s="81">
        <f t="shared" si="72"/>
        <v>58819474.30032308</v>
      </c>
      <c r="AN308" s="81">
        <f t="shared" si="73"/>
        <v>0</v>
      </c>
      <c r="AO308" s="81">
        <f t="shared" si="74"/>
        <v>0</v>
      </c>
      <c r="AP308" s="81">
        <f t="shared" si="75"/>
        <v>0</v>
      </c>
      <c r="AQ308" s="81">
        <f t="shared" si="76"/>
        <v>0</v>
      </c>
      <c r="AR308" s="81">
        <f t="shared" si="77"/>
        <v>0</v>
      </c>
      <c r="AS308" s="82">
        <v>5846</v>
      </c>
      <c r="AT308" s="82"/>
      <c r="AU308" s="82">
        <v>467</v>
      </c>
      <c r="AV308" s="82">
        <v>467</v>
      </c>
      <c r="AW308" s="82">
        <f>19689144.4142419*(0.001)</f>
        <v>19689.1444142419</v>
      </c>
      <c r="AX308" s="82">
        <v>-5511.392195069766</v>
      </c>
      <c r="AY308" s="82">
        <v>5270.113207378556</v>
      </c>
      <c r="AZ308" s="408"/>
      <c r="BA308" s="81"/>
      <c r="BB308" s="81"/>
      <c r="BC308" s="81"/>
      <c r="BD308" s="81"/>
      <c r="BE308" s="81"/>
      <c r="BF308" s="81"/>
      <c r="BG308" s="81"/>
      <c r="BO308" s="114"/>
    </row>
    <row r="309" spans="1:67" ht="12.75">
      <c r="A309" s="81">
        <v>980</v>
      </c>
      <c r="B309" s="81" t="s">
        <v>426</v>
      </c>
      <c r="C309" s="81">
        <v>6</v>
      </c>
      <c r="D309" s="81">
        <v>33352</v>
      </c>
      <c r="E309" s="100">
        <v>88584971.33277445</v>
      </c>
      <c r="F309" s="81">
        <v>53622811.90874928</v>
      </c>
      <c r="G309" s="81">
        <v>7273259.674396326</v>
      </c>
      <c r="H309" s="81">
        <v>4960746.784406248</v>
      </c>
      <c r="I309" s="156">
        <v>26871006.88521014</v>
      </c>
      <c r="J309" s="156">
        <v>3848229.484493213</v>
      </c>
      <c r="K309" s="81">
        <v>1732037.6893123968</v>
      </c>
      <c r="L309" s="81">
        <v>-4236244</v>
      </c>
      <c r="M309" s="82">
        <v>341500</v>
      </c>
      <c r="N309" s="82">
        <v>415382.78169707727</v>
      </c>
      <c r="O309" s="214">
        <f t="shared" si="63"/>
        <v>6243759.875490233</v>
      </c>
      <c r="P309" s="215">
        <f t="shared" si="64"/>
        <v>187.20795980721496</v>
      </c>
      <c r="Q309" s="81"/>
      <c r="R309" s="223">
        <v>189937677</v>
      </c>
      <c r="S309" s="156">
        <v>131342080.46614563</v>
      </c>
      <c r="T309" s="156">
        <v>7441120.176609372</v>
      </c>
      <c r="U309" s="156">
        <v>41116631.56292868</v>
      </c>
      <c r="V309" s="156">
        <v>13189840.154549355</v>
      </c>
      <c r="W309" s="156">
        <v>3378515.674396326</v>
      </c>
      <c r="X309" s="214">
        <f t="shared" si="65"/>
        <v>6530511.034629375</v>
      </c>
      <c r="Y309" s="215">
        <f t="shared" si="66"/>
        <v>195.80567985816066</v>
      </c>
      <c r="Z309" s="81"/>
      <c r="AA309" s="94">
        <f t="shared" si="67"/>
        <v>-286751.15913914144</v>
      </c>
      <c r="AB309" s="153">
        <f t="shared" si="68"/>
        <v>-8.597720050945714</v>
      </c>
      <c r="AD309" s="216"/>
      <c r="AE309" s="224"/>
      <c r="AF309" s="224"/>
      <c r="AG309" s="224"/>
      <c r="AH309" s="225"/>
      <c r="AJ309" s="81">
        <f t="shared" si="69"/>
        <v>77719268.55739635</v>
      </c>
      <c r="AK309" s="81">
        <f t="shared" si="70"/>
        <v>2480373.3922031242</v>
      </c>
      <c r="AL309" s="81">
        <f t="shared" si="71"/>
        <v>14245624.677718535</v>
      </c>
      <c r="AM309" s="81">
        <f t="shared" si="72"/>
        <v>101352705.66722555</v>
      </c>
      <c r="AN309" s="81">
        <f t="shared" si="73"/>
        <v>0</v>
      </c>
      <c r="AO309" s="81">
        <f t="shared" si="74"/>
        <v>0</v>
      </c>
      <c r="AP309" s="81">
        <f t="shared" si="75"/>
        <v>0</v>
      </c>
      <c r="AQ309" s="81">
        <f t="shared" si="76"/>
        <v>0</v>
      </c>
      <c r="AR309" s="81">
        <f t="shared" si="77"/>
        <v>0</v>
      </c>
      <c r="AS309" s="82">
        <v>10231</v>
      </c>
      <c r="AT309" s="82">
        <v>101</v>
      </c>
      <c r="AU309" s="82"/>
      <c r="AV309" s="82">
        <v>101</v>
      </c>
      <c r="AW309" s="82">
        <f>14884393.7888206*(0.001)</f>
        <v>14884.393788820647</v>
      </c>
      <c r="AX309" s="82">
        <v>-244.5090031727538</v>
      </c>
      <c r="AY309" s="82">
        <v>9341.610670056141</v>
      </c>
      <c r="AZ309" s="408"/>
      <c r="BA309" s="81"/>
      <c r="BB309" s="81"/>
      <c r="BC309" s="81"/>
      <c r="BD309" s="81"/>
      <c r="BE309" s="81"/>
      <c r="BF309" s="81"/>
      <c r="BG309" s="81"/>
      <c r="BO309" s="114"/>
    </row>
    <row r="310" spans="1:67" ht="12.75">
      <c r="A310" s="81">
        <v>981</v>
      </c>
      <c r="B310" s="81" t="s">
        <v>427</v>
      </c>
      <c r="C310" s="81">
        <v>5</v>
      </c>
      <c r="D310" s="81">
        <v>2314</v>
      </c>
      <c r="E310" s="100">
        <v>5239871.064318083</v>
      </c>
      <c r="F310" s="81">
        <v>3839146.602687043</v>
      </c>
      <c r="G310" s="81">
        <v>481279.9912323286</v>
      </c>
      <c r="H310" s="81">
        <v>216076.30497810166</v>
      </c>
      <c r="I310" s="156">
        <v>968918.1264167081</v>
      </c>
      <c r="J310" s="156">
        <v>451976.9250798016</v>
      </c>
      <c r="K310" s="81">
        <v>470682.6534812411</v>
      </c>
      <c r="L310" s="81">
        <v>-623015</v>
      </c>
      <c r="M310" s="82">
        <v>3200</v>
      </c>
      <c r="N310" s="82">
        <v>24282.26525825284</v>
      </c>
      <c r="O310" s="214">
        <f t="shared" si="63"/>
        <v>592676.8048153939</v>
      </c>
      <c r="P310" s="215">
        <f t="shared" si="64"/>
        <v>256.1265362209999</v>
      </c>
      <c r="Q310" s="81"/>
      <c r="R310" s="223">
        <v>13703800</v>
      </c>
      <c r="S310" s="156">
        <v>8419384.096773207</v>
      </c>
      <c r="T310" s="156">
        <v>324114.4574671525</v>
      </c>
      <c r="U310" s="156">
        <v>4412501.227139387</v>
      </c>
      <c r="V310" s="156">
        <v>1528484.3027209842</v>
      </c>
      <c r="W310" s="156">
        <v>-138535.00876767142</v>
      </c>
      <c r="X310" s="214">
        <f t="shared" si="65"/>
        <v>842149.0753330588</v>
      </c>
      <c r="Y310" s="215">
        <f t="shared" si="66"/>
        <v>363.93650619406174</v>
      </c>
      <c r="Z310" s="81"/>
      <c r="AA310" s="94">
        <f t="shared" si="67"/>
        <v>-249472.27051766496</v>
      </c>
      <c r="AB310" s="153">
        <f t="shared" si="68"/>
        <v>-107.80996997306178</v>
      </c>
      <c r="AD310" s="216"/>
      <c r="AE310" s="224"/>
      <c r="AF310" s="224"/>
      <c r="AG310" s="224"/>
      <c r="AH310" s="225"/>
      <c r="AJ310" s="81">
        <f t="shared" si="69"/>
        <v>4580237.494086164</v>
      </c>
      <c r="AK310" s="81">
        <f t="shared" si="70"/>
        <v>108038.15248905084</v>
      </c>
      <c r="AL310" s="81">
        <f t="shared" si="71"/>
        <v>3443583.100722679</v>
      </c>
      <c r="AM310" s="81">
        <f t="shared" si="72"/>
        <v>8463928.935681917</v>
      </c>
      <c r="AN310" s="81">
        <f t="shared" si="73"/>
        <v>0</v>
      </c>
      <c r="AO310" s="81">
        <f t="shared" si="74"/>
        <v>0</v>
      </c>
      <c r="AP310" s="81">
        <f t="shared" si="75"/>
        <v>0</v>
      </c>
      <c r="AQ310" s="81">
        <f t="shared" si="76"/>
        <v>0</v>
      </c>
      <c r="AR310" s="81">
        <f t="shared" si="77"/>
        <v>0</v>
      </c>
      <c r="AS310" s="82">
        <v>611</v>
      </c>
      <c r="AT310" s="82"/>
      <c r="AU310" s="82">
        <v>4</v>
      </c>
      <c r="AV310" s="82">
        <v>4</v>
      </c>
      <c r="AW310" s="82">
        <f>2814089.58999093*(0.001)</f>
        <v>2814.089589990932</v>
      </c>
      <c r="AX310" s="82">
        <v>-694.87380785335</v>
      </c>
      <c r="AY310" s="82">
        <v>1076.5073776411825</v>
      </c>
      <c r="AZ310" s="408"/>
      <c r="BA310" s="81"/>
      <c r="BB310" s="81"/>
      <c r="BC310" s="81"/>
      <c r="BD310" s="81"/>
      <c r="BE310" s="81"/>
      <c r="BF310" s="81"/>
      <c r="BG310" s="81"/>
      <c r="BO310" s="114"/>
    </row>
    <row r="311" spans="1:67" ht="12.75">
      <c r="A311" s="81">
        <v>989</v>
      </c>
      <c r="B311" s="81" t="s">
        <v>428</v>
      </c>
      <c r="C311" s="81">
        <v>14</v>
      </c>
      <c r="D311" s="81">
        <v>5522</v>
      </c>
      <c r="E311" s="100">
        <v>13544483.18970766</v>
      </c>
      <c r="F311" s="81">
        <v>8813947.288050411</v>
      </c>
      <c r="G311" s="81">
        <v>2082183.4759253857</v>
      </c>
      <c r="H311" s="81">
        <v>1050234.7168256866</v>
      </c>
      <c r="I311" s="156">
        <v>2885098.4565242375</v>
      </c>
      <c r="J311" s="156">
        <v>1059405.0826402633</v>
      </c>
      <c r="K311" s="81">
        <v>126303.37396176708</v>
      </c>
      <c r="L311" s="81">
        <v>-332486</v>
      </c>
      <c r="M311" s="82">
        <v>358700</v>
      </c>
      <c r="N311" s="82">
        <v>53486.442302491</v>
      </c>
      <c r="O311" s="214">
        <f t="shared" si="63"/>
        <v>2552389.6465225834</v>
      </c>
      <c r="P311" s="215">
        <f t="shared" si="64"/>
        <v>462.22195699431063</v>
      </c>
      <c r="Q311" s="81"/>
      <c r="R311" s="223">
        <v>39841400</v>
      </c>
      <c r="S311" s="156">
        <v>18615674.73599241</v>
      </c>
      <c r="T311" s="156">
        <v>1575352.07523853</v>
      </c>
      <c r="U311" s="156">
        <v>16634084.846797746</v>
      </c>
      <c r="V311" s="156">
        <v>3586746.607050918</v>
      </c>
      <c r="W311" s="156">
        <v>2108397.475925386</v>
      </c>
      <c r="X311" s="214">
        <f t="shared" si="65"/>
        <v>2678855.7410049886</v>
      </c>
      <c r="Y311" s="215">
        <f t="shared" si="66"/>
        <v>485.1241834489295</v>
      </c>
      <c r="Z311" s="81"/>
      <c r="AA311" s="94">
        <f t="shared" si="67"/>
        <v>-126466.09448240511</v>
      </c>
      <c r="AB311" s="153">
        <f t="shared" si="68"/>
        <v>-22.902226454618816</v>
      </c>
      <c r="AD311" s="216"/>
      <c r="AE311" s="224"/>
      <c r="AF311" s="224"/>
      <c r="AG311" s="224"/>
      <c r="AH311" s="225"/>
      <c r="AJ311" s="81">
        <f t="shared" si="69"/>
        <v>9801727.447941998</v>
      </c>
      <c r="AK311" s="81">
        <f t="shared" si="70"/>
        <v>525117.3584128434</v>
      </c>
      <c r="AL311" s="81">
        <f t="shared" si="71"/>
        <v>13748986.390273508</v>
      </c>
      <c r="AM311" s="81">
        <f t="shared" si="72"/>
        <v>26296916.81029234</v>
      </c>
      <c r="AN311" s="81">
        <f t="shared" si="73"/>
        <v>0</v>
      </c>
      <c r="AO311" s="81">
        <f t="shared" si="74"/>
        <v>0</v>
      </c>
      <c r="AP311" s="81">
        <f t="shared" si="75"/>
        <v>0</v>
      </c>
      <c r="AQ311" s="81">
        <f t="shared" si="76"/>
        <v>0</v>
      </c>
      <c r="AR311" s="81">
        <f t="shared" si="77"/>
        <v>0</v>
      </c>
      <c r="AS311" s="82">
        <v>2945</v>
      </c>
      <c r="AT311" s="82">
        <v>316</v>
      </c>
      <c r="AU311" s="82"/>
      <c r="AV311" s="82">
        <v>316</v>
      </c>
      <c r="AW311" s="82">
        <f>11657260.6931647*(0.001)</f>
        <v>11657.260693164744</v>
      </c>
      <c r="AX311" s="82">
        <v>-2052.0012369047195</v>
      </c>
      <c r="AY311" s="82">
        <v>2527.341524410655</v>
      </c>
      <c r="AZ311" s="408"/>
      <c r="BA311" s="81"/>
      <c r="BB311" s="81"/>
      <c r="BC311" s="81"/>
      <c r="BD311" s="81"/>
      <c r="BE311" s="81"/>
      <c r="BF311" s="81"/>
      <c r="BG311" s="81"/>
      <c r="BO311" s="114"/>
    </row>
    <row r="312" spans="1:67" ht="12.75">
      <c r="A312" s="81">
        <v>992</v>
      </c>
      <c r="B312" s="81" t="s">
        <v>429</v>
      </c>
      <c r="C312" s="81">
        <v>13</v>
      </c>
      <c r="D312" s="81">
        <v>18577</v>
      </c>
      <c r="E312" s="100">
        <v>56452452.33743955</v>
      </c>
      <c r="F312" s="81">
        <v>27467434.03530962</v>
      </c>
      <c r="G312" s="81">
        <v>5784688.916886345</v>
      </c>
      <c r="H312" s="81">
        <v>5598681.003006549</v>
      </c>
      <c r="I312" s="156">
        <v>7469763.699450742</v>
      </c>
      <c r="J312" s="156">
        <v>2717523.835533783</v>
      </c>
      <c r="K312" s="81">
        <v>4904085.344626728</v>
      </c>
      <c r="L312" s="81">
        <v>-1114518</v>
      </c>
      <c r="M312" s="82">
        <v>1380000</v>
      </c>
      <c r="N312" s="82">
        <v>192359.09107586893</v>
      </c>
      <c r="O312" s="214">
        <f t="shared" si="63"/>
        <v>-2052434.411549911</v>
      </c>
      <c r="P312" s="215">
        <f t="shared" si="64"/>
        <v>-110.48255431716159</v>
      </c>
      <c r="Q312" s="81"/>
      <c r="R312" s="223">
        <v>127140750</v>
      </c>
      <c r="S312" s="156">
        <v>61807645.07469207</v>
      </c>
      <c r="T312" s="156">
        <v>8398021.504509823</v>
      </c>
      <c r="U312" s="156">
        <v>43898110.1285294</v>
      </c>
      <c r="V312" s="156">
        <v>9259487.52605622</v>
      </c>
      <c r="W312" s="156">
        <v>6050170.916886345</v>
      </c>
      <c r="X312" s="214">
        <f t="shared" si="65"/>
        <v>2272685.1506738663</v>
      </c>
      <c r="Y312" s="215">
        <f t="shared" si="66"/>
        <v>122.33865267125296</v>
      </c>
      <c r="Z312" s="81"/>
      <c r="AA312" s="94">
        <f t="shared" si="67"/>
        <v>-4325119.562223777</v>
      </c>
      <c r="AB312" s="153">
        <f t="shared" si="68"/>
        <v>-232.82120698841456</v>
      </c>
      <c r="AD312" s="216"/>
      <c r="AE312" s="224"/>
      <c r="AF312" s="224"/>
      <c r="AG312" s="224"/>
      <c r="AH312" s="225"/>
      <c r="AJ312" s="81">
        <f t="shared" si="69"/>
        <v>34340211.03938245</v>
      </c>
      <c r="AK312" s="81">
        <f t="shared" si="70"/>
        <v>2799340.501503275</v>
      </c>
      <c r="AL312" s="81">
        <f t="shared" si="71"/>
        <v>36428346.42907865</v>
      </c>
      <c r="AM312" s="81">
        <f t="shared" si="72"/>
        <v>70688297.66256045</v>
      </c>
      <c r="AN312" s="81">
        <f t="shared" si="73"/>
        <v>0</v>
      </c>
      <c r="AO312" s="81">
        <f t="shared" si="74"/>
        <v>0</v>
      </c>
      <c r="AP312" s="81">
        <f t="shared" si="75"/>
        <v>0</v>
      </c>
      <c r="AQ312" s="81">
        <f t="shared" si="76"/>
        <v>0</v>
      </c>
      <c r="AR312" s="81">
        <f t="shared" si="77"/>
        <v>0</v>
      </c>
      <c r="AS312" s="82">
        <v>7152</v>
      </c>
      <c r="AT312" s="82">
        <v>143</v>
      </c>
      <c r="AU312" s="82"/>
      <c r="AV312" s="82">
        <v>143</v>
      </c>
      <c r="AW312" s="82">
        <f>31770829.2535112*(0.001)</f>
        <v>31770.829253511176</v>
      </c>
      <c r="AX312" s="82">
        <v>-3610.3307903236246</v>
      </c>
      <c r="AY312" s="82">
        <v>6541.963690522438</v>
      </c>
      <c r="AZ312" s="408"/>
      <c r="BA312" s="81"/>
      <c r="BB312" s="81"/>
      <c r="BC312" s="81"/>
      <c r="BD312" s="81"/>
      <c r="BE312" s="81"/>
      <c r="BF312" s="81"/>
      <c r="BG312" s="81"/>
      <c r="BO312" s="114"/>
    </row>
    <row r="313" spans="4:59" ht="12.75">
      <c r="D313" s="81"/>
      <c r="E313" s="100"/>
      <c r="F313" s="81"/>
      <c r="G313" s="81"/>
      <c r="H313" s="81"/>
      <c r="I313" s="156"/>
      <c r="J313" s="156"/>
      <c r="K313" s="81"/>
      <c r="L313" s="81"/>
      <c r="M313" s="82"/>
      <c r="N313" s="82"/>
      <c r="O313" s="214"/>
      <c r="P313" s="215"/>
      <c r="Q313" s="81"/>
      <c r="R313" s="223"/>
      <c r="S313" s="156"/>
      <c r="T313" s="156"/>
      <c r="U313" s="156"/>
      <c r="V313" s="156"/>
      <c r="W313" s="156"/>
      <c r="X313" s="214"/>
      <c r="Y313" s="215"/>
      <c r="Z313" s="81"/>
      <c r="AA313" s="94"/>
      <c r="AB313" s="153"/>
      <c r="AD313" s="216"/>
      <c r="AE313" s="224"/>
      <c r="AF313" s="224"/>
      <c r="AG313" s="224"/>
      <c r="AH313" s="225"/>
      <c r="AJ313" s="81"/>
      <c r="AK313" s="81"/>
      <c r="AL313" s="81"/>
      <c r="AM313" s="81"/>
      <c r="AN313" s="81"/>
      <c r="AO313" s="81"/>
      <c r="AP313" s="81"/>
      <c r="AQ313" s="81"/>
      <c r="AR313" s="81"/>
      <c r="AS313" s="82"/>
      <c r="AT313" s="149"/>
      <c r="AU313" s="149"/>
      <c r="AV313" s="149"/>
      <c r="AW313" s="149"/>
      <c r="AX313" s="149"/>
      <c r="AY313" s="81"/>
      <c r="AZ313" s="408"/>
      <c r="BA313" s="81"/>
      <c r="BB313" s="81"/>
      <c r="BC313" s="81"/>
      <c r="BD313" s="81"/>
      <c r="BE313" s="81"/>
      <c r="BF313" s="81"/>
      <c r="BG313" s="81"/>
    </row>
    <row r="314" ht="12.75">
      <c r="AS314" s="3"/>
    </row>
    <row r="315" ht="12.75">
      <c r="AS315" s="3"/>
    </row>
    <row r="316" ht="12.75">
      <c r="AS316" s="3"/>
    </row>
    <row r="317" ht="12.75">
      <c r="AS317" s="3"/>
    </row>
    <row r="318" ht="12.75">
      <c r="AS318" s="3"/>
    </row>
    <row r="319" ht="12.75">
      <c r="AS319" s="3"/>
    </row>
    <row r="320" ht="12.75">
      <c r="AS320" s="3"/>
    </row>
    <row r="321" ht="12.75">
      <c r="AS321" s="3"/>
    </row>
    <row r="322" ht="12.75">
      <c r="AS322" s="3"/>
    </row>
    <row r="323" ht="12.75">
      <c r="AS323" s="3"/>
    </row>
    <row r="324" ht="12.75">
      <c r="AS324" s="3"/>
    </row>
    <row r="325" ht="12.75">
      <c r="AS325" s="3"/>
    </row>
    <row r="326" ht="12.75">
      <c r="AS326" s="3"/>
    </row>
    <row r="327" ht="12.75">
      <c r="AS327" s="3"/>
    </row>
    <row r="328" ht="12.75">
      <c r="AS328" s="3"/>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299"/>
  <sheetViews>
    <sheetView zoomScalePageLayoutView="0" workbookViewId="0" topLeftCell="A1">
      <selection activeCell="J24" sqref="J24"/>
    </sheetView>
  </sheetViews>
  <sheetFormatPr defaultColWidth="9.140625" defaultRowHeight="12.75"/>
  <cols>
    <col min="1" max="1" width="13.7109375" style="0" customWidth="1"/>
    <col min="2" max="2" width="14.28125" style="0" customWidth="1"/>
    <col min="3" max="3" width="15.140625" style="0" customWidth="1"/>
    <col min="4" max="4" width="14.140625" style="0" customWidth="1"/>
    <col min="5" max="5" width="14.00390625" style="0" customWidth="1"/>
    <col min="6" max="6" width="14.28125" style="0" customWidth="1"/>
    <col min="7" max="7" width="4.00390625" style="0" customWidth="1"/>
  </cols>
  <sheetData>
    <row r="1" ht="12.75">
      <c r="A1" s="3" t="s">
        <v>608</v>
      </c>
    </row>
    <row r="2" spans="1:26" ht="12.75">
      <c r="A2" s="162">
        <v>1</v>
      </c>
      <c r="B2" s="162">
        <v>2</v>
      </c>
      <c r="C2" s="162">
        <v>3</v>
      </c>
      <c r="D2" s="162">
        <v>4</v>
      </c>
      <c r="E2" s="162">
        <v>5</v>
      </c>
      <c r="F2" s="162">
        <v>6</v>
      </c>
      <c r="G2" s="162">
        <v>7</v>
      </c>
      <c r="H2" s="162">
        <v>8</v>
      </c>
      <c r="I2" s="162">
        <v>9</v>
      </c>
      <c r="J2" s="162">
        <v>10</v>
      </c>
      <c r="K2" s="162">
        <v>11</v>
      </c>
      <c r="L2" s="162">
        <v>12</v>
      </c>
      <c r="M2" s="162">
        <v>13</v>
      </c>
      <c r="N2" s="162">
        <v>14</v>
      </c>
      <c r="O2" s="162">
        <v>15</v>
      </c>
      <c r="P2" s="162">
        <v>16</v>
      </c>
      <c r="Q2" s="162">
        <v>17</v>
      </c>
      <c r="R2" s="162">
        <v>18</v>
      </c>
      <c r="S2" s="162">
        <v>19</v>
      </c>
      <c r="T2" s="162">
        <v>20</v>
      </c>
      <c r="U2" s="162">
        <v>21</v>
      </c>
      <c r="V2" s="162">
        <v>22</v>
      </c>
      <c r="W2" s="162">
        <v>23</v>
      </c>
      <c r="X2" s="162">
        <v>24</v>
      </c>
      <c r="Y2" s="162">
        <v>25</v>
      </c>
      <c r="Z2" s="162">
        <v>26</v>
      </c>
    </row>
    <row r="3" spans="2:12" ht="12.75">
      <c r="B3" s="2">
        <v>2020</v>
      </c>
      <c r="C3" s="2">
        <v>2021</v>
      </c>
      <c r="D3" s="2">
        <v>2022</v>
      </c>
      <c r="E3" s="2">
        <v>2023</v>
      </c>
      <c r="F3" s="2">
        <v>2024</v>
      </c>
      <c r="H3" s="2">
        <v>2020</v>
      </c>
      <c r="I3" s="2">
        <v>2021</v>
      </c>
      <c r="J3" s="2">
        <v>2022</v>
      </c>
      <c r="K3" s="2">
        <v>2023</v>
      </c>
      <c r="L3" s="2">
        <v>2024</v>
      </c>
    </row>
    <row r="4" spans="1:12" ht="12.75">
      <c r="A4" s="3" t="s">
        <v>606</v>
      </c>
      <c r="B4" s="45">
        <f>SUM(B5:B299)</f>
        <v>12032509853.186127</v>
      </c>
      <c r="C4" s="45">
        <f>SUM(C5:C299)</f>
        <v>12290097529.336197</v>
      </c>
      <c r="D4" s="45">
        <f>SUM(D5:D299)</f>
        <v>12543473824.313204</v>
      </c>
      <c r="E4" s="45">
        <f>SUM(E5:E299)</f>
        <v>12799832515.08282</v>
      </c>
      <c r="F4" s="45">
        <f>SUM(F5:F299)</f>
        <v>13053435118.632551</v>
      </c>
      <c r="H4" s="241">
        <f>B4/B4</f>
        <v>1</v>
      </c>
      <c r="I4" s="241">
        <f aca="true" t="shared" si="0" ref="I4:L5">C4/B4</f>
        <v>1.021407643068072</v>
      </c>
      <c r="J4" s="241">
        <f t="shared" si="0"/>
        <v>1.020616296524271</v>
      </c>
      <c r="K4" s="241">
        <f t="shared" si="0"/>
        <v>1.0204376151583074</v>
      </c>
      <c r="L4" s="241">
        <f t="shared" si="0"/>
        <v>1.019812962650167</v>
      </c>
    </row>
    <row r="5" spans="1:14" ht="12.75">
      <c r="A5" t="s">
        <v>144</v>
      </c>
      <c r="B5" s="109">
        <v>24256373.44521505</v>
      </c>
      <c r="C5" s="109">
        <v>24564183.337762706</v>
      </c>
      <c r="D5" s="109">
        <v>24853648.423244745</v>
      </c>
      <c r="E5" s="109">
        <v>25056814.755913477</v>
      </c>
      <c r="F5" s="109">
        <v>25284595.83107386</v>
      </c>
      <c r="H5" s="241">
        <f>B5/B5</f>
        <v>1</v>
      </c>
      <c r="I5" s="241">
        <f t="shared" si="0"/>
        <v>1.0126898562657303</v>
      </c>
      <c r="J5" s="241">
        <f t="shared" si="0"/>
        <v>1.0117840304927639</v>
      </c>
      <c r="K5" s="241">
        <f t="shared" si="0"/>
        <v>1.00817450738857</v>
      </c>
      <c r="L5" s="241">
        <f t="shared" si="0"/>
        <v>1.009090583834349</v>
      </c>
      <c r="N5" s="243" t="s">
        <v>609</v>
      </c>
    </row>
    <row r="6" spans="1:12" ht="12.75">
      <c r="A6" t="s">
        <v>145</v>
      </c>
      <c r="B6" s="109">
        <v>5310048.13200505</v>
      </c>
      <c r="C6" s="109">
        <v>5409843.053875618</v>
      </c>
      <c r="D6" s="109">
        <v>5475696.768163004</v>
      </c>
      <c r="E6" s="109">
        <v>5579935.0126606235</v>
      </c>
      <c r="F6" s="109">
        <v>5647504.243517306</v>
      </c>
      <c r="H6" s="241">
        <f aca="true" t="shared" si="1" ref="H6:H69">B6/B6</f>
        <v>1</v>
      </c>
      <c r="I6" s="241">
        <f aca="true" t="shared" si="2" ref="I6:I69">C6/B6</f>
        <v>1.0187936002442384</v>
      </c>
      <c r="J6" s="241">
        <f aca="true" t="shared" si="3" ref="J6:J69">D6/C6</f>
        <v>1.0121729435829396</v>
      </c>
      <c r="K6" s="241">
        <f aca="true" t="shared" si="4" ref="K6:K69">E6/D6</f>
        <v>1.0190365261100076</v>
      </c>
      <c r="L6" s="241">
        <f aca="true" t="shared" si="5" ref="L6:L69">F6/E6</f>
        <v>1.0121093221880488</v>
      </c>
    </row>
    <row r="7" spans="1:14" ht="12.75">
      <c r="A7" t="s">
        <v>146</v>
      </c>
      <c r="B7" s="109">
        <v>24272760.019972317</v>
      </c>
      <c r="C7" s="109">
        <v>24329135.373311605</v>
      </c>
      <c r="D7" s="109">
        <v>24516016.50531553</v>
      </c>
      <c r="E7" s="109">
        <v>24805753.865124837</v>
      </c>
      <c r="F7" s="109">
        <v>24944476.725973066</v>
      </c>
      <c r="H7" s="241">
        <f t="shared" si="1"/>
        <v>1</v>
      </c>
      <c r="I7" s="241">
        <f t="shared" si="2"/>
        <v>1.002322576966645</v>
      </c>
      <c r="J7" s="241">
        <f t="shared" si="3"/>
        <v>1.0076813717025443</v>
      </c>
      <c r="K7" s="241">
        <f t="shared" si="4"/>
        <v>1.0118182886582119</v>
      </c>
      <c r="L7" s="241">
        <f t="shared" si="5"/>
        <v>1.0055923662551238</v>
      </c>
      <c r="N7" s="243" t="s">
        <v>607</v>
      </c>
    </row>
    <row r="8" spans="1:12" ht="12.75">
      <c r="A8" t="s">
        <v>147</v>
      </c>
      <c r="B8" s="109">
        <v>15924686.325721748</v>
      </c>
      <c r="C8" s="109">
        <v>16063744.515783003</v>
      </c>
      <c r="D8" s="109">
        <v>16232517.092501083</v>
      </c>
      <c r="E8" s="109">
        <v>16338836.211307798</v>
      </c>
      <c r="F8" s="109">
        <v>16576189.24257964</v>
      </c>
      <c r="H8" s="241">
        <f t="shared" si="1"/>
        <v>1</v>
      </c>
      <c r="I8" s="241">
        <f t="shared" si="2"/>
        <v>1.0087322404483814</v>
      </c>
      <c r="J8" s="241">
        <f t="shared" si="3"/>
        <v>1.0105064280966531</v>
      </c>
      <c r="K8" s="241">
        <f t="shared" si="4"/>
        <v>1.006549761703675</v>
      </c>
      <c r="L8" s="241">
        <f t="shared" si="5"/>
        <v>1.0145269239621593</v>
      </c>
    </row>
    <row r="9" spans="1:12" ht="12.75">
      <c r="A9" t="s">
        <v>148</v>
      </c>
      <c r="B9" s="109">
        <v>11618588.183770375</v>
      </c>
      <c r="C9" s="109">
        <v>11955203.046796959</v>
      </c>
      <c r="D9" s="109">
        <v>12287324.559879903</v>
      </c>
      <c r="E9" s="109">
        <v>12516418.000354894</v>
      </c>
      <c r="F9" s="109">
        <v>12846512.627947845</v>
      </c>
      <c r="H9" s="241">
        <f t="shared" si="1"/>
        <v>1</v>
      </c>
      <c r="I9" s="241">
        <f t="shared" si="2"/>
        <v>1.028972096927989</v>
      </c>
      <c r="J9" s="241">
        <f t="shared" si="3"/>
        <v>1.027780499568506</v>
      </c>
      <c r="K9" s="241">
        <f t="shared" si="4"/>
        <v>1.0186446967652354</v>
      </c>
      <c r="L9" s="241">
        <f t="shared" si="5"/>
        <v>1.026372930944268</v>
      </c>
    </row>
    <row r="10" spans="1:12" ht="12.75">
      <c r="A10" t="s">
        <v>149</v>
      </c>
      <c r="B10" s="109">
        <v>7465209.351354531</v>
      </c>
      <c r="C10" s="109">
        <v>7673556.000522024</v>
      </c>
      <c r="D10" s="109">
        <v>7887694.23061088</v>
      </c>
      <c r="E10" s="109">
        <v>8013842.9157407805</v>
      </c>
      <c r="F10" s="109">
        <v>8179313.827998895</v>
      </c>
      <c r="H10" s="241">
        <f t="shared" si="1"/>
        <v>1</v>
      </c>
      <c r="I10" s="241">
        <f t="shared" si="2"/>
        <v>1.0279090162594957</v>
      </c>
      <c r="J10" s="241">
        <f t="shared" si="3"/>
        <v>1.0279059969164608</v>
      </c>
      <c r="K10" s="241">
        <f t="shared" si="4"/>
        <v>1.0159931003207932</v>
      </c>
      <c r="L10" s="241">
        <f t="shared" si="5"/>
        <v>1.0206481352327355</v>
      </c>
    </row>
    <row r="11" spans="1:12" ht="12.75">
      <c r="A11" t="s">
        <v>127</v>
      </c>
      <c r="B11" s="109">
        <v>30046447.350764632</v>
      </c>
      <c r="C11" s="109">
        <v>30365394.341754008</v>
      </c>
      <c r="D11" s="109">
        <v>30793774.791943155</v>
      </c>
      <c r="E11" s="109">
        <v>31174828.502891798</v>
      </c>
      <c r="F11" s="109">
        <v>31632465.90054497</v>
      </c>
      <c r="H11" s="241">
        <f t="shared" si="1"/>
        <v>1</v>
      </c>
      <c r="I11" s="241">
        <f t="shared" si="2"/>
        <v>1.0106151315417082</v>
      </c>
      <c r="J11" s="241">
        <f t="shared" si="3"/>
        <v>1.0141075213899033</v>
      </c>
      <c r="K11" s="241">
        <f t="shared" si="4"/>
        <v>1.012374374805402</v>
      </c>
      <c r="L11" s="241">
        <f t="shared" si="5"/>
        <v>1.0146797085863912</v>
      </c>
    </row>
    <row r="12" spans="1:12" ht="12.75">
      <c r="A12" t="s">
        <v>150</v>
      </c>
      <c r="B12" s="109">
        <v>3164227.4918779475</v>
      </c>
      <c r="C12" s="109">
        <v>3213760.925165707</v>
      </c>
      <c r="D12" s="109">
        <v>3264017.1148652304</v>
      </c>
      <c r="E12" s="109">
        <v>3316094.162869774</v>
      </c>
      <c r="F12" s="109">
        <v>3368956.3817190053</v>
      </c>
      <c r="H12" s="241">
        <f t="shared" si="1"/>
        <v>1</v>
      </c>
      <c r="I12" s="241">
        <f t="shared" si="2"/>
        <v>1.0156541947173214</v>
      </c>
      <c r="J12" s="241">
        <f t="shared" si="3"/>
        <v>1.0156378121676652</v>
      </c>
      <c r="K12" s="241">
        <f t="shared" si="4"/>
        <v>1.0159548942826833</v>
      </c>
      <c r="L12" s="241">
        <f t="shared" si="5"/>
        <v>1.0159411091039356</v>
      </c>
    </row>
    <row r="13" spans="1:12" ht="12.75">
      <c r="A13" t="s">
        <v>151</v>
      </c>
      <c r="B13" s="109">
        <v>6531955.697445111</v>
      </c>
      <c r="C13" s="109">
        <v>6712777.2939610835</v>
      </c>
      <c r="D13" s="109">
        <v>6859867.102818818</v>
      </c>
      <c r="E13" s="109">
        <v>7013115.675594283</v>
      </c>
      <c r="F13" s="109">
        <v>7166741.345370561</v>
      </c>
      <c r="H13" s="241">
        <f t="shared" si="1"/>
        <v>1</v>
      </c>
      <c r="I13" s="241">
        <f t="shared" si="2"/>
        <v>1.0276826122055143</v>
      </c>
      <c r="J13" s="241">
        <f t="shared" si="3"/>
        <v>1.0219119155032983</v>
      </c>
      <c r="K13" s="241">
        <f t="shared" si="4"/>
        <v>1.0223398748807384</v>
      </c>
      <c r="L13" s="241">
        <f t="shared" si="5"/>
        <v>1.0219054806568921</v>
      </c>
    </row>
    <row r="14" spans="1:12" ht="12.75">
      <c r="A14" t="s">
        <v>152</v>
      </c>
      <c r="B14" s="109">
        <v>680804449.9533501</v>
      </c>
      <c r="C14" s="109">
        <v>699667383.9929868</v>
      </c>
      <c r="D14" s="109">
        <v>717821804.4055663</v>
      </c>
      <c r="E14" s="109">
        <v>736443540.8861734</v>
      </c>
      <c r="F14" s="109">
        <v>755031915.073668</v>
      </c>
      <c r="H14" s="241">
        <f t="shared" si="1"/>
        <v>1</v>
      </c>
      <c r="I14" s="241">
        <f t="shared" si="2"/>
        <v>1.0277068312948443</v>
      </c>
      <c r="J14" s="241">
        <f t="shared" si="3"/>
        <v>1.0259472155311467</v>
      </c>
      <c r="K14" s="241">
        <f t="shared" si="4"/>
        <v>1.025942004500724</v>
      </c>
      <c r="L14" s="241">
        <f t="shared" si="5"/>
        <v>1.025240732188549</v>
      </c>
    </row>
    <row r="15" spans="1:12" ht="12.75">
      <c r="A15" t="s">
        <v>153</v>
      </c>
      <c r="B15" s="109">
        <v>24465262.7225634</v>
      </c>
      <c r="C15" s="109">
        <v>24711410.009301584</v>
      </c>
      <c r="D15" s="109">
        <v>24991859.725510225</v>
      </c>
      <c r="E15" s="109">
        <v>25392072.90093924</v>
      </c>
      <c r="F15" s="109">
        <v>25777520.69323841</v>
      </c>
      <c r="H15" s="241">
        <f t="shared" si="1"/>
        <v>1</v>
      </c>
      <c r="I15" s="241">
        <f t="shared" si="2"/>
        <v>1.0100610931314942</v>
      </c>
      <c r="J15" s="241">
        <f t="shared" si="3"/>
        <v>1.0113489969250269</v>
      </c>
      <c r="K15" s="241">
        <f t="shared" si="4"/>
        <v>1.0160137412671415</v>
      </c>
      <c r="L15" s="241">
        <f t="shared" si="5"/>
        <v>1.015179847419425</v>
      </c>
    </row>
    <row r="16" spans="1:12" ht="12.75">
      <c r="A16" t="s">
        <v>154</v>
      </c>
      <c r="B16" s="109">
        <v>27997519.44711418</v>
      </c>
      <c r="C16" s="109">
        <v>28657508.982642125</v>
      </c>
      <c r="D16" s="109">
        <v>29181637.143981975</v>
      </c>
      <c r="E16" s="109">
        <v>29709044.62506412</v>
      </c>
      <c r="F16" s="109">
        <v>30122547.657636855</v>
      </c>
      <c r="H16" s="241">
        <f t="shared" si="1"/>
        <v>1</v>
      </c>
      <c r="I16" s="241">
        <f t="shared" si="2"/>
        <v>1.0235731432127275</v>
      </c>
      <c r="J16" s="241">
        <f t="shared" si="3"/>
        <v>1.0182893831301707</v>
      </c>
      <c r="K16" s="241">
        <f t="shared" si="4"/>
        <v>1.0180732656800549</v>
      </c>
      <c r="L16" s="241">
        <f t="shared" si="5"/>
        <v>1.0139184224128124</v>
      </c>
    </row>
    <row r="17" spans="1:12" ht="12.75">
      <c r="A17" t="s">
        <v>155</v>
      </c>
      <c r="B17" s="109">
        <v>6428264.770734343</v>
      </c>
      <c r="C17" s="109">
        <v>6636297.94004178</v>
      </c>
      <c r="D17" s="109">
        <v>6751530.949813114</v>
      </c>
      <c r="E17" s="109">
        <v>6870684.351016673</v>
      </c>
      <c r="F17" s="109">
        <v>6994903.397914371</v>
      </c>
      <c r="H17" s="241">
        <f t="shared" si="1"/>
        <v>1</v>
      </c>
      <c r="I17" s="241">
        <f t="shared" si="2"/>
        <v>1.0323622589807657</v>
      </c>
      <c r="J17" s="241">
        <f t="shared" si="3"/>
        <v>1.0173640500791934</v>
      </c>
      <c r="K17" s="241">
        <f t="shared" si="4"/>
        <v>1.01764835295717</v>
      </c>
      <c r="L17" s="241">
        <f t="shared" si="5"/>
        <v>1.0180795741081188</v>
      </c>
    </row>
    <row r="18" spans="1:12" ht="12.75">
      <c r="A18" t="s">
        <v>156</v>
      </c>
      <c r="B18" s="109">
        <v>31106009.417470917</v>
      </c>
      <c r="C18" s="109">
        <v>31528727.106589176</v>
      </c>
      <c r="D18" s="109">
        <v>31832109.456238974</v>
      </c>
      <c r="E18" s="109">
        <v>32172648.922275506</v>
      </c>
      <c r="F18" s="109">
        <v>32374974.6491507</v>
      </c>
      <c r="H18" s="241">
        <f t="shared" si="1"/>
        <v>1</v>
      </c>
      <c r="I18" s="241">
        <f t="shared" si="2"/>
        <v>1.0135895827537695</v>
      </c>
      <c r="J18" s="241">
        <f t="shared" si="3"/>
        <v>1.0096224103378533</v>
      </c>
      <c r="K18" s="241">
        <f t="shared" si="4"/>
        <v>1.0106979861483791</v>
      </c>
      <c r="L18" s="241">
        <f t="shared" si="5"/>
        <v>1.0062887494083557</v>
      </c>
    </row>
    <row r="19" spans="1:12" ht="12.75">
      <c r="A19" t="s">
        <v>157</v>
      </c>
      <c r="B19" s="109">
        <v>18699677.35049651</v>
      </c>
      <c r="C19" s="109">
        <v>18888345.75218201</v>
      </c>
      <c r="D19" s="109">
        <v>19062079.132641364</v>
      </c>
      <c r="E19" s="109">
        <v>19196750.796191327</v>
      </c>
      <c r="F19" s="109">
        <v>19557574.8258667</v>
      </c>
      <c r="H19" s="241">
        <f t="shared" si="1"/>
        <v>1</v>
      </c>
      <c r="I19" s="241">
        <f t="shared" si="2"/>
        <v>1.010089393423705</v>
      </c>
      <c r="J19" s="241">
        <f t="shared" si="3"/>
        <v>1.0091979140332754</v>
      </c>
      <c r="K19" s="241">
        <f t="shared" si="4"/>
        <v>1.0070648989867719</v>
      </c>
      <c r="L19" s="241">
        <f t="shared" si="5"/>
        <v>1.0187960990641687</v>
      </c>
    </row>
    <row r="20" spans="1:12" ht="12.75">
      <c r="A20" t="s">
        <v>158</v>
      </c>
      <c r="B20" s="109">
        <v>17197199.406224832</v>
      </c>
      <c r="C20" s="109">
        <v>17364160.590779155</v>
      </c>
      <c r="D20" s="109">
        <v>17625672.267299347</v>
      </c>
      <c r="E20" s="109">
        <v>17785632.071135573</v>
      </c>
      <c r="F20" s="109">
        <v>18027460.97957345</v>
      </c>
      <c r="H20" s="241">
        <f t="shared" si="1"/>
        <v>1</v>
      </c>
      <c r="I20" s="241">
        <f t="shared" si="2"/>
        <v>1.0097086264228516</v>
      </c>
      <c r="J20" s="241">
        <f t="shared" si="3"/>
        <v>1.0150604272030899</v>
      </c>
      <c r="K20" s="241">
        <f t="shared" si="4"/>
        <v>1.009075387390074</v>
      </c>
      <c r="L20" s="241">
        <f t="shared" si="5"/>
        <v>1.013596868948523</v>
      </c>
    </row>
    <row r="21" spans="1:12" ht="12.75">
      <c r="A21" t="s">
        <v>159</v>
      </c>
      <c r="B21" s="109">
        <v>2094227.7559013863</v>
      </c>
      <c r="C21" s="109">
        <v>2137309.942007334</v>
      </c>
      <c r="D21" s="109">
        <v>2181280.6133325337</v>
      </c>
      <c r="E21" s="109">
        <v>2226158.6714579873</v>
      </c>
      <c r="F21" s="109">
        <v>2269194.12482711</v>
      </c>
      <c r="H21" s="241">
        <f t="shared" si="1"/>
        <v>1</v>
      </c>
      <c r="I21" s="241">
        <f t="shared" si="2"/>
        <v>1.0205718723689652</v>
      </c>
      <c r="J21" s="241">
        <f t="shared" si="3"/>
        <v>1.020572903564891</v>
      </c>
      <c r="K21" s="241">
        <f t="shared" si="4"/>
        <v>1.020574179154735</v>
      </c>
      <c r="L21" s="241">
        <f t="shared" si="5"/>
        <v>1.0193317097837136</v>
      </c>
    </row>
    <row r="22" spans="1:12" ht="12.75">
      <c r="A22" t="s">
        <v>160</v>
      </c>
      <c r="B22" s="109">
        <v>2867750.371803258</v>
      </c>
      <c r="C22" s="109">
        <v>2868568.727481897</v>
      </c>
      <c r="D22" s="109">
        <v>2912682.6493495284</v>
      </c>
      <c r="E22" s="109">
        <v>2914643.4519421933</v>
      </c>
      <c r="F22" s="109">
        <v>2960012.657630161</v>
      </c>
      <c r="H22" s="241">
        <f t="shared" si="1"/>
        <v>1</v>
      </c>
      <c r="I22" s="241">
        <f t="shared" si="2"/>
        <v>1.0002853650327048</v>
      </c>
      <c r="J22" s="241">
        <f t="shared" si="3"/>
        <v>1.0153783736973092</v>
      </c>
      <c r="K22" s="241">
        <f t="shared" si="4"/>
        <v>1.0006731947241498</v>
      </c>
      <c r="L22" s="241">
        <f t="shared" si="5"/>
        <v>1.0155659539274815</v>
      </c>
    </row>
    <row r="23" spans="1:12" ht="12.75">
      <c r="A23" t="s">
        <v>161</v>
      </c>
      <c r="B23" s="109">
        <v>34543553.18314089</v>
      </c>
      <c r="C23" s="109">
        <v>34894756.484416366</v>
      </c>
      <c r="D23" s="109">
        <v>35450414.98042849</v>
      </c>
      <c r="E23" s="109">
        <v>35811922.21118246</v>
      </c>
      <c r="F23" s="109">
        <v>36368184.11009575</v>
      </c>
      <c r="H23" s="241">
        <f t="shared" si="1"/>
        <v>1</v>
      </c>
      <c r="I23" s="241">
        <f t="shared" si="2"/>
        <v>1.0101669709370513</v>
      </c>
      <c r="J23" s="241">
        <f t="shared" si="3"/>
        <v>1.0159238393384482</v>
      </c>
      <c r="K23" s="241">
        <f t="shared" si="4"/>
        <v>1.0101975458102128</v>
      </c>
      <c r="L23" s="241">
        <f t="shared" si="5"/>
        <v>1.0155328690717302</v>
      </c>
    </row>
    <row r="24" spans="1:12" ht="12.75">
      <c r="A24" t="s">
        <v>162</v>
      </c>
      <c r="B24" s="109">
        <v>10460544.224456524</v>
      </c>
      <c r="C24" s="109">
        <v>10728301.921495233</v>
      </c>
      <c r="D24" s="109">
        <v>10883419.754221758</v>
      </c>
      <c r="E24" s="109">
        <v>10956997.449051123</v>
      </c>
      <c r="F24" s="109">
        <v>11045234.493795205</v>
      </c>
      <c r="H24" s="241">
        <f t="shared" si="1"/>
        <v>1</v>
      </c>
      <c r="I24" s="241">
        <f t="shared" si="2"/>
        <v>1.025596918410105</v>
      </c>
      <c r="J24" s="241">
        <f t="shared" si="3"/>
        <v>1.01445874975011</v>
      </c>
      <c r="K24" s="241">
        <f t="shared" si="4"/>
        <v>1.0067605308341456</v>
      </c>
      <c r="L24" s="241">
        <f t="shared" si="5"/>
        <v>1.008053031421644</v>
      </c>
    </row>
    <row r="25" spans="1:12" ht="12.75">
      <c r="A25" t="s">
        <v>163</v>
      </c>
      <c r="B25" s="109">
        <v>16085962.025945822</v>
      </c>
      <c r="C25" s="109">
        <v>16113040.285721771</v>
      </c>
      <c r="D25" s="109">
        <v>16226150.242862344</v>
      </c>
      <c r="E25" s="109">
        <v>16232445.423412386</v>
      </c>
      <c r="F25" s="109">
        <v>16297251.198412975</v>
      </c>
      <c r="H25" s="241">
        <f t="shared" si="1"/>
        <v>1</v>
      </c>
      <c r="I25" s="241">
        <f t="shared" si="2"/>
        <v>1.0016833472398028</v>
      </c>
      <c r="J25" s="241">
        <f t="shared" si="3"/>
        <v>1.007019777468117</v>
      </c>
      <c r="K25" s="241">
        <f t="shared" si="4"/>
        <v>1.0003879651338008</v>
      </c>
      <c r="L25" s="241">
        <f t="shared" si="5"/>
        <v>1.0039923605661485</v>
      </c>
    </row>
    <row r="26" spans="1:12" ht="12.75">
      <c r="A26" t="s">
        <v>164</v>
      </c>
      <c r="B26" s="109">
        <v>13621361.063006632</v>
      </c>
      <c r="C26" s="109">
        <v>13724709.07855304</v>
      </c>
      <c r="D26" s="109">
        <v>13836535.45009732</v>
      </c>
      <c r="E26" s="109">
        <v>14058018.144947369</v>
      </c>
      <c r="F26" s="109">
        <v>14290711.34714595</v>
      </c>
      <c r="H26" s="241">
        <f t="shared" si="1"/>
        <v>1</v>
      </c>
      <c r="I26" s="241">
        <f t="shared" si="2"/>
        <v>1.0075872018272156</v>
      </c>
      <c r="J26" s="241">
        <f t="shared" si="3"/>
        <v>1.0081478136187985</v>
      </c>
      <c r="K26" s="241">
        <f t="shared" si="4"/>
        <v>1.0160070919233246</v>
      </c>
      <c r="L26" s="241">
        <f t="shared" si="5"/>
        <v>1.0165523475499436</v>
      </c>
    </row>
    <row r="27" spans="1:12" ht="12.75">
      <c r="A27" t="s">
        <v>165</v>
      </c>
      <c r="B27" s="109">
        <v>5615454.639152733</v>
      </c>
      <c r="C27" s="109">
        <v>5667439.825161907</v>
      </c>
      <c r="D27" s="109">
        <v>5763430.621409343</v>
      </c>
      <c r="E27" s="109">
        <v>5862522.317835268</v>
      </c>
      <c r="F27" s="109">
        <v>5964058.7375931945</v>
      </c>
      <c r="H27" s="241">
        <f t="shared" si="1"/>
        <v>1</v>
      </c>
      <c r="I27" s="241">
        <f t="shared" si="2"/>
        <v>1.0092575204234964</v>
      </c>
      <c r="J27" s="241">
        <f t="shared" si="3"/>
        <v>1.0169372413662447</v>
      </c>
      <c r="K27" s="241">
        <f t="shared" si="4"/>
        <v>1.0171931793640112</v>
      </c>
      <c r="L27" s="241">
        <f t="shared" si="5"/>
        <v>1.0173195792277032</v>
      </c>
    </row>
    <row r="28" spans="1:12" ht="12.75">
      <c r="A28" t="s">
        <v>166</v>
      </c>
      <c r="B28" s="109">
        <v>19789522.74023184</v>
      </c>
      <c r="C28" s="109">
        <v>20122471.45111155</v>
      </c>
      <c r="D28" s="109">
        <v>20408037.822982542</v>
      </c>
      <c r="E28" s="109">
        <v>20701640.71462089</v>
      </c>
      <c r="F28" s="109">
        <v>20913495.72074121</v>
      </c>
      <c r="H28" s="241">
        <f t="shared" si="1"/>
        <v>1</v>
      </c>
      <c r="I28" s="241">
        <f t="shared" si="2"/>
        <v>1.0168244942159634</v>
      </c>
      <c r="J28" s="241">
        <f t="shared" si="3"/>
        <v>1.0141914164254022</v>
      </c>
      <c r="K28" s="241">
        <f t="shared" si="4"/>
        <v>1.0143866301202022</v>
      </c>
      <c r="L28" s="241">
        <f t="shared" si="5"/>
        <v>1.0102337302168853</v>
      </c>
    </row>
    <row r="29" spans="1:12" ht="12.75">
      <c r="A29" t="s">
        <v>167</v>
      </c>
      <c r="B29" s="109">
        <v>18108239.73913218</v>
      </c>
      <c r="C29" s="109">
        <v>18433068.936030272</v>
      </c>
      <c r="D29" s="109">
        <v>18706364.290461786</v>
      </c>
      <c r="E29" s="109">
        <v>18986834.18526985</v>
      </c>
      <c r="F29" s="109">
        <v>19355756.731074873</v>
      </c>
      <c r="H29" s="241">
        <f t="shared" si="1"/>
        <v>1</v>
      </c>
      <c r="I29" s="241">
        <f t="shared" si="2"/>
        <v>1.017938198388004</v>
      </c>
      <c r="J29" s="241">
        <f t="shared" si="3"/>
        <v>1.0148263620876128</v>
      </c>
      <c r="K29" s="241">
        <f t="shared" si="4"/>
        <v>1.014993287335427</v>
      </c>
      <c r="L29" s="241">
        <f t="shared" si="5"/>
        <v>1.0194304401779226</v>
      </c>
    </row>
    <row r="30" spans="1:12" ht="12.75">
      <c r="A30" t="s">
        <v>169</v>
      </c>
      <c r="B30" s="109">
        <v>6716454.431285856</v>
      </c>
      <c r="C30" s="109">
        <v>6741272.750293576</v>
      </c>
      <c r="D30" s="109">
        <v>6839125.095316104</v>
      </c>
      <c r="E30" s="109">
        <v>6974286.60123379</v>
      </c>
      <c r="F30" s="109">
        <v>7041042.70857512</v>
      </c>
      <c r="H30" s="241">
        <f t="shared" si="1"/>
        <v>1</v>
      </c>
      <c r="I30" s="241">
        <f t="shared" si="2"/>
        <v>1.0036951518485875</v>
      </c>
      <c r="J30" s="241">
        <f t="shared" si="3"/>
        <v>1.0145154110576917</v>
      </c>
      <c r="K30" s="241">
        <f t="shared" si="4"/>
        <v>1.0197629819653764</v>
      </c>
      <c r="L30" s="241">
        <f t="shared" si="5"/>
        <v>1.0095717470700905</v>
      </c>
    </row>
    <row r="31" spans="1:12" ht="12.75">
      <c r="A31" t="s">
        <v>170</v>
      </c>
      <c r="B31" s="109">
        <v>1404836571.2311337</v>
      </c>
      <c r="C31" s="109">
        <v>1449041385.834732</v>
      </c>
      <c r="D31" s="109">
        <v>1493080522.1460035</v>
      </c>
      <c r="E31" s="109">
        <v>1537973299.9582474</v>
      </c>
      <c r="F31" s="109">
        <v>1580733535.7860262</v>
      </c>
      <c r="H31" s="241">
        <f t="shared" si="1"/>
        <v>1</v>
      </c>
      <c r="I31" s="241">
        <f t="shared" si="2"/>
        <v>1.0314661616225291</v>
      </c>
      <c r="J31" s="241">
        <f t="shared" si="3"/>
        <v>1.0303919106395312</v>
      </c>
      <c r="K31" s="241">
        <f t="shared" si="4"/>
        <v>1.0300672181750248</v>
      </c>
      <c r="L31" s="241">
        <f t="shared" si="5"/>
        <v>1.027802976702482</v>
      </c>
    </row>
    <row r="32" spans="1:12" ht="12.75">
      <c r="A32" t="s">
        <v>412</v>
      </c>
      <c r="B32" s="109">
        <v>518035075.5551217</v>
      </c>
      <c r="C32" s="109">
        <v>531817466.0024652</v>
      </c>
      <c r="D32" s="109">
        <v>544893601.8527427</v>
      </c>
      <c r="E32" s="109">
        <v>558234338.011099</v>
      </c>
      <c r="F32" s="109">
        <v>571373398.8468224</v>
      </c>
      <c r="H32" s="241">
        <f t="shared" si="1"/>
        <v>1</v>
      </c>
      <c r="I32" s="241">
        <f t="shared" si="2"/>
        <v>1.026605129841014</v>
      </c>
      <c r="J32" s="241">
        <f t="shared" si="3"/>
        <v>1.0245876389667443</v>
      </c>
      <c r="K32" s="241">
        <f t="shared" si="4"/>
        <v>1.0244831947246127</v>
      </c>
      <c r="L32" s="241">
        <f t="shared" si="5"/>
        <v>1.023536819470002</v>
      </c>
    </row>
    <row r="33" spans="1:12" ht="12.75">
      <c r="A33" t="s">
        <v>171</v>
      </c>
      <c r="B33" s="109">
        <v>4970428.559037159</v>
      </c>
      <c r="C33" s="109">
        <v>5055101.305309319</v>
      </c>
      <c r="D33" s="109">
        <v>5085080.648183384</v>
      </c>
      <c r="E33" s="109">
        <v>5172477.920413581</v>
      </c>
      <c r="F33" s="109">
        <v>5373184.3728549285</v>
      </c>
      <c r="H33" s="241">
        <f t="shared" si="1"/>
        <v>1</v>
      </c>
      <c r="I33" s="241">
        <f t="shared" si="2"/>
        <v>1.0170353009336004</v>
      </c>
      <c r="J33" s="241">
        <f t="shared" si="3"/>
        <v>1.0059305127757932</v>
      </c>
      <c r="K33" s="241">
        <f t="shared" si="4"/>
        <v>1.0171869982556558</v>
      </c>
      <c r="L33" s="241">
        <f t="shared" si="5"/>
        <v>1.0388027663973671</v>
      </c>
    </row>
    <row r="34" spans="1:12" ht="12.75">
      <c r="A34" t="s">
        <v>172</v>
      </c>
      <c r="B34" s="109">
        <v>48672300.50785344</v>
      </c>
      <c r="C34" s="109">
        <v>48923436.320341334</v>
      </c>
      <c r="D34" s="109">
        <v>49400749.25466308</v>
      </c>
      <c r="E34" s="109">
        <v>49993284.72418477</v>
      </c>
      <c r="F34" s="109">
        <v>50451443.13184992</v>
      </c>
      <c r="H34" s="241">
        <f t="shared" si="1"/>
        <v>1</v>
      </c>
      <c r="I34" s="241">
        <f t="shared" si="2"/>
        <v>1.0051597276041508</v>
      </c>
      <c r="J34" s="241">
        <f t="shared" si="3"/>
        <v>1.0097563247846368</v>
      </c>
      <c r="K34" s="241">
        <f t="shared" si="4"/>
        <v>1.0119944632108138</v>
      </c>
      <c r="L34" s="241">
        <f t="shared" si="5"/>
        <v>1.0091643989826402</v>
      </c>
    </row>
    <row r="35" spans="1:12" ht="12.75">
      <c r="A35" t="s">
        <v>173</v>
      </c>
      <c r="B35" s="109">
        <v>3304218.137982666</v>
      </c>
      <c r="C35" s="109">
        <v>3362795.2370449714</v>
      </c>
      <c r="D35" s="109">
        <v>3423148.1297326</v>
      </c>
      <c r="E35" s="109">
        <v>3450090.1255305116</v>
      </c>
      <c r="F35" s="109">
        <v>3511926.4806039897</v>
      </c>
      <c r="H35" s="241">
        <f t="shared" si="1"/>
        <v>1</v>
      </c>
      <c r="I35" s="241">
        <f t="shared" si="2"/>
        <v>1.0177279757619357</v>
      </c>
      <c r="J35" s="241">
        <f t="shared" si="3"/>
        <v>1.0179472398505782</v>
      </c>
      <c r="K35" s="241">
        <f t="shared" si="4"/>
        <v>1.007870531679275</v>
      </c>
      <c r="L35" s="241">
        <f t="shared" si="5"/>
        <v>1.0179231129691053</v>
      </c>
    </row>
    <row r="36" spans="1:12" ht="12.75">
      <c r="A36" t="s">
        <v>174</v>
      </c>
      <c r="B36" s="109">
        <v>20223858.11634237</v>
      </c>
      <c r="C36" s="109">
        <v>20486293.794164743</v>
      </c>
      <c r="D36" s="109">
        <v>20692044.469895758</v>
      </c>
      <c r="E36" s="109">
        <v>20905809.549879123</v>
      </c>
      <c r="F36" s="109">
        <v>21184833.042819228</v>
      </c>
      <c r="H36" s="241">
        <f t="shared" si="1"/>
        <v>1</v>
      </c>
      <c r="I36" s="241">
        <f t="shared" si="2"/>
        <v>1.0129765387154446</v>
      </c>
      <c r="J36" s="241">
        <f t="shared" si="3"/>
        <v>1.0100433332548233</v>
      </c>
      <c r="K36" s="241">
        <f t="shared" si="4"/>
        <v>1.0103307858387007</v>
      </c>
      <c r="L36" s="241">
        <f t="shared" si="5"/>
        <v>1.0133466963943387</v>
      </c>
    </row>
    <row r="37" spans="1:12" ht="12.75">
      <c r="A37" t="s">
        <v>175</v>
      </c>
      <c r="B37" s="109">
        <v>5075160.805632354</v>
      </c>
      <c r="C37" s="109">
        <v>5131362.3298205575</v>
      </c>
      <c r="D37" s="109">
        <v>5224203.301828339</v>
      </c>
      <c r="E37" s="109">
        <v>5281575.83063862</v>
      </c>
      <c r="F37" s="109">
        <v>5379529.529393902</v>
      </c>
      <c r="H37" s="241">
        <f t="shared" si="1"/>
        <v>1</v>
      </c>
      <c r="I37" s="241">
        <f t="shared" si="2"/>
        <v>1.0110738410743225</v>
      </c>
      <c r="J37" s="241">
        <f t="shared" si="3"/>
        <v>1.0180928505999747</v>
      </c>
      <c r="K37" s="241">
        <f t="shared" si="4"/>
        <v>1.0109820628133293</v>
      </c>
      <c r="L37" s="241">
        <f t="shared" si="5"/>
        <v>1.0185463016903116</v>
      </c>
    </row>
    <row r="38" spans="1:12" ht="12.75">
      <c r="A38" t="s">
        <v>176</v>
      </c>
      <c r="B38" s="109">
        <v>6016240.753240856</v>
      </c>
      <c r="C38" s="109">
        <v>6083987.0023593595</v>
      </c>
      <c r="D38" s="109">
        <v>6157136.670124114</v>
      </c>
      <c r="E38" s="109">
        <v>6233387.508119667</v>
      </c>
      <c r="F38" s="109">
        <v>6315529.821513988</v>
      </c>
      <c r="H38" s="241">
        <f t="shared" si="1"/>
        <v>1</v>
      </c>
      <c r="I38" s="241">
        <f t="shared" si="2"/>
        <v>1.011260561519585</v>
      </c>
      <c r="J38" s="241">
        <f t="shared" si="3"/>
        <v>1.0120233109860994</v>
      </c>
      <c r="K38" s="241">
        <f t="shared" si="4"/>
        <v>1.0123841392648536</v>
      </c>
      <c r="L38" s="241">
        <f t="shared" si="5"/>
        <v>1.0131777967096256</v>
      </c>
    </row>
    <row r="39" spans="1:12" ht="12.75">
      <c r="A39" t="s">
        <v>177</v>
      </c>
      <c r="B39" s="109">
        <v>85969393.73636495</v>
      </c>
      <c r="C39" s="109">
        <v>87721277.73913456</v>
      </c>
      <c r="D39" s="109">
        <v>89377819.13117982</v>
      </c>
      <c r="E39" s="109">
        <v>91016393.62658584</v>
      </c>
      <c r="F39" s="109">
        <v>92573346.57926075</v>
      </c>
      <c r="H39" s="241">
        <f t="shared" si="1"/>
        <v>1</v>
      </c>
      <c r="I39" s="241">
        <f t="shared" si="2"/>
        <v>1.0203779964779323</v>
      </c>
      <c r="J39" s="241">
        <f t="shared" si="3"/>
        <v>1.0188841457254132</v>
      </c>
      <c r="K39" s="241">
        <f t="shared" si="4"/>
        <v>1.0183331223712349</v>
      </c>
      <c r="L39" s="241">
        <f t="shared" si="5"/>
        <v>1.0171062914123212</v>
      </c>
    </row>
    <row r="40" spans="1:12" ht="12.75">
      <c r="A40" t="s">
        <v>178</v>
      </c>
      <c r="B40" s="109">
        <v>22678112.148537476</v>
      </c>
      <c r="C40" s="109">
        <v>23068883.844974514</v>
      </c>
      <c r="D40" s="109">
        <v>23572749.090122547</v>
      </c>
      <c r="E40" s="109">
        <v>24062226.031003848</v>
      </c>
      <c r="F40" s="109">
        <v>24550101.67841864</v>
      </c>
      <c r="H40" s="241">
        <f t="shared" si="1"/>
        <v>1</v>
      </c>
      <c r="I40" s="241">
        <f t="shared" si="2"/>
        <v>1.017231226915078</v>
      </c>
      <c r="J40" s="241">
        <f t="shared" si="3"/>
        <v>1.0218417695686564</v>
      </c>
      <c r="K40" s="241">
        <f t="shared" si="4"/>
        <v>1.02076452513069</v>
      </c>
      <c r="L40" s="241">
        <f t="shared" si="5"/>
        <v>1.0202755824330705</v>
      </c>
    </row>
    <row r="41" spans="1:12" ht="12.75">
      <c r="A41" t="s">
        <v>179</v>
      </c>
      <c r="B41" s="109">
        <v>154510177.96130902</v>
      </c>
      <c r="C41" s="109">
        <v>157774575.63191977</v>
      </c>
      <c r="D41" s="109">
        <v>160899041.40803882</v>
      </c>
      <c r="E41" s="109">
        <v>163770290.51429224</v>
      </c>
      <c r="F41" s="109">
        <v>166853715.93915564</v>
      </c>
      <c r="H41" s="241">
        <f t="shared" si="1"/>
        <v>1</v>
      </c>
      <c r="I41" s="241">
        <f t="shared" si="2"/>
        <v>1.021127395707409</v>
      </c>
      <c r="J41" s="241">
        <f t="shared" si="3"/>
        <v>1.0198033540169886</v>
      </c>
      <c r="K41" s="241">
        <f t="shared" si="4"/>
        <v>1.0178450355025543</v>
      </c>
      <c r="L41" s="241">
        <f t="shared" si="5"/>
        <v>1.0188277459555115</v>
      </c>
    </row>
    <row r="42" spans="1:12" ht="12.75">
      <c r="A42" t="s">
        <v>168</v>
      </c>
      <c r="B42" s="109">
        <v>34945923.17465883</v>
      </c>
      <c r="C42" s="109">
        <v>35085714.26188069</v>
      </c>
      <c r="D42" s="109">
        <v>35428605.7233091</v>
      </c>
      <c r="E42" s="109">
        <v>35452393.563365765</v>
      </c>
      <c r="F42" s="109">
        <v>35891915.454158284</v>
      </c>
      <c r="H42" s="241">
        <f t="shared" si="1"/>
        <v>1</v>
      </c>
      <c r="I42" s="241">
        <f t="shared" si="2"/>
        <v>1.0040002115990236</v>
      </c>
      <c r="J42" s="241">
        <f t="shared" si="3"/>
        <v>1.0097729651124974</v>
      </c>
      <c r="K42" s="241">
        <f t="shared" si="4"/>
        <v>1.000671430319399</v>
      </c>
      <c r="L42" s="241">
        <f t="shared" si="5"/>
        <v>1.0123975237386142</v>
      </c>
    </row>
    <row r="43" spans="1:12" ht="12.75">
      <c r="A43" t="s">
        <v>180</v>
      </c>
      <c r="B43" s="109">
        <v>28825622.333092213</v>
      </c>
      <c r="C43" s="109">
        <v>29381626.910668004</v>
      </c>
      <c r="D43" s="109">
        <v>29908262.88887701</v>
      </c>
      <c r="E43" s="109">
        <v>30399408.599567667</v>
      </c>
      <c r="F43" s="109">
        <v>30838095.405846145</v>
      </c>
      <c r="H43" s="241">
        <f t="shared" si="1"/>
        <v>1</v>
      </c>
      <c r="I43" s="241">
        <f t="shared" si="2"/>
        <v>1.0192885541602859</v>
      </c>
      <c r="J43" s="241">
        <f t="shared" si="3"/>
        <v>1.0179239897031636</v>
      </c>
      <c r="K43" s="241">
        <f t="shared" si="4"/>
        <v>1.016421739788616</v>
      </c>
      <c r="L43" s="241">
        <f t="shared" si="5"/>
        <v>1.0144307677842364</v>
      </c>
    </row>
    <row r="44" spans="1:12" ht="12.75">
      <c r="A44" t="s">
        <v>181</v>
      </c>
      <c r="B44" s="109">
        <v>45037557.42732148</v>
      </c>
      <c r="C44" s="109">
        <v>45783263.65155265</v>
      </c>
      <c r="D44" s="109">
        <v>46809480.264621265</v>
      </c>
      <c r="E44" s="109">
        <v>47638280.89164421</v>
      </c>
      <c r="F44" s="109">
        <v>48583546.27956026</v>
      </c>
      <c r="H44" s="241">
        <f t="shared" si="1"/>
        <v>1</v>
      </c>
      <c r="I44" s="241">
        <f t="shared" si="2"/>
        <v>1.0165574304386853</v>
      </c>
      <c r="J44" s="241">
        <f t="shared" si="3"/>
        <v>1.022414667090554</v>
      </c>
      <c r="K44" s="241">
        <f t="shared" si="4"/>
        <v>1.0177058284419653</v>
      </c>
      <c r="L44" s="241">
        <f t="shared" si="5"/>
        <v>1.0198425587620616</v>
      </c>
    </row>
    <row r="45" spans="1:12" ht="12.75">
      <c r="A45" t="s">
        <v>182</v>
      </c>
      <c r="B45" s="109">
        <v>14468557.724351838</v>
      </c>
      <c r="C45" s="109">
        <v>14749805.019905815</v>
      </c>
      <c r="D45" s="109">
        <v>14978092.713938221</v>
      </c>
      <c r="E45" s="109">
        <v>15249516.060765423</v>
      </c>
      <c r="F45" s="109">
        <v>15586056.171625359</v>
      </c>
      <c r="H45" s="241">
        <f t="shared" si="1"/>
        <v>1</v>
      </c>
      <c r="I45" s="241">
        <f t="shared" si="2"/>
        <v>1.0194385163270705</v>
      </c>
      <c r="J45" s="241">
        <f t="shared" si="3"/>
        <v>1.0154773363935534</v>
      </c>
      <c r="K45" s="241">
        <f t="shared" si="4"/>
        <v>1.0181213557701256</v>
      </c>
      <c r="L45" s="241">
        <f t="shared" si="5"/>
        <v>1.0220689043192526</v>
      </c>
    </row>
    <row r="46" spans="1:12" ht="12.75">
      <c r="A46" t="s">
        <v>183</v>
      </c>
      <c r="B46" s="109">
        <v>16064500.798300343</v>
      </c>
      <c r="C46" s="109">
        <v>16261197.15200956</v>
      </c>
      <c r="D46" s="109">
        <v>16549330.625906413</v>
      </c>
      <c r="E46" s="109">
        <v>16959529.095840197</v>
      </c>
      <c r="F46" s="109">
        <v>17271113.710422333</v>
      </c>
      <c r="H46" s="241">
        <f t="shared" si="1"/>
        <v>1</v>
      </c>
      <c r="I46" s="241">
        <f t="shared" si="2"/>
        <v>1.0122441622169813</v>
      </c>
      <c r="J46" s="241">
        <f t="shared" si="3"/>
        <v>1.0177190812707935</v>
      </c>
      <c r="K46" s="241">
        <f t="shared" si="4"/>
        <v>1.024786408538582</v>
      </c>
      <c r="L46" s="241">
        <f t="shared" si="5"/>
        <v>1.018372244466302</v>
      </c>
    </row>
    <row r="47" spans="1:12" ht="12.75">
      <c r="A47" t="s">
        <v>184</v>
      </c>
      <c r="B47" s="109">
        <v>27959584.9614223</v>
      </c>
      <c r="C47" s="109">
        <v>28766459.53255545</v>
      </c>
      <c r="D47" s="109">
        <v>29446875.905320983</v>
      </c>
      <c r="E47" s="109">
        <v>30175996.705513675</v>
      </c>
      <c r="F47" s="109">
        <v>30783900.06193928</v>
      </c>
      <c r="H47" s="241">
        <f t="shared" si="1"/>
        <v>1</v>
      </c>
      <c r="I47" s="241">
        <f t="shared" si="2"/>
        <v>1.0288586033106875</v>
      </c>
      <c r="J47" s="241">
        <f t="shared" si="3"/>
        <v>1.0236531149061112</v>
      </c>
      <c r="K47" s="241">
        <f t="shared" si="4"/>
        <v>1.02476054853958</v>
      </c>
      <c r="L47" s="241">
        <f t="shared" si="5"/>
        <v>1.0201452618900415</v>
      </c>
    </row>
    <row r="48" spans="1:12" ht="12.75">
      <c r="A48" t="s">
        <v>185</v>
      </c>
      <c r="B48" s="109">
        <v>13592394.710946474</v>
      </c>
      <c r="C48" s="109">
        <v>13659419.290459944</v>
      </c>
      <c r="D48" s="109">
        <v>13730255.968206752</v>
      </c>
      <c r="E48" s="109">
        <v>13729052.30953696</v>
      </c>
      <c r="F48" s="109">
        <v>13811775.186424123</v>
      </c>
      <c r="H48" s="241">
        <f t="shared" si="1"/>
        <v>1</v>
      </c>
      <c r="I48" s="241">
        <f t="shared" si="2"/>
        <v>1.0049310354016936</v>
      </c>
      <c r="J48" s="241">
        <f t="shared" si="3"/>
        <v>1.0051859216150048</v>
      </c>
      <c r="K48" s="241">
        <f t="shared" si="4"/>
        <v>0.9999123353073257</v>
      </c>
      <c r="L48" s="241">
        <f t="shared" si="5"/>
        <v>1.00602538871745</v>
      </c>
    </row>
    <row r="49" spans="1:12" ht="12.75">
      <c r="A49" t="s">
        <v>187</v>
      </c>
      <c r="B49" s="109">
        <v>19454876.36478251</v>
      </c>
      <c r="C49" s="109">
        <v>19828324.347070057</v>
      </c>
      <c r="D49" s="109">
        <v>20168919.456364203</v>
      </c>
      <c r="E49" s="109">
        <v>20420872.756098635</v>
      </c>
      <c r="F49" s="109">
        <v>20873870.541710373</v>
      </c>
      <c r="H49" s="241">
        <f t="shared" si="1"/>
        <v>1</v>
      </c>
      <c r="I49" s="241">
        <f t="shared" si="2"/>
        <v>1.0191955978174998</v>
      </c>
      <c r="J49" s="241">
        <f t="shared" si="3"/>
        <v>1.0171772008230475</v>
      </c>
      <c r="K49" s="241">
        <f t="shared" si="4"/>
        <v>1.0124921565718747</v>
      </c>
      <c r="L49" s="241">
        <f t="shared" si="5"/>
        <v>1.0221830766501618</v>
      </c>
    </row>
    <row r="50" spans="1:12" ht="12.75">
      <c r="A50" t="s">
        <v>188</v>
      </c>
      <c r="B50" s="109">
        <v>13003660.997924296</v>
      </c>
      <c r="C50" s="109">
        <v>13037341.013253845</v>
      </c>
      <c r="D50" s="109">
        <v>13168367.326901833</v>
      </c>
      <c r="E50" s="109">
        <v>13291757.67049944</v>
      </c>
      <c r="F50" s="109">
        <v>13389258.492927946</v>
      </c>
      <c r="H50" s="241">
        <f t="shared" si="1"/>
        <v>1</v>
      </c>
      <c r="I50" s="241">
        <f t="shared" si="2"/>
        <v>1.0025900410149822</v>
      </c>
      <c r="J50" s="241">
        <f t="shared" si="3"/>
        <v>1.0100500794997067</v>
      </c>
      <c r="K50" s="241">
        <f t="shared" si="4"/>
        <v>1.0093702082068694</v>
      </c>
      <c r="L50" s="241">
        <f t="shared" si="5"/>
        <v>1.0073354348495915</v>
      </c>
    </row>
    <row r="51" spans="1:12" ht="12.75">
      <c r="A51" t="s">
        <v>189</v>
      </c>
      <c r="B51" s="109">
        <v>4356258.410681766</v>
      </c>
      <c r="C51" s="109">
        <v>4389173.716186106</v>
      </c>
      <c r="D51" s="109">
        <v>4457096.580294006</v>
      </c>
      <c r="E51" s="109">
        <v>4527814.601370694</v>
      </c>
      <c r="F51" s="109">
        <v>4602377.590130765</v>
      </c>
      <c r="H51" s="241">
        <f t="shared" si="1"/>
        <v>1</v>
      </c>
      <c r="I51" s="241">
        <f t="shared" si="2"/>
        <v>1.0075558661588186</v>
      </c>
      <c r="J51" s="241">
        <f t="shared" si="3"/>
        <v>1.0154750913269661</v>
      </c>
      <c r="K51" s="241">
        <f t="shared" si="4"/>
        <v>1.0158663874122342</v>
      </c>
      <c r="L51" s="241">
        <f t="shared" si="5"/>
        <v>1.0164677654287122</v>
      </c>
    </row>
    <row r="52" spans="1:12" ht="12.75">
      <c r="A52" t="s">
        <v>190</v>
      </c>
      <c r="B52" s="109">
        <v>10796470.350377643</v>
      </c>
      <c r="C52" s="109">
        <v>10943357.988206074</v>
      </c>
      <c r="D52" s="109">
        <v>11147056.156966394</v>
      </c>
      <c r="E52" s="109">
        <v>11356540.883573916</v>
      </c>
      <c r="F52" s="109">
        <v>11568948.64474969</v>
      </c>
      <c r="H52" s="241">
        <f t="shared" si="1"/>
        <v>1</v>
      </c>
      <c r="I52" s="241">
        <f t="shared" si="2"/>
        <v>1.013605153634613</v>
      </c>
      <c r="J52" s="241">
        <f t="shared" si="3"/>
        <v>1.0186138632200328</v>
      </c>
      <c r="K52" s="241">
        <f t="shared" si="4"/>
        <v>1.0187928295738067</v>
      </c>
      <c r="L52" s="241">
        <f t="shared" si="5"/>
        <v>1.0187035615292859</v>
      </c>
    </row>
    <row r="53" spans="1:12" ht="12.75">
      <c r="A53" t="s">
        <v>186</v>
      </c>
      <c r="B53" s="109">
        <v>61395621.09327129</v>
      </c>
      <c r="C53" s="109">
        <v>62125858.04808038</v>
      </c>
      <c r="D53" s="109">
        <v>62796412.964584954</v>
      </c>
      <c r="E53" s="109">
        <v>63514846.40697471</v>
      </c>
      <c r="F53" s="109">
        <v>64463654.460783236</v>
      </c>
      <c r="H53" s="241">
        <f t="shared" si="1"/>
        <v>1</v>
      </c>
      <c r="I53" s="241">
        <f t="shared" si="2"/>
        <v>1.0118939582629145</v>
      </c>
      <c r="J53" s="241">
        <f t="shared" si="3"/>
        <v>1.0107934914313075</v>
      </c>
      <c r="K53" s="241">
        <f t="shared" si="4"/>
        <v>1.011440676441104</v>
      </c>
      <c r="L53" s="241">
        <f t="shared" si="5"/>
        <v>1.0149383664998415</v>
      </c>
    </row>
    <row r="54" spans="1:12" ht="12.75">
      <c r="A54" t="s">
        <v>191</v>
      </c>
      <c r="B54" s="109">
        <v>32311495.857632454</v>
      </c>
      <c r="C54" s="109">
        <v>32824745.59258615</v>
      </c>
      <c r="D54" s="109">
        <v>33294308.36799793</v>
      </c>
      <c r="E54" s="109">
        <v>33539459.649608698</v>
      </c>
      <c r="F54" s="109">
        <v>34010606.213541396</v>
      </c>
      <c r="H54" s="241">
        <f t="shared" si="1"/>
        <v>1</v>
      </c>
      <c r="I54" s="241">
        <f t="shared" si="2"/>
        <v>1.0158844312629511</v>
      </c>
      <c r="J54" s="241">
        <f t="shared" si="3"/>
        <v>1.0143051459176529</v>
      </c>
      <c r="K54" s="241">
        <f t="shared" si="4"/>
        <v>1.0073631588588998</v>
      </c>
      <c r="L54" s="241">
        <f t="shared" si="5"/>
        <v>1.0140475299499405</v>
      </c>
    </row>
    <row r="55" spans="1:12" ht="12.75">
      <c r="A55" t="s">
        <v>192</v>
      </c>
      <c r="B55" s="109">
        <v>153368860.31708816</v>
      </c>
      <c r="C55" s="109">
        <v>157112146.11313948</v>
      </c>
      <c r="D55" s="109">
        <v>160675053.82066372</v>
      </c>
      <c r="E55" s="109">
        <v>164540712.38687333</v>
      </c>
      <c r="F55" s="109">
        <v>168618612.89245945</v>
      </c>
      <c r="H55" s="241">
        <f t="shared" si="1"/>
        <v>1</v>
      </c>
      <c r="I55" s="241">
        <f t="shared" si="2"/>
        <v>1.0244070783880908</v>
      </c>
      <c r="J55" s="241">
        <f t="shared" si="3"/>
        <v>1.0226774809947445</v>
      </c>
      <c r="K55" s="241">
        <f t="shared" si="4"/>
        <v>1.0240588596318396</v>
      </c>
      <c r="L55" s="241">
        <f t="shared" si="5"/>
        <v>1.0247835350074213</v>
      </c>
    </row>
    <row r="56" spans="1:12" ht="12.75">
      <c r="A56" t="s">
        <v>193</v>
      </c>
      <c r="B56" s="109">
        <v>12003576.233660487</v>
      </c>
      <c r="C56" s="109">
        <v>12076793.160514358</v>
      </c>
      <c r="D56" s="109">
        <v>12115746.369032215</v>
      </c>
      <c r="E56" s="109">
        <v>12303665.76400772</v>
      </c>
      <c r="F56" s="109">
        <v>12425930.523688518</v>
      </c>
      <c r="H56" s="241">
        <f t="shared" si="1"/>
        <v>1</v>
      </c>
      <c r="I56" s="241">
        <f t="shared" si="2"/>
        <v>1.00609959277374</v>
      </c>
      <c r="J56" s="241">
        <f t="shared" si="3"/>
        <v>1.0032254596067123</v>
      </c>
      <c r="K56" s="241">
        <f t="shared" si="4"/>
        <v>1.015510344080479</v>
      </c>
      <c r="L56" s="241">
        <f t="shared" si="5"/>
        <v>1.0099372627659038</v>
      </c>
    </row>
    <row r="57" spans="1:12" ht="12.75">
      <c r="A57" t="s">
        <v>194</v>
      </c>
      <c r="B57" s="109">
        <v>11378807.163108502</v>
      </c>
      <c r="C57" s="109">
        <v>11423813.016379144</v>
      </c>
      <c r="D57" s="109">
        <v>11531429.21512822</v>
      </c>
      <c r="E57" s="109">
        <v>11691252.637631493</v>
      </c>
      <c r="F57" s="109">
        <v>11784570.23934507</v>
      </c>
      <c r="H57" s="241">
        <f t="shared" si="1"/>
        <v>1</v>
      </c>
      <c r="I57" s="241">
        <f t="shared" si="2"/>
        <v>1.0039552347293974</v>
      </c>
      <c r="J57" s="241">
        <f t="shared" si="3"/>
        <v>1.009420339653212</v>
      </c>
      <c r="K57" s="241">
        <f t="shared" si="4"/>
        <v>1.0138598103948466</v>
      </c>
      <c r="L57" s="241">
        <f t="shared" si="5"/>
        <v>1.0079818309129005</v>
      </c>
    </row>
    <row r="58" spans="1:12" ht="12.75">
      <c r="A58" t="s">
        <v>195</v>
      </c>
      <c r="B58" s="109">
        <v>9303124.556419192</v>
      </c>
      <c r="C58" s="109">
        <v>9373365.521060051</v>
      </c>
      <c r="D58" s="109">
        <v>9523967.93077626</v>
      </c>
      <c r="E58" s="109">
        <v>9634428.43135524</v>
      </c>
      <c r="F58" s="109">
        <v>9790858.351587376</v>
      </c>
      <c r="H58" s="241">
        <f t="shared" si="1"/>
        <v>1</v>
      </c>
      <c r="I58" s="241">
        <f t="shared" si="2"/>
        <v>1.0075502552088689</v>
      </c>
      <c r="J58" s="241">
        <f t="shared" si="3"/>
        <v>1.0160670582383495</v>
      </c>
      <c r="K58" s="241">
        <f t="shared" si="4"/>
        <v>1.0115981596517174</v>
      </c>
      <c r="L58" s="241">
        <f t="shared" si="5"/>
        <v>1.0162365542851546</v>
      </c>
    </row>
    <row r="59" spans="1:12" ht="12.75">
      <c r="A59" t="s">
        <v>197</v>
      </c>
      <c r="B59" s="109">
        <v>10673263.262686606</v>
      </c>
      <c r="C59" s="109">
        <v>10349145.311960202</v>
      </c>
      <c r="D59" s="109">
        <v>10236184.349187747</v>
      </c>
      <c r="E59" s="109">
        <v>10021415.814308282</v>
      </c>
      <c r="F59" s="109">
        <v>9927294.761774546</v>
      </c>
      <c r="H59" s="241">
        <f t="shared" si="1"/>
        <v>1</v>
      </c>
      <c r="I59" s="241">
        <f t="shared" si="2"/>
        <v>0.9696327221816489</v>
      </c>
      <c r="J59" s="241">
        <f t="shared" si="3"/>
        <v>0.9890849959714152</v>
      </c>
      <c r="K59" s="241">
        <f t="shared" si="4"/>
        <v>0.97901869216565</v>
      </c>
      <c r="L59" s="241">
        <f t="shared" si="5"/>
        <v>0.9906080084613041</v>
      </c>
    </row>
    <row r="60" spans="1:12" ht="12.75">
      <c r="A60" t="s">
        <v>198</v>
      </c>
      <c r="B60" s="109">
        <v>3853890.363469787</v>
      </c>
      <c r="C60" s="109">
        <v>3926237.940750573</v>
      </c>
      <c r="D60" s="109">
        <v>4000970.9833211824</v>
      </c>
      <c r="E60" s="109">
        <v>4076608.565941875</v>
      </c>
      <c r="F60" s="109">
        <v>4119132.1938546095</v>
      </c>
      <c r="H60" s="241">
        <f t="shared" si="1"/>
        <v>1</v>
      </c>
      <c r="I60" s="241">
        <f t="shared" si="2"/>
        <v>1.0187726090930227</v>
      </c>
      <c r="J60" s="241">
        <f t="shared" si="3"/>
        <v>1.0190342622373831</v>
      </c>
      <c r="K60" s="241">
        <f t="shared" si="4"/>
        <v>1.0189048065922004</v>
      </c>
      <c r="L60" s="241">
        <f t="shared" si="5"/>
        <v>1.010431128528748</v>
      </c>
    </row>
    <row r="61" spans="1:12" ht="12.75">
      <c r="A61" t="s">
        <v>199</v>
      </c>
      <c r="B61" s="109">
        <v>12550420.721358053</v>
      </c>
      <c r="C61" s="109">
        <v>12539432.684891045</v>
      </c>
      <c r="D61" s="109">
        <v>12494019.86554434</v>
      </c>
      <c r="E61" s="109">
        <v>12529120.850334508</v>
      </c>
      <c r="F61" s="109">
        <v>12609573.571391469</v>
      </c>
      <c r="H61" s="241">
        <f t="shared" si="1"/>
        <v>1</v>
      </c>
      <c r="I61" s="241">
        <f t="shared" si="2"/>
        <v>0.9991244885959633</v>
      </c>
      <c r="J61" s="241">
        <f t="shared" si="3"/>
        <v>0.9963783992076911</v>
      </c>
      <c r="K61" s="241">
        <f t="shared" si="4"/>
        <v>1.0028094228413202</v>
      </c>
      <c r="L61" s="241">
        <f t="shared" si="5"/>
        <v>1.00642125828444</v>
      </c>
    </row>
    <row r="62" spans="1:12" ht="12.75">
      <c r="A62" t="s">
        <v>200</v>
      </c>
      <c r="B62" s="109">
        <v>263275431.3482609</v>
      </c>
      <c r="C62" s="109">
        <v>270044384.59215176</v>
      </c>
      <c r="D62" s="109">
        <v>275631458.71966666</v>
      </c>
      <c r="E62" s="109">
        <v>281628175.8246668</v>
      </c>
      <c r="F62" s="109">
        <v>287561468.61455584</v>
      </c>
      <c r="H62" s="241">
        <f t="shared" si="1"/>
        <v>1</v>
      </c>
      <c r="I62" s="241">
        <f t="shared" si="2"/>
        <v>1.025710538994187</v>
      </c>
      <c r="J62" s="241">
        <f t="shared" si="3"/>
        <v>1.0206894660518606</v>
      </c>
      <c r="K62" s="241">
        <f t="shared" si="4"/>
        <v>1.0217562869378387</v>
      </c>
      <c r="L62" s="241">
        <f t="shared" si="5"/>
        <v>1.021067823815977</v>
      </c>
    </row>
    <row r="63" spans="1:12" ht="12.75">
      <c r="A63" t="s">
        <v>201</v>
      </c>
      <c r="B63" s="109">
        <v>3947329.7497717906</v>
      </c>
      <c r="C63" s="109">
        <v>3934135.6364740813</v>
      </c>
      <c r="D63" s="109">
        <v>4009982.089379846</v>
      </c>
      <c r="E63" s="109">
        <v>4087968.699795362</v>
      </c>
      <c r="F63" s="109">
        <v>4164080.263022694</v>
      </c>
      <c r="H63" s="241">
        <f t="shared" si="1"/>
        <v>1</v>
      </c>
      <c r="I63" s="241">
        <f t="shared" si="2"/>
        <v>0.996657458551956</v>
      </c>
      <c r="J63" s="241">
        <f t="shared" si="3"/>
        <v>1.0192790640471514</v>
      </c>
      <c r="K63" s="241">
        <f t="shared" si="4"/>
        <v>1.0194481193873803</v>
      </c>
      <c r="L63" s="241">
        <f t="shared" si="5"/>
        <v>1.018618431014685</v>
      </c>
    </row>
    <row r="64" spans="1:12" ht="12.75">
      <c r="A64" t="s">
        <v>128</v>
      </c>
      <c r="B64" s="109">
        <v>43825570.548750766</v>
      </c>
      <c r="C64" s="109">
        <v>44218859.0886137</v>
      </c>
      <c r="D64" s="109">
        <v>44571467.307956934</v>
      </c>
      <c r="E64" s="109">
        <v>44697948.95846285</v>
      </c>
      <c r="F64" s="109">
        <v>45047953.48281404</v>
      </c>
      <c r="H64" s="241">
        <f t="shared" si="1"/>
        <v>1</v>
      </c>
      <c r="I64" s="241">
        <f t="shared" si="2"/>
        <v>1.008973951392725</v>
      </c>
      <c r="J64" s="241">
        <f t="shared" si="3"/>
        <v>1.0079741591395792</v>
      </c>
      <c r="K64" s="241">
        <f t="shared" si="4"/>
        <v>1.0028377268720372</v>
      </c>
      <c r="L64" s="241">
        <f t="shared" si="5"/>
        <v>1.007830438141053</v>
      </c>
    </row>
    <row r="65" spans="1:12" ht="12.75">
      <c r="A65" t="s">
        <v>202</v>
      </c>
      <c r="B65" s="109">
        <v>75830319.65705799</v>
      </c>
      <c r="C65" s="109">
        <v>77512842.2375955</v>
      </c>
      <c r="D65" s="109">
        <v>79172028.88996589</v>
      </c>
      <c r="E65" s="109">
        <v>81079131.39548123</v>
      </c>
      <c r="F65" s="109">
        <v>82531806.15212601</v>
      </c>
      <c r="H65" s="241">
        <f t="shared" si="1"/>
        <v>1</v>
      </c>
      <c r="I65" s="241">
        <f t="shared" si="2"/>
        <v>1.0221879927204145</v>
      </c>
      <c r="J65" s="241">
        <f t="shared" si="3"/>
        <v>1.021405313035543</v>
      </c>
      <c r="K65" s="241">
        <f t="shared" si="4"/>
        <v>1.0240880842925706</v>
      </c>
      <c r="L65" s="241">
        <f t="shared" si="5"/>
        <v>1.0179167528270505</v>
      </c>
    </row>
    <row r="66" spans="1:12" ht="12.75">
      <c r="A66" t="s">
        <v>203</v>
      </c>
      <c r="B66" s="109">
        <v>66695410.711615294</v>
      </c>
      <c r="C66" s="109">
        <v>68097910.1118767</v>
      </c>
      <c r="D66" s="109">
        <v>69414464.55555381</v>
      </c>
      <c r="E66" s="109">
        <v>70838813.89562295</v>
      </c>
      <c r="F66" s="109">
        <v>72091701.79685797</v>
      </c>
      <c r="H66" s="241">
        <f t="shared" si="1"/>
        <v>1</v>
      </c>
      <c r="I66" s="241">
        <f t="shared" si="2"/>
        <v>1.0210284243742898</v>
      </c>
      <c r="J66" s="241">
        <f t="shared" si="3"/>
        <v>1.019333257680216</v>
      </c>
      <c r="K66" s="241">
        <f t="shared" si="4"/>
        <v>1.020519488973789</v>
      </c>
      <c r="L66" s="241">
        <f t="shared" si="5"/>
        <v>1.0176864607456737</v>
      </c>
    </row>
    <row r="67" spans="1:12" ht="12.75">
      <c r="A67" t="s">
        <v>204</v>
      </c>
      <c r="B67" s="109">
        <v>5080913.408421568</v>
      </c>
      <c r="C67" s="109">
        <v>5165874.48863147</v>
      </c>
      <c r="D67" s="109">
        <v>5253940.292845153</v>
      </c>
      <c r="E67" s="109">
        <v>5344064.641220925</v>
      </c>
      <c r="F67" s="109">
        <v>5435708.946013584</v>
      </c>
      <c r="H67" s="241">
        <f t="shared" si="1"/>
        <v>1</v>
      </c>
      <c r="I67" s="241">
        <f t="shared" si="2"/>
        <v>1.016721615461716</v>
      </c>
      <c r="J67" s="241">
        <f t="shared" si="3"/>
        <v>1.0170476081847302</v>
      </c>
      <c r="K67" s="241">
        <f t="shared" si="4"/>
        <v>1.017153668171392</v>
      </c>
      <c r="L67" s="241">
        <f t="shared" si="5"/>
        <v>1.0171488016978254</v>
      </c>
    </row>
    <row r="68" spans="1:12" ht="12.75">
      <c r="A68" t="s">
        <v>205</v>
      </c>
      <c r="B68" s="109">
        <v>110976717.26402074</v>
      </c>
      <c r="C68" s="109">
        <v>112802298.94661468</v>
      </c>
      <c r="D68" s="109">
        <v>114532274.53844135</v>
      </c>
      <c r="E68" s="109">
        <v>116394798.75831732</v>
      </c>
      <c r="F68" s="109">
        <v>118058100.05198959</v>
      </c>
      <c r="H68" s="241">
        <f t="shared" si="1"/>
        <v>1</v>
      </c>
      <c r="I68" s="241">
        <f t="shared" si="2"/>
        <v>1.016450132312445</v>
      </c>
      <c r="J68" s="241">
        <f t="shared" si="3"/>
        <v>1.0153363504820536</v>
      </c>
      <c r="K68" s="241">
        <f t="shared" si="4"/>
        <v>1.016262003242159</v>
      </c>
      <c r="L68" s="241">
        <f t="shared" si="5"/>
        <v>1.014290168559215</v>
      </c>
    </row>
    <row r="69" spans="1:12" ht="12.75">
      <c r="A69" t="s">
        <v>206</v>
      </c>
      <c r="B69" s="109">
        <v>28412292.78359568</v>
      </c>
      <c r="C69" s="109">
        <v>28887309.590643823</v>
      </c>
      <c r="D69" s="109">
        <v>29465453.34607055</v>
      </c>
      <c r="E69" s="109">
        <v>29879589.601876855</v>
      </c>
      <c r="F69" s="109">
        <v>30402379.711701002</v>
      </c>
      <c r="H69" s="241">
        <f t="shared" si="1"/>
        <v>1</v>
      </c>
      <c r="I69" s="241">
        <f t="shared" si="2"/>
        <v>1.0167187073097599</v>
      </c>
      <c r="J69" s="241">
        <f t="shared" si="3"/>
        <v>1.020013762569775</v>
      </c>
      <c r="K69" s="241">
        <f t="shared" si="4"/>
        <v>1.014054976549734</v>
      </c>
      <c r="L69" s="241">
        <f t="shared" si="5"/>
        <v>1.0174965625964056</v>
      </c>
    </row>
    <row r="70" spans="1:12" ht="12.75">
      <c r="A70" t="s">
        <v>207</v>
      </c>
      <c r="B70" s="109">
        <v>69051596.24511656</v>
      </c>
      <c r="C70" s="109">
        <v>70174265.86854553</v>
      </c>
      <c r="D70" s="109">
        <v>71184911.46232681</v>
      </c>
      <c r="E70" s="109">
        <v>72178692.34404223</v>
      </c>
      <c r="F70" s="109">
        <v>73231831.3258318</v>
      </c>
      <c r="H70" s="241">
        <f aca="true" t="shared" si="6" ref="H70:H133">B70/B70</f>
        <v>1</v>
      </c>
      <c r="I70" s="241">
        <f aca="true" t="shared" si="7" ref="I70:I133">C70/B70</f>
        <v>1.016258416669236</v>
      </c>
      <c r="J70" s="241">
        <f aca="true" t="shared" si="8" ref="J70:J133">D70/C70</f>
        <v>1.0144019403875841</v>
      </c>
      <c r="K70" s="241">
        <f aca="true" t="shared" si="9" ref="K70:K133">E70/D70</f>
        <v>1.0139605551415394</v>
      </c>
      <c r="L70" s="241">
        <f aca="true" t="shared" si="10" ref="L70:L133">F70/E70</f>
        <v>1.0145907185013792</v>
      </c>
    </row>
    <row r="71" spans="1:12" ht="12.75">
      <c r="A71" t="s">
        <v>208</v>
      </c>
      <c r="B71" s="109">
        <v>12611401.11897666</v>
      </c>
      <c r="C71" s="109">
        <v>12700625.179487789</v>
      </c>
      <c r="D71" s="109">
        <v>12805683.735757282</v>
      </c>
      <c r="E71" s="109">
        <v>12765059.847573861</v>
      </c>
      <c r="F71" s="109">
        <v>12887955.030253846</v>
      </c>
      <c r="H71" s="241">
        <f t="shared" si="6"/>
        <v>1</v>
      </c>
      <c r="I71" s="241">
        <f t="shared" si="7"/>
        <v>1.0070748729399204</v>
      </c>
      <c r="J71" s="241">
        <f t="shared" si="8"/>
        <v>1.0082719200657277</v>
      </c>
      <c r="K71" s="241">
        <f t="shared" si="9"/>
        <v>0.996827667384133</v>
      </c>
      <c r="L71" s="241">
        <f t="shared" si="10"/>
        <v>1.009627466235761</v>
      </c>
    </row>
    <row r="72" spans="1:12" ht="12.75">
      <c r="A72" t="s">
        <v>209</v>
      </c>
      <c r="B72" s="109">
        <v>26265322.466731075</v>
      </c>
      <c r="C72" s="109">
        <v>26630737.906086467</v>
      </c>
      <c r="D72" s="109">
        <v>26871274.41870872</v>
      </c>
      <c r="E72" s="109">
        <v>27247696.567538</v>
      </c>
      <c r="F72" s="109">
        <v>27726350.96088553</v>
      </c>
      <c r="H72" s="241">
        <f t="shared" si="6"/>
        <v>1</v>
      </c>
      <c r="I72" s="241">
        <f t="shared" si="7"/>
        <v>1.0139124672776527</v>
      </c>
      <c r="J72" s="241">
        <f t="shared" si="8"/>
        <v>1.0090322886834944</v>
      </c>
      <c r="K72" s="241">
        <f t="shared" si="9"/>
        <v>1.01400834746294</v>
      </c>
      <c r="L72" s="241">
        <f t="shared" si="10"/>
        <v>1.0175667837522009</v>
      </c>
    </row>
    <row r="73" spans="1:12" ht="12.75">
      <c r="A73" t="s">
        <v>210</v>
      </c>
      <c r="B73" s="109">
        <v>2608259.96437221</v>
      </c>
      <c r="C73" s="109">
        <v>2653932.289554116</v>
      </c>
      <c r="D73" s="109">
        <v>2699897.3542964053</v>
      </c>
      <c r="E73" s="109">
        <v>2748678.1551842755</v>
      </c>
      <c r="F73" s="109">
        <v>2797819.625497953</v>
      </c>
      <c r="H73" s="241">
        <f t="shared" si="6"/>
        <v>1</v>
      </c>
      <c r="I73" s="241">
        <f t="shared" si="7"/>
        <v>1.0175106491706238</v>
      </c>
      <c r="J73" s="241">
        <f t="shared" si="8"/>
        <v>1.0173196071818442</v>
      </c>
      <c r="K73" s="241">
        <f t="shared" si="9"/>
        <v>1.0180676501683459</v>
      </c>
      <c r="L73" s="241">
        <f t="shared" si="10"/>
        <v>1.0178782191072433</v>
      </c>
    </row>
    <row r="74" spans="1:12" ht="12.75">
      <c r="A74" t="s">
        <v>211</v>
      </c>
      <c r="B74" s="109">
        <v>12000311.615111329</v>
      </c>
      <c r="C74" s="109">
        <v>12075067.294550324</v>
      </c>
      <c r="D74" s="109">
        <v>12345373.956876589</v>
      </c>
      <c r="E74" s="109">
        <v>12588781.945177224</v>
      </c>
      <c r="F74" s="109">
        <v>12920840.014037922</v>
      </c>
      <c r="H74" s="241">
        <f t="shared" si="6"/>
        <v>1</v>
      </c>
      <c r="I74" s="241">
        <f t="shared" si="7"/>
        <v>1.0062294781866215</v>
      </c>
      <c r="J74" s="241">
        <f t="shared" si="8"/>
        <v>1.0223855201575778</v>
      </c>
      <c r="K74" s="241">
        <f t="shared" si="9"/>
        <v>1.019716534237916</v>
      </c>
      <c r="L74" s="241">
        <f t="shared" si="10"/>
        <v>1.0263772992738118</v>
      </c>
    </row>
    <row r="75" spans="1:12" ht="12.75">
      <c r="A75" t="s">
        <v>212</v>
      </c>
      <c r="B75" s="109">
        <v>2492989.0728238234</v>
      </c>
      <c r="C75" s="109">
        <v>2568707.6180280773</v>
      </c>
      <c r="D75" s="109">
        <v>2609155.968634405</v>
      </c>
      <c r="E75" s="109">
        <v>2652403.7872519754</v>
      </c>
      <c r="F75" s="109">
        <v>2696345.078012197</v>
      </c>
      <c r="H75" s="241">
        <f t="shared" si="6"/>
        <v>1</v>
      </c>
      <c r="I75" s="241">
        <f t="shared" si="7"/>
        <v>1.0303725940998558</v>
      </c>
      <c r="J75" s="241">
        <f t="shared" si="8"/>
        <v>1.0157465763415219</v>
      </c>
      <c r="K75" s="241">
        <f t="shared" si="9"/>
        <v>1.0165754056627767</v>
      </c>
      <c r="L75" s="241">
        <f t="shared" si="10"/>
        <v>1.0165665917728715</v>
      </c>
    </row>
    <row r="76" spans="1:12" ht="12.75">
      <c r="A76" t="s">
        <v>213</v>
      </c>
      <c r="B76" s="109">
        <v>15437838.254373103</v>
      </c>
      <c r="C76" s="109">
        <v>15595317.917580971</v>
      </c>
      <c r="D76" s="109">
        <v>15701469.785579849</v>
      </c>
      <c r="E76" s="109">
        <v>15738190.476474252</v>
      </c>
      <c r="F76" s="109">
        <v>15989284.131351242</v>
      </c>
      <c r="H76" s="241">
        <f t="shared" si="6"/>
        <v>1</v>
      </c>
      <c r="I76" s="241">
        <f t="shared" si="7"/>
        <v>1.010200888272894</v>
      </c>
      <c r="J76" s="241">
        <f t="shared" si="8"/>
        <v>1.0068066498265618</v>
      </c>
      <c r="K76" s="241">
        <f t="shared" si="9"/>
        <v>1.0023386785693227</v>
      </c>
      <c r="L76" s="241">
        <f t="shared" si="10"/>
        <v>1.0159544170756054</v>
      </c>
    </row>
    <row r="77" spans="1:12" ht="12.75">
      <c r="A77" t="s">
        <v>214</v>
      </c>
      <c r="B77" s="109">
        <v>8411576.870582974</v>
      </c>
      <c r="C77" s="109">
        <v>8503135.257769065</v>
      </c>
      <c r="D77" s="109">
        <v>8596942.30541962</v>
      </c>
      <c r="E77" s="109">
        <v>8694074.53454091</v>
      </c>
      <c r="F77" s="109">
        <v>8771426.287492229</v>
      </c>
      <c r="H77" s="241">
        <f t="shared" si="6"/>
        <v>1</v>
      </c>
      <c r="I77" s="241">
        <f t="shared" si="7"/>
        <v>1.010884806570132</v>
      </c>
      <c r="J77" s="241">
        <f t="shared" si="8"/>
        <v>1.0110320540373443</v>
      </c>
      <c r="K77" s="241">
        <f t="shared" si="9"/>
        <v>1.0112984623684234</v>
      </c>
      <c r="L77" s="241">
        <f t="shared" si="10"/>
        <v>1.0088970657709462</v>
      </c>
    </row>
    <row r="78" spans="1:12" ht="12.75">
      <c r="A78" t="s">
        <v>215</v>
      </c>
      <c r="B78" s="109">
        <v>4841862.296506287</v>
      </c>
      <c r="C78" s="109">
        <v>4884013.732511099</v>
      </c>
      <c r="D78" s="109">
        <v>4961586.789646186</v>
      </c>
      <c r="E78" s="109">
        <v>5072290.7988284305</v>
      </c>
      <c r="F78" s="109">
        <v>5154640.825536654</v>
      </c>
      <c r="H78" s="241">
        <f t="shared" si="6"/>
        <v>1</v>
      </c>
      <c r="I78" s="241">
        <f t="shared" si="7"/>
        <v>1.008705624700485</v>
      </c>
      <c r="J78" s="241">
        <f t="shared" si="8"/>
        <v>1.0158830546725761</v>
      </c>
      <c r="K78" s="241">
        <f t="shared" si="9"/>
        <v>1.0223122186259568</v>
      </c>
      <c r="L78" s="241">
        <f t="shared" si="10"/>
        <v>1.0162352731683373</v>
      </c>
    </row>
    <row r="79" spans="1:12" ht="12.75">
      <c r="A79" t="s">
        <v>216</v>
      </c>
      <c r="B79" s="109">
        <v>2222837.13897476</v>
      </c>
      <c r="C79" s="109">
        <v>2235520.797131548</v>
      </c>
      <c r="D79" s="109">
        <v>2275168.040367519</v>
      </c>
      <c r="E79" s="109">
        <v>2315512.808759398</v>
      </c>
      <c r="F79" s="109">
        <v>2357422.1501485733</v>
      </c>
      <c r="H79" s="241">
        <f t="shared" si="6"/>
        <v>1</v>
      </c>
      <c r="I79" s="241">
        <f t="shared" si="7"/>
        <v>1.0057060672302056</v>
      </c>
      <c r="J79" s="241">
        <f t="shared" si="8"/>
        <v>1.0177351260998526</v>
      </c>
      <c r="K79" s="241">
        <f t="shared" si="9"/>
        <v>1.0177326543253313</v>
      </c>
      <c r="L79" s="241">
        <f t="shared" si="10"/>
        <v>1.0180993779134522</v>
      </c>
    </row>
    <row r="80" spans="1:12" ht="12.75">
      <c r="A80" t="s">
        <v>217</v>
      </c>
      <c r="B80" s="109">
        <v>29581094.32624525</v>
      </c>
      <c r="C80" s="109">
        <v>30138263.516358588</v>
      </c>
      <c r="D80" s="109">
        <v>30749363.319098596</v>
      </c>
      <c r="E80" s="109">
        <v>31407418.645130306</v>
      </c>
      <c r="F80" s="109">
        <v>31803627.934981864</v>
      </c>
      <c r="H80" s="241">
        <f t="shared" si="6"/>
        <v>1</v>
      </c>
      <c r="I80" s="241">
        <f t="shared" si="7"/>
        <v>1.0188353136624497</v>
      </c>
      <c r="J80" s="241">
        <f t="shared" si="8"/>
        <v>1.0202765432191643</v>
      </c>
      <c r="K80" s="241">
        <f t="shared" si="9"/>
        <v>1.0214006163055411</v>
      </c>
      <c r="L80" s="241">
        <f t="shared" si="10"/>
        <v>1.0126151497621723</v>
      </c>
    </row>
    <row r="81" spans="1:12" ht="12.75">
      <c r="A81" t="s">
        <v>218</v>
      </c>
      <c r="B81" s="109">
        <v>37714594.459376</v>
      </c>
      <c r="C81" s="109">
        <v>37999396.79788074</v>
      </c>
      <c r="D81" s="109">
        <v>38212903.02092786</v>
      </c>
      <c r="E81" s="109">
        <v>38551907.05314641</v>
      </c>
      <c r="F81" s="109">
        <v>38884400.682883464</v>
      </c>
      <c r="H81" s="241">
        <f t="shared" si="6"/>
        <v>1</v>
      </c>
      <c r="I81" s="241">
        <f t="shared" si="7"/>
        <v>1.0075515153374248</v>
      </c>
      <c r="J81" s="241">
        <f t="shared" si="8"/>
        <v>1.0056186740063997</v>
      </c>
      <c r="K81" s="241">
        <f t="shared" si="9"/>
        <v>1.0088714545459392</v>
      </c>
      <c r="L81" s="241">
        <f t="shared" si="10"/>
        <v>1.0086245702262846</v>
      </c>
    </row>
    <row r="82" spans="1:12" ht="12.75">
      <c r="A82" t="s">
        <v>219</v>
      </c>
      <c r="B82" s="109">
        <v>32038127.316199597</v>
      </c>
      <c r="C82" s="109">
        <v>32972324.849949285</v>
      </c>
      <c r="D82" s="109">
        <v>33819000.731177166</v>
      </c>
      <c r="E82" s="109">
        <v>34647911.4637913</v>
      </c>
      <c r="F82" s="109">
        <v>35548128.15689521</v>
      </c>
      <c r="H82" s="241">
        <f t="shared" si="6"/>
        <v>1</v>
      </c>
      <c r="I82" s="241">
        <f t="shared" si="7"/>
        <v>1.0291589306868547</v>
      </c>
      <c r="J82" s="241">
        <f t="shared" si="8"/>
        <v>1.0256783798255338</v>
      </c>
      <c r="K82" s="241">
        <f t="shared" si="9"/>
        <v>1.0245102077143864</v>
      </c>
      <c r="L82" s="241">
        <f t="shared" si="10"/>
        <v>1.0259818458046073</v>
      </c>
    </row>
    <row r="83" spans="1:12" ht="12.75">
      <c r="A83" t="s">
        <v>220</v>
      </c>
      <c r="B83" s="109">
        <v>9715651.238638232</v>
      </c>
      <c r="C83" s="109">
        <v>10011206.996767873</v>
      </c>
      <c r="D83" s="109">
        <v>10119117.482488995</v>
      </c>
      <c r="E83" s="109">
        <v>10320048.422380086</v>
      </c>
      <c r="F83" s="109">
        <v>10526005.761922572</v>
      </c>
      <c r="H83" s="241">
        <f t="shared" si="6"/>
        <v>1</v>
      </c>
      <c r="I83" s="241">
        <f t="shared" si="7"/>
        <v>1.0304205812734657</v>
      </c>
      <c r="J83" s="241">
        <f t="shared" si="8"/>
        <v>1.0107789685855024</v>
      </c>
      <c r="K83" s="241">
        <f t="shared" si="9"/>
        <v>1.019856567555303</v>
      </c>
      <c r="L83" s="241">
        <f t="shared" si="10"/>
        <v>1.019957012904692</v>
      </c>
    </row>
    <row r="84" spans="1:12" ht="12.75">
      <c r="A84" t="s">
        <v>221</v>
      </c>
      <c r="B84" s="109">
        <v>4896438.283284147</v>
      </c>
      <c r="C84" s="109">
        <v>4975913.287250922</v>
      </c>
      <c r="D84" s="109">
        <v>5058942.66302671</v>
      </c>
      <c r="E84" s="109">
        <v>5143315.456316211</v>
      </c>
      <c r="F84" s="109">
        <v>5232272.3082712</v>
      </c>
      <c r="H84" s="241">
        <f t="shared" si="6"/>
        <v>1</v>
      </c>
      <c r="I84" s="241">
        <f t="shared" si="7"/>
        <v>1.0162311867052614</v>
      </c>
      <c r="J84" s="241">
        <f t="shared" si="8"/>
        <v>1.0166862585786056</v>
      </c>
      <c r="K84" s="241">
        <f t="shared" si="9"/>
        <v>1.0166779500993637</v>
      </c>
      <c r="L84" s="241">
        <f t="shared" si="10"/>
        <v>1.0172956243323061</v>
      </c>
    </row>
    <row r="85" spans="1:12" ht="12.75">
      <c r="A85" t="s">
        <v>222</v>
      </c>
      <c r="B85" s="109">
        <v>47171127.30412022</v>
      </c>
      <c r="C85" s="109">
        <v>47709096.786884695</v>
      </c>
      <c r="D85" s="109">
        <v>48301208.54144117</v>
      </c>
      <c r="E85" s="109">
        <v>48755555.42254882</v>
      </c>
      <c r="F85" s="109">
        <v>49299350.60382785</v>
      </c>
      <c r="H85" s="241">
        <f t="shared" si="6"/>
        <v>1</v>
      </c>
      <c r="I85" s="241">
        <f t="shared" si="7"/>
        <v>1.0114046348584398</v>
      </c>
      <c r="J85" s="241">
        <f t="shared" si="8"/>
        <v>1.0124108774727265</v>
      </c>
      <c r="K85" s="241">
        <f t="shared" si="9"/>
        <v>1.009406532358664</v>
      </c>
      <c r="L85" s="241">
        <f t="shared" si="10"/>
        <v>1.0111535019253934</v>
      </c>
    </row>
    <row r="86" spans="1:12" ht="12.75">
      <c r="A86" t="s">
        <v>224</v>
      </c>
      <c r="B86" s="109">
        <v>22472035.291660458</v>
      </c>
      <c r="C86" s="109">
        <v>22890575.37010725</v>
      </c>
      <c r="D86" s="109">
        <v>23360853.970386136</v>
      </c>
      <c r="E86" s="109">
        <v>23716236.42880831</v>
      </c>
      <c r="F86" s="109">
        <v>23974250.911144543</v>
      </c>
      <c r="H86" s="241">
        <f t="shared" si="6"/>
        <v>1</v>
      </c>
      <c r="I86" s="241">
        <f t="shared" si="7"/>
        <v>1.0186249297411043</v>
      </c>
      <c r="J86" s="241">
        <f t="shared" si="8"/>
        <v>1.0205446386853614</v>
      </c>
      <c r="K86" s="241">
        <f t="shared" si="9"/>
        <v>1.0152127340410022</v>
      </c>
      <c r="L86" s="241">
        <f t="shared" si="10"/>
        <v>1.010879233857815</v>
      </c>
    </row>
    <row r="87" spans="1:12" ht="12.75">
      <c r="A87" t="s">
        <v>225</v>
      </c>
      <c r="B87" s="109">
        <v>43581423.40763996</v>
      </c>
      <c r="C87" s="109">
        <v>44565591.571609564</v>
      </c>
      <c r="D87" s="109">
        <v>45499711.109917544</v>
      </c>
      <c r="E87" s="109">
        <v>46434397.42337288</v>
      </c>
      <c r="F87" s="109">
        <v>47431894.40870623</v>
      </c>
      <c r="H87" s="241">
        <f t="shared" si="6"/>
        <v>1</v>
      </c>
      <c r="I87" s="241">
        <f t="shared" si="7"/>
        <v>1.0225822859148992</v>
      </c>
      <c r="J87" s="241">
        <f t="shared" si="8"/>
        <v>1.020960555113624</v>
      </c>
      <c r="K87" s="241">
        <f t="shared" si="9"/>
        <v>1.0205426867699738</v>
      </c>
      <c r="L87" s="241">
        <f t="shared" si="10"/>
        <v>1.021481854846495</v>
      </c>
    </row>
    <row r="88" spans="1:12" ht="12.75">
      <c r="A88" t="s">
        <v>226</v>
      </c>
      <c r="B88" s="109">
        <v>68925701.6342178</v>
      </c>
      <c r="C88" s="109">
        <v>70564177.86005877</v>
      </c>
      <c r="D88" s="109">
        <v>71985634.6821972</v>
      </c>
      <c r="E88" s="109">
        <v>73509734.8068567</v>
      </c>
      <c r="F88" s="109">
        <v>75037116.95309126</v>
      </c>
      <c r="H88" s="241">
        <f t="shared" si="6"/>
        <v>1</v>
      </c>
      <c r="I88" s="241">
        <f t="shared" si="7"/>
        <v>1.023771629261552</v>
      </c>
      <c r="J88" s="241">
        <f t="shared" si="8"/>
        <v>1.020144170388514</v>
      </c>
      <c r="K88" s="241">
        <f t="shared" si="9"/>
        <v>1.0211722815446183</v>
      </c>
      <c r="L88" s="241">
        <f t="shared" si="10"/>
        <v>1.0207779575079095</v>
      </c>
    </row>
    <row r="89" spans="1:12" ht="12.75">
      <c r="A89" t="s">
        <v>227</v>
      </c>
      <c r="B89" s="109">
        <v>22140170.0857254</v>
      </c>
      <c r="C89" s="109">
        <v>22502850.01334513</v>
      </c>
      <c r="D89" s="109">
        <v>22870873.93669414</v>
      </c>
      <c r="E89" s="109">
        <v>23075197.509366725</v>
      </c>
      <c r="F89" s="109">
        <v>23331980.975203875</v>
      </c>
      <c r="H89" s="241">
        <f t="shared" si="6"/>
        <v>1</v>
      </c>
      <c r="I89" s="241">
        <f t="shared" si="7"/>
        <v>1.0163810813654752</v>
      </c>
      <c r="J89" s="241">
        <f t="shared" si="8"/>
        <v>1.016354547229829</v>
      </c>
      <c r="K89" s="241">
        <f t="shared" si="9"/>
        <v>1.0089337894668189</v>
      </c>
      <c r="L89" s="241">
        <f t="shared" si="10"/>
        <v>1.0111281156199385</v>
      </c>
    </row>
    <row r="90" spans="1:12" ht="12.75">
      <c r="A90" t="s">
        <v>228</v>
      </c>
      <c r="B90" s="109">
        <v>13013964.105450368</v>
      </c>
      <c r="C90" s="109">
        <v>13092220.299840858</v>
      </c>
      <c r="D90" s="109">
        <v>13399391.133374372</v>
      </c>
      <c r="E90" s="109">
        <v>13486260.077530084</v>
      </c>
      <c r="F90" s="109">
        <v>13702608.724130984</v>
      </c>
      <c r="H90" s="241">
        <f t="shared" si="6"/>
        <v>1</v>
      </c>
      <c r="I90" s="241">
        <f t="shared" si="7"/>
        <v>1.0060132480585002</v>
      </c>
      <c r="J90" s="241">
        <f t="shared" si="8"/>
        <v>1.0234620886678212</v>
      </c>
      <c r="K90" s="241">
        <f t="shared" si="9"/>
        <v>1.0064830516021988</v>
      </c>
      <c r="L90" s="241">
        <f t="shared" si="10"/>
        <v>1.0160421529287698</v>
      </c>
    </row>
    <row r="91" spans="1:12" ht="12.75">
      <c r="A91" t="s">
        <v>229</v>
      </c>
      <c r="B91" s="109">
        <v>4650364.985780451</v>
      </c>
      <c r="C91" s="109">
        <v>4734270.579343375</v>
      </c>
      <c r="D91" s="109">
        <v>4819061.329858595</v>
      </c>
      <c r="E91" s="109">
        <v>4906143.85119567</v>
      </c>
      <c r="F91" s="109">
        <v>4996876.000721092</v>
      </c>
      <c r="H91" s="241">
        <f t="shared" si="6"/>
        <v>1</v>
      </c>
      <c r="I91" s="241">
        <f t="shared" si="7"/>
        <v>1.0180427974620236</v>
      </c>
      <c r="J91" s="241">
        <f t="shared" si="8"/>
        <v>1.0179099924886381</v>
      </c>
      <c r="K91" s="241">
        <f t="shared" si="9"/>
        <v>1.0180704322639593</v>
      </c>
      <c r="L91" s="241">
        <f t="shared" si="10"/>
        <v>1.0184935770897363</v>
      </c>
    </row>
    <row r="92" spans="1:12" ht="12.75">
      <c r="A92" t="s">
        <v>230</v>
      </c>
      <c r="B92" s="109">
        <v>102066028.81780389</v>
      </c>
      <c r="C92" s="109">
        <v>103859576.16265467</v>
      </c>
      <c r="D92" s="109">
        <v>105607065.5627301</v>
      </c>
      <c r="E92" s="109">
        <v>107214337.73466346</v>
      </c>
      <c r="F92" s="109">
        <v>109156193.13440484</v>
      </c>
      <c r="H92" s="241">
        <f t="shared" si="6"/>
        <v>1</v>
      </c>
      <c r="I92" s="241">
        <f t="shared" si="7"/>
        <v>1.0175724221430462</v>
      </c>
      <c r="J92" s="241">
        <f t="shared" si="8"/>
        <v>1.0168255009758436</v>
      </c>
      <c r="K92" s="241">
        <f t="shared" si="9"/>
        <v>1.0152193621077241</v>
      </c>
      <c r="L92" s="241">
        <f t="shared" si="10"/>
        <v>1.0181119003369412</v>
      </c>
    </row>
    <row r="93" spans="1:12" ht="12.75">
      <c r="A93" t="s">
        <v>231</v>
      </c>
      <c r="B93" s="109">
        <v>22639976.730821777</v>
      </c>
      <c r="C93" s="109">
        <v>22838847.426448792</v>
      </c>
      <c r="D93" s="109">
        <v>22888742.495292805</v>
      </c>
      <c r="E93" s="109">
        <v>22887932.70448289</v>
      </c>
      <c r="F93" s="109">
        <v>23067915.159442395</v>
      </c>
      <c r="H93" s="241">
        <f t="shared" si="6"/>
        <v>1</v>
      </c>
      <c r="I93" s="241">
        <f t="shared" si="7"/>
        <v>1.0087840503544456</v>
      </c>
      <c r="J93" s="241">
        <f t="shared" si="8"/>
        <v>1.0021846579169416</v>
      </c>
      <c r="K93" s="241">
        <f t="shared" si="9"/>
        <v>0.999964620563577</v>
      </c>
      <c r="L93" s="241">
        <f t="shared" si="10"/>
        <v>1.0078636396429221</v>
      </c>
    </row>
    <row r="94" spans="1:12" ht="12.75">
      <c r="A94" t="s">
        <v>232</v>
      </c>
      <c r="B94" s="109">
        <v>20049005.75305701</v>
      </c>
      <c r="C94" s="109">
        <v>20683123.422440317</v>
      </c>
      <c r="D94" s="109">
        <v>21198310.975076072</v>
      </c>
      <c r="E94" s="109">
        <v>21777621.434810635</v>
      </c>
      <c r="F94" s="109">
        <v>22391679.74383391</v>
      </c>
      <c r="H94" s="241">
        <f t="shared" si="6"/>
        <v>1</v>
      </c>
      <c r="I94" s="241">
        <f t="shared" si="7"/>
        <v>1.0316283848283407</v>
      </c>
      <c r="J94" s="241">
        <f t="shared" si="8"/>
        <v>1.0249085953853951</v>
      </c>
      <c r="K94" s="241">
        <f t="shared" si="9"/>
        <v>1.0273281423418916</v>
      </c>
      <c r="L94" s="241">
        <f t="shared" si="10"/>
        <v>1.0281967574310815</v>
      </c>
    </row>
    <row r="95" spans="1:12" ht="12.75">
      <c r="A95" t="s">
        <v>233</v>
      </c>
      <c r="B95" s="109">
        <v>18014286.866258852</v>
      </c>
      <c r="C95" s="109">
        <v>18149810.45091715</v>
      </c>
      <c r="D95" s="109">
        <v>18308819.22779388</v>
      </c>
      <c r="E95" s="109">
        <v>18475111.371740498</v>
      </c>
      <c r="F95" s="109">
        <v>18758984.805909544</v>
      </c>
      <c r="H95" s="241">
        <f t="shared" si="6"/>
        <v>1</v>
      </c>
      <c r="I95" s="241">
        <f t="shared" si="7"/>
        <v>1.007523116827463</v>
      </c>
      <c r="J95" s="241">
        <f t="shared" si="8"/>
        <v>1.0087609056472926</v>
      </c>
      <c r="K95" s="241">
        <f t="shared" si="9"/>
        <v>1.0090826252571317</v>
      </c>
      <c r="L95" s="241">
        <f t="shared" si="10"/>
        <v>1.015365181213644</v>
      </c>
    </row>
    <row r="96" spans="1:12" ht="12.75">
      <c r="A96" t="s">
        <v>234</v>
      </c>
      <c r="B96" s="109">
        <v>2488820.258428399</v>
      </c>
      <c r="C96" s="109">
        <v>2494028.1399304075</v>
      </c>
      <c r="D96" s="109">
        <v>2534464.2195477346</v>
      </c>
      <c r="E96" s="109">
        <v>2576258.7174259285</v>
      </c>
      <c r="F96" s="109">
        <v>2582000.5318061677</v>
      </c>
      <c r="H96" s="241">
        <f t="shared" si="6"/>
        <v>1</v>
      </c>
      <c r="I96" s="241">
        <f t="shared" si="7"/>
        <v>1.0020925100896185</v>
      </c>
      <c r="J96" s="241">
        <f t="shared" si="8"/>
        <v>1.0162131609382945</v>
      </c>
      <c r="K96" s="241">
        <f t="shared" si="9"/>
        <v>1.0164904667250154</v>
      </c>
      <c r="L96" s="241">
        <f t="shared" si="10"/>
        <v>1.0022287413687925</v>
      </c>
    </row>
    <row r="97" spans="1:12" ht="12.75">
      <c r="A97" t="s">
        <v>235</v>
      </c>
      <c r="B97" s="109">
        <v>15781341.122957245</v>
      </c>
      <c r="C97" s="109">
        <v>15943078.81255597</v>
      </c>
      <c r="D97" s="109">
        <v>16013313.241968462</v>
      </c>
      <c r="E97" s="109">
        <v>16147807.397930581</v>
      </c>
      <c r="F97" s="109">
        <v>16262612.585182067</v>
      </c>
      <c r="H97" s="241">
        <f t="shared" si="6"/>
        <v>1</v>
      </c>
      <c r="I97" s="241">
        <f t="shared" si="7"/>
        <v>1.0102486657083565</v>
      </c>
      <c r="J97" s="241">
        <f t="shared" si="8"/>
        <v>1.0044053241057291</v>
      </c>
      <c r="K97" s="241">
        <f t="shared" si="9"/>
        <v>1.0083988962140347</v>
      </c>
      <c r="L97" s="241">
        <f t="shared" si="10"/>
        <v>1.0071096455650195</v>
      </c>
    </row>
    <row r="98" spans="1:12" ht="12.75">
      <c r="A98" t="s">
        <v>236</v>
      </c>
      <c r="B98" s="109">
        <v>113689971.3893519</v>
      </c>
      <c r="C98" s="109">
        <v>116240673.57773063</v>
      </c>
      <c r="D98" s="109">
        <v>118859668.55278416</v>
      </c>
      <c r="E98" s="109">
        <v>121249603.32974625</v>
      </c>
      <c r="F98" s="109">
        <v>123825953.29639693</v>
      </c>
      <c r="H98" s="241">
        <f t="shared" si="6"/>
        <v>1</v>
      </c>
      <c r="I98" s="241">
        <f t="shared" si="7"/>
        <v>1.0224355953054416</v>
      </c>
      <c r="J98" s="241">
        <f t="shared" si="8"/>
        <v>1.0225307966174353</v>
      </c>
      <c r="K98" s="241">
        <f t="shared" si="9"/>
        <v>1.020107197050619</v>
      </c>
      <c r="L98" s="241">
        <f t="shared" si="10"/>
        <v>1.0212483166616564</v>
      </c>
    </row>
    <row r="99" spans="1:12" ht="12.75">
      <c r="A99" t="s">
        <v>237</v>
      </c>
      <c r="B99" s="109">
        <v>9833707.258490762</v>
      </c>
      <c r="C99" s="109">
        <v>10101518.62159371</v>
      </c>
      <c r="D99" s="109">
        <v>10248471.374904761</v>
      </c>
      <c r="E99" s="109">
        <v>10460726.188063668</v>
      </c>
      <c r="F99" s="109">
        <v>10634331.822213737</v>
      </c>
      <c r="H99" s="241">
        <f t="shared" si="6"/>
        <v>1</v>
      </c>
      <c r="I99" s="241">
        <f t="shared" si="7"/>
        <v>1.027234018266276</v>
      </c>
      <c r="J99" s="241">
        <f t="shared" si="8"/>
        <v>1.0145475902006371</v>
      </c>
      <c r="K99" s="241">
        <f t="shared" si="9"/>
        <v>1.020710875348557</v>
      </c>
      <c r="L99" s="241">
        <f t="shared" si="10"/>
        <v>1.01659594477754</v>
      </c>
    </row>
    <row r="100" spans="1:12" ht="12.75">
      <c r="A100" t="s">
        <v>238</v>
      </c>
      <c r="B100" s="109">
        <v>6404365.998020067</v>
      </c>
      <c r="C100" s="109">
        <v>6512381.318625243</v>
      </c>
      <c r="D100" s="109">
        <v>6621159.058375592</v>
      </c>
      <c r="E100" s="109">
        <v>6731697.037144295</v>
      </c>
      <c r="F100" s="109">
        <v>6846121.503068983</v>
      </c>
      <c r="H100" s="241">
        <f t="shared" si="6"/>
        <v>1</v>
      </c>
      <c r="I100" s="241">
        <f t="shared" si="7"/>
        <v>1.016865888151703</v>
      </c>
      <c r="J100" s="241">
        <f t="shared" si="8"/>
        <v>1.0167032202858342</v>
      </c>
      <c r="K100" s="241">
        <f t="shared" si="9"/>
        <v>1.0166946569013282</v>
      </c>
      <c r="L100" s="241">
        <f t="shared" si="10"/>
        <v>1.016997863286674</v>
      </c>
    </row>
    <row r="101" spans="1:12" ht="12.75">
      <c r="A101" t="s">
        <v>239</v>
      </c>
      <c r="B101" s="109">
        <v>33807951.26320095</v>
      </c>
      <c r="C101" s="109">
        <v>34562888.90631021</v>
      </c>
      <c r="D101" s="109">
        <v>35521222.038422555</v>
      </c>
      <c r="E101" s="109">
        <v>36381720.32583101</v>
      </c>
      <c r="F101" s="109">
        <v>37140354.88266174</v>
      </c>
      <c r="H101" s="241">
        <f t="shared" si="6"/>
        <v>1</v>
      </c>
      <c r="I101" s="241">
        <f t="shared" si="7"/>
        <v>1.0223301801766078</v>
      </c>
      <c r="J101" s="241">
        <f t="shared" si="8"/>
        <v>1.0277272288988952</v>
      </c>
      <c r="K101" s="241">
        <f t="shared" si="9"/>
        <v>1.0242249066340587</v>
      </c>
      <c r="L101" s="241">
        <f t="shared" si="10"/>
        <v>1.0208520803864267</v>
      </c>
    </row>
    <row r="102" spans="1:12" ht="12.75">
      <c r="A102" t="s">
        <v>240</v>
      </c>
      <c r="B102" s="109">
        <v>5273025.360808075</v>
      </c>
      <c r="C102" s="109">
        <v>5312011.743710225</v>
      </c>
      <c r="D102" s="109">
        <v>5421389.0351425065</v>
      </c>
      <c r="E102" s="109">
        <v>5531306.427317657</v>
      </c>
      <c r="F102" s="109">
        <v>5610062.9859412275</v>
      </c>
      <c r="H102" s="241">
        <f t="shared" si="6"/>
        <v>1</v>
      </c>
      <c r="I102" s="241">
        <f t="shared" si="7"/>
        <v>1.0073935511844714</v>
      </c>
      <c r="J102" s="241">
        <f t="shared" si="8"/>
        <v>1.020590559040422</v>
      </c>
      <c r="K102" s="241">
        <f t="shared" si="9"/>
        <v>1.0202747656481843</v>
      </c>
      <c r="L102" s="241">
        <f t="shared" si="10"/>
        <v>1.0142383286224415</v>
      </c>
    </row>
    <row r="103" spans="1:12" ht="12.75">
      <c r="A103" t="s">
        <v>241</v>
      </c>
      <c r="B103" s="109">
        <v>5685479.552688871</v>
      </c>
      <c r="C103" s="109">
        <v>5793294.624936825</v>
      </c>
      <c r="D103" s="109">
        <v>5900856.978224218</v>
      </c>
      <c r="E103" s="109">
        <v>6015105.7186219</v>
      </c>
      <c r="F103" s="109">
        <v>6130377.693916408</v>
      </c>
      <c r="H103" s="241">
        <f t="shared" si="6"/>
        <v>1</v>
      </c>
      <c r="I103" s="241">
        <f t="shared" si="7"/>
        <v>1.018963232784289</v>
      </c>
      <c r="J103" s="241">
        <f t="shared" si="8"/>
        <v>1.0185666982694783</v>
      </c>
      <c r="K103" s="241">
        <f t="shared" si="9"/>
        <v>1.0193613810365667</v>
      </c>
      <c r="L103" s="241">
        <f t="shared" si="10"/>
        <v>1.0191637488494412</v>
      </c>
    </row>
    <row r="104" spans="1:12" ht="12.75">
      <c r="A104" t="s">
        <v>242</v>
      </c>
      <c r="B104" s="109">
        <v>101213165.98096046</v>
      </c>
      <c r="C104" s="109">
        <v>102898579.3302702</v>
      </c>
      <c r="D104" s="109">
        <v>104908110.22892806</v>
      </c>
      <c r="E104" s="109">
        <v>106483608.20038715</v>
      </c>
      <c r="F104" s="109">
        <v>108010706.83797808</v>
      </c>
      <c r="H104" s="241">
        <f t="shared" si="6"/>
        <v>1</v>
      </c>
      <c r="I104" s="241">
        <f t="shared" si="7"/>
        <v>1.016652115690431</v>
      </c>
      <c r="J104" s="241">
        <f t="shared" si="8"/>
        <v>1.019529238515606</v>
      </c>
      <c r="K104" s="241">
        <f t="shared" si="9"/>
        <v>1.015017885347673</v>
      </c>
      <c r="L104" s="241">
        <f t="shared" si="10"/>
        <v>1.014341161643557</v>
      </c>
    </row>
    <row r="105" spans="1:12" ht="12.75">
      <c r="A105" t="s">
        <v>243</v>
      </c>
      <c r="B105" s="109">
        <v>207949305.34554672</v>
      </c>
      <c r="C105" s="109">
        <v>211027100.42655572</v>
      </c>
      <c r="D105" s="109">
        <v>214245943.54051846</v>
      </c>
      <c r="E105" s="109">
        <v>217412773.99789014</v>
      </c>
      <c r="F105" s="109">
        <v>220870688.54475215</v>
      </c>
      <c r="H105" s="241">
        <f t="shared" si="6"/>
        <v>1</v>
      </c>
      <c r="I105" s="241">
        <f t="shared" si="7"/>
        <v>1.0148006990256335</v>
      </c>
      <c r="J105" s="241">
        <f t="shared" si="8"/>
        <v>1.0152532215410077</v>
      </c>
      <c r="K105" s="241">
        <f t="shared" si="9"/>
        <v>1.01478128549385</v>
      </c>
      <c r="L105" s="241">
        <f t="shared" si="10"/>
        <v>1.0159048361477396</v>
      </c>
    </row>
    <row r="106" spans="1:12" ht="12.75">
      <c r="A106" t="s">
        <v>244</v>
      </c>
      <c r="B106" s="109">
        <v>13668861.843986306</v>
      </c>
      <c r="C106" s="109">
        <v>13918149.633035658</v>
      </c>
      <c r="D106" s="109">
        <v>14269433.676549848</v>
      </c>
      <c r="E106" s="109">
        <v>14552713.442135485</v>
      </c>
      <c r="F106" s="109">
        <v>14819754.240473002</v>
      </c>
      <c r="H106" s="241">
        <f t="shared" si="6"/>
        <v>1</v>
      </c>
      <c r="I106" s="241">
        <f t="shared" si="7"/>
        <v>1.0182376405508136</v>
      </c>
      <c r="J106" s="241">
        <f t="shared" si="8"/>
        <v>1.025239277689643</v>
      </c>
      <c r="K106" s="241">
        <f t="shared" si="9"/>
        <v>1.0198522080137753</v>
      </c>
      <c r="L106" s="241">
        <f t="shared" si="10"/>
        <v>1.0183498973850702</v>
      </c>
    </row>
    <row r="107" spans="1:12" ht="12.75">
      <c r="A107" t="s">
        <v>245</v>
      </c>
      <c r="B107" s="109">
        <v>15860539.786227329</v>
      </c>
      <c r="C107" s="109">
        <v>16084051.085483095</v>
      </c>
      <c r="D107" s="109">
        <v>16514856.972456466</v>
      </c>
      <c r="E107" s="109">
        <v>16768774.684236849</v>
      </c>
      <c r="F107" s="109">
        <v>16941244.746040747</v>
      </c>
      <c r="H107" s="241">
        <f t="shared" si="6"/>
        <v>1</v>
      </c>
      <c r="I107" s="241">
        <f t="shared" si="7"/>
        <v>1.0140922882996615</v>
      </c>
      <c r="J107" s="241">
        <f t="shared" si="8"/>
        <v>1.0267846629362054</v>
      </c>
      <c r="K107" s="241">
        <f t="shared" si="9"/>
        <v>1.0153751081346856</v>
      </c>
      <c r="L107" s="241">
        <f t="shared" si="10"/>
        <v>1.01028519167629</v>
      </c>
    </row>
    <row r="108" spans="1:12" ht="12.75">
      <c r="A108" t="s">
        <v>246</v>
      </c>
      <c r="B108" s="109">
        <v>22737829.736462466</v>
      </c>
      <c r="C108" s="109">
        <v>22813818.917026713</v>
      </c>
      <c r="D108" s="109">
        <v>22922640.576971263</v>
      </c>
      <c r="E108" s="109">
        <v>22704252.59818221</v>
      </c>
      <c r="F108" s="109">
        <v>22810883.052829843</v>
      </c>
      <c r="H108" s="241">
        <f t="shared" si="6"/>
        <v>1</v>
      </c>
      <c r="I108" s="241">
        <f t="shared" si="7"/>
        <v>1.003341971570945</v>
      </c>
      <c r="J108" s="241">
        <f t="shared" si="8"/>
        <v>1.004769988766034</v>
      </c>
      <c r="K108" s="241">
        <f t="shared" si="9"/>
        <v>0.9904728262847495</v>
      </c>
      <c r="L108" s="241">
        <f t="shared" si="10"/>
        <v>1.0046964970190726</v>
      </c>
    </row>
    <row r="109" spans="1:12" ht="12.75">
      <c r="A109" t="s">
        <v>247</v>
      </c>
      <c r="B109" s="109">
        <v>5662860.184306391</v>
      </c>
      <c r="C109" s="109">
        <v>5728279.016017005</v>
      </c>
      <c r="D109" s="109">
        <v>5801181.315387604</v>
      </c>
      <c r="E109" s="109">
        <v>5825201.846305268</v>
      </c>
      <c r="F109" s="109">
        <v>5915805.055737245</v>
      </c>
      <c r="H109" s="241">
        <f t="shared" si="6"/>
        <v>1</v>
      </c>
      <c r="I109" s="241">
        <f t="shared" si="7"/>
        <v>1.0115522597382698</v>
      </c>
      <c r="J109" s="241">
        <f t="shared" si="8"/>
        <v>1.0127267368029307</v>
      </c>
      <c r="K109" s="241">
        <f t="shared" si="9"/>
        <v>1.0041406275052893</v>
      </c>
      <c r="L109" s="241">
        <f t="shared" si="10"/>
        <v>1.0155536600829451</v>
      </c>
    </row>
    <row r="110" spans="1:12" ht="12.75">
      <c r="A110" t="s">
        <v>248</v>
      </c>
      <c r="B110" s="109">
        <v>218279994.05016336</v>
      </c>
      <c r="C110" s="109">
        <v>224070365.04091477</v>
      </c>
      <c r="D110" s="109">
        <v>229834687.01777047</v>
      </c>
      <c r="E110" s="109">
        <v>236330977.61518908</v>
      </c>
      <c r="F110" s="109">
        <v>242588076.39329</v>
      </c>
      <c r="H110" s="241">
        <f t="shared" si="6"/>
        <v>1</v>
      </c>
      <c r="I110" s="241">
        <f t="shared" si="7"/>
        <v>1.026527263828955</v>
      </c>
      <c r="J110" s="241">
        <f t="shared" si="8"/>
        <v>1.0257254991118667</v>
      </c>
      <c r="K110" s="241">
        <f t="shared" si="9"/>
        <v>1.0282650572971013</v>
      </c>
      <c r="L110" s="241">
        <f t="shared" si="10"/>
        <v>1.0264759992161891</v>
      </c>
    </row>
    <row r="111" spans="1:12" ht="12.75">
      <c r="A111" t="s">
        <v>249</v>
      </c>
      <c r="B111" s="109">
        <v>9575853.345159585</v>
      </c>
      <c r="C111" s="109">
        <v>9712379.740425065</v>
      </c>
      <c r="D111" s="109">
        <v>9813877.82098324</v>
      </c>
      <c r="E111" s="109">
        <v>9958036.291949999</v>
      </c>
      <c r="F111" s="109">
        <v>10106632.466119258</v>
      </c>
      <c r="H111" s="241">
        <f t="shared" si="6"/>
        <v>1</v>
      </c>
      <c r="I111" s="241">
        <f t="shared" si="7"/>
        <v>1.0142573607118255</v>
      </c>
      <c r="J111" s="241">
        <f t="shared" si="8"/>
        <v>1.0104503822205095</v>
      </c>
      <c r="K111" s="241">
        <f t="shared" si="9"/>
        <v>1.0146892465543569</v>
      </c>
      <c r="L111" s="241">
        <f t="shared" si="10"/>
        <v>1.014922236655171</v>
      </c>
    </row>
    <row r="112" spans="1:12" ht="12.75">
      <c r="A112" t="s">
        <v>250</v>
      </c>
      <c r="B112" s="109">
        <v>48201482.08705458</v>
      </c>
      <c r="C112" s="109">
        <v>48449360.23010298</v>
      </c>
      <c r="D112" s="109">
        <v>48859299.69444989</v>
      </c>
      <c r="E112" s="109">
        <v>49346179.634618856</v>
      </c>
      <c r="F112" s="109">
        <v>50020254.99228977</v>
      </c>
      <c r="H112" s="241">
        <f t="shared" si="6"/>
        <v>1</v>
      </c>
      <c r="I112" s="241">
        <f t="shared" si="7"/>
        <v>1.005142541936796</v>
      </c>
      <c r="J112" s="241">
        <f t="shared" si="8"/>
        <v>1.0084611945833746</v>
      </c>
      <c r="K112" s="241">
        <f t="shared" si="9"/>
        <v>1.0099649389822154</v>
      </c>
      <c r="L112" s="241">
        <f t="shared" si="10"/>
        <v>1.01366013261132</v>
      </c>
    </row>
    <row r="113" spans="1:12" ht="12.75">
      <c r="A113" t="s">
        <v>251</v>
      </c>
      <c r="B113" s="109">
        <v>1915285.9577804268</v>
      </c>
      <c r="C113" s="109">
        <v>1956631.9534457924</v>
      </c>
      <c r="D113" s="109">
        <v>1997800.9982110264</v>
      </c>
      <c r="E113" s="109">
        <v>2037660.9152989353</v>
      </c>
      <c r="F113" s="109">
        <v>2081648.8531301417</v>
      </c>
      <c r="H113" s="241">
        <f t="shared" si="6"/>
        <v>1</v>
      </c>
      <c r="I113" s="241">
        <f t="shared" si="7"/>
        <v>1.0215873747193762</v>
      </c>
      <c r="J113" s="241">
        <f t="shared" si="8"/>
        <v>1.0210407709496576</v>
      </c>
      <c r="K113" s="241">
        <f t="shared" si="9"/>
        <v>1.0199518956710916</v>
      </c>
      <c r="L113" s="241">
        <f t="shared" si="10"/>
        <v>1.0215874670318998</v>
      </c>
    </row>
    <row r="114" spans="1:12" ht="12.75">
      <c r="A114" t="s">
        <v>252</v>
      </c>
      <c r="B114" s="109">
        <v>32290968.05073713</v>
      </c>
      <c r="C114" s="109">
        <v>32197064.901157513</v>
      </c>
      <c r="D114" s="109">
        <v>32536314.98162014</v>
      </c>
      <c r="E114" s="109">
        <v>32625960.49297325</v>
      </c>
      <c r="F114" s="109">
        <v>32789024.95246757</v>
      </c>
      <c r="H114" s="241">
        <f t="shared" si="6"/>
        <v>1</v>
      </c>
      <c r="I114" s="241">
        <f t="shared" si="7"/>
        <v>0.9970919685829154</v>
      </c>
      <c r="J114" s="241">
        <f t="shared" si="8"/>
        <v>1.0105366772252098</v>
      </c>
      <c r="K114" s="241">
        <f t="shared" si="9"/>
        <v>1.0027552447597017</v>
      </c>
      <c r="L114" s="241">
        <f t="shared" si="10"/>
        <v>1.004997997209291</v>
      </c>
    </row>
    <row r="115" spans="1:12" ht="12.75">
      <c r="A115" t="s">
        <v>312</v>
      </c>
      <c r="B115" s="109">
        <v>13952318.518851787</v>
      </c>
      <c r="C115" s="109">
        <v>14091567.726207497</v>
      </c>
      <c r="D115" s="109">
        <v>14279185.471684054</v>
      </c>
      <c r="E115" s="109">
        <v>14363811.249100745</v>
      </c>
      <c r="F115" s="109">
        <v>14614226.882869905</v>
      </c>
      <c r="H115" s="241">
        <f t="shared" si="6"/>
        <v>1</v>
      </c>
      <c r="I115" s="241">
        <f t="shared" si="7"/>
        <v>1.0099803632756492</v>
      </c>
      <c r="J115" s="241">
        <f t="shared" si="8"/>
        <v>1.0133141854137084</v>
      </c>
      <c r="K115" s="241">
        <f t="shared" si="9"/>
        <v>1.005926512936225</v>
      </c>
      <c r="L115" s="241">
        <f t="shared" si="10"/>
        <v>1.017433787553066</v>
      </c>
    </row>
    <row r="116" spans="1:12" ht="12.75">
      <c r="A116" t="s">
        <v>253</v>
      </c>
      <c r="B116" s="109">
        <v>2844085.99906161</v>
      </c>
      <c r="C116" s="109">
        <v>2885145.534237127</v>
      </c>
      <c r="D116" s="109">
        <v>2927419.6178097716</v>
      </c>
      <c r="E116" s="109">
        <v>2971669.5880049686</v>
      </c>
      <c r="F116" s="109">
        <v>3018582.6116385893</v>
      </c>
      <c r="H116" s="241">
        <f t="shared" si="6"/>
        <v>1</v>
      </c>
      <c r="I116" s="241">
        <f t="shared" si="7"/>
        <v>1.0144368121038057</v>
      </c>
      <c r="J116" s="241">
        <f t="shared" si="8"/>
        <v>1.0146523227584159</v>
      </c>
      <c r="K116" s="241">
        <f t="shared" si="9"/>
        <v>1.0151156909402363</v>
      </c>
      <c r="L116" s="241">
        <f t="shared" si="10"/>
        <v>1.0157867563146936</v>
      </c>
    </row>
    <row r="117" spans="1:12" ht="12.75">
      <c r="A117" t="s">
        <v>254</v>
      </c>
      <c r="B117" s="109">
        <v>8008742.540675767</v>
      </c>
      <c r="C117" s="109">
        <v>8124007.419202269</v>
      </c>
      <c r="D117" s="109">
        <v>8275437.914677799</v>
      </c>
      <c r="E117" s="109">
        <v>8376943.444759618</v>
      </c>
      <c r="F117" s="109">
        <v>8499346.823891472</v>
      </c>
      <c r="H117" s="241">
        <f t="shared" si="6"/>
        <v>1</v>
      </c>
      <c r="I117" s="241">
        <f t="shared" si="7"/>
        <v>1.0143923815681526</v>
      </c>
      <c r="J117" s="241">
        <f t="shared" si="8"/>
        <v>1.018639876561117</v>
      </c>
      <c r="K117" s="241">
        <f t="shared" si="9"/>
        <v>1.0122658802021562</v>
      </c>
      <c r="L117" s="241">
        <f t="shared" si="10"/>
        <v>1.014611938105948</v>
      </c>
    </row>
    <row r="118" spans="1:12" ht="12.75">
      <c r="A118" t="s">
        <v>255</v>
      </c>
      <c r="B118" s="109">
        <v>7853865.628344044</v>
      </c>
      <c r="C118" s="109">
        <v>7960755.2372161215</v>
      </c>
      <c r="D118" s="109">
        <v>8029380.140210189</v>
      </c>
      <c r="E118" s="109">
        <v>8078654.4094183445</v>
      </c>
      <c r="F118" s="109">
        <v>8256840.970597809</v>
      </c>
      <c r="H118" s="241">
        <f t="shared" si="6"/>
        <v>1</v>
      </c>
      <c r="I118" s="241">
        <f t="shared" si="7"/>
        <v>1.0136098087146181</v>
      </c>
      <c r="J118" s="241">
        <f t="shared" si="8"/>
        <v>1.0086204010736632</v>
      </c>
      <c r="K118" s="241">
        <f t="shared" si="9"/>
        <v>1.0061367463425221</v>
      </c>
      <c r="L118" s="241">
        <f t="shared" si="10"/>
        <v>1.0220564653652877</v>
      </c>
    </row>
    <row r="119" spans="1:12" ht="12.75">
      <c r="A119" t="s">
        <v>223</v>
      </c>
      <c r="B119" s="109">
        <v>15919900.030829249</v>
      </c>
      <c r="C119" s="109">
        <v>16130409.319413241</v>
      </c>
      <c r="D119" s="109">
        <v>16071610.248678543</v>
      </c>
      <c r="E119" s="109">
        <v>16281303.452891076</v>
      </c>
      <c r="F119" s="109">
        <v>16312048.625177344</v>
      </c>
      <c r="H119" s="241">
        <f t="shared" si="6"/>
        <v>1</v>
      </c>
      <c r="I119" s="241">
        <f t="shared" si="7"/>
        <v>1.01322302829643</v>
      </c>
      <c r="J119" s="241">
        <f t="shared" si="8"/>
        <v>0.9963547688362792</v>
      </c>
      <c r="K119" s="241">
        <f t="shared" si="9"/>
        <v>1.013047429658131</v>
      </c>
      <c r="L119" s="241">
        <f t="shared" si="10"/>
        <v>1.0018883729042474</v>
      </c>
    </row>
    <row r="120" spans="1:12" ht="12.75">
      <c r="A120" t="s">
        <v>129</v>
      </c>
      <c r="B120" s="109">
        <v>14965191.355082974</v>
      </c>
      <c r="C120" s="109">
        <v>15022080.423756408</v>
      </c>
      <c r="D120" s="109">
        <v>15115464.643461479</v>
      </c>
      <c r="E120" s="109">
        <v>15197968.480421415</v>
      </c>
      <c r="F120" s="109">
        <v>15328249.112878699</v>
      </c>
      <c r="H120" s="241">
        <f t="shared" si="6"/>
        <v>1</v>
      </c>
      <c r="I120" s="241">
        <f t="shared" si="7"/>
        <v>1.0038014260775965</v>
      </c>
      <c r="J120" s="241">
        <f t="shared" si="8"/>
        <v>1.0062164638366196</v>
      </c>
      <c r="K120" s="241">
        <f t="shared" si="9"/>
        <v>1.0054582402133185</v>
      </c>
      <c r="L120" s="241">
        <f t="shared" si="10"/>
        <v>1.0085722399428</v>
      </c>
    </row>
    <row r="121" spans="1:12" ht="12.75">
      <c r="A121" t="s">
        <v>256</v>
      </c>
      <c r="B121" s="109">
        <v>274701870.9772536</v>
      </c>
      <c r="C121" s="109">
        <v>280647340.0152929</v>
      </c>
      <c r="D121" s="109">
        <v>287209553.29105496</v>
      </c>
      <c r="E121" s="109">
        <v>293414113.87819237</v>
      </c>
      <c r="F121" s="109">
        <v>299478233.68212974</v>
      </c>
      <c r="H121" s="241">
        <f t="shared" si="6"/>
        <v>1</v>
      </c>
      <c r="I121" s="241">
        <f t="shared" si="7"/>
        <v>1.0216433510878111</v>
      </c>
      <c r="J121" s="241">
        <f t="shared" si="8"/>
        <v>1.0233824175044899</v>
      </c>
      <c r="K121" s="241">
        <f t="shared" si="9"/>
        <v>1.0216029046250066</v>
      </c>
      <c r="L121" s="241">
        <f t="shared" si="10"/>
        <v>1.0206674441245687</v>
      </c>
    </row>
    <row r="122" spans="1:12" ht="12.75">
      <c r="A122" t="s">
        <v>257</v>
      </c>
      <c r="B122" s="109">
        <v>17779466.13383795</v>
      </c>
      <c r="C122" s="109">
        <v>18281961.364198852</v>
      </c>
      <c r="D122" s="109">
        <v>18715765.034584083</v>
      </c>
      <c r="E122" s="109">
        <v>19223477.36854799</v>
      </c>
      <c r="F122" s="109">
        <v>19523756.576232817</v>
      </c>
      <c r="H122" s="241">
        <f t="shared" si="6"/>
        <v>1</v>
      </c>
      <c r="I122" s="241">
        <f t="shared" si="7"/>
        <v>1.0282626726009816</v>
      </c>
      <c r="J122" s="241">
        <f t="shared" si="8"/>
        <v>1.0237285082132783</v>
      </c>
      <c r="K122" s="241">
        <f t="shared" si="9"/>
        <v>1.0271275223334835</v>
      </c>
      <c r="L122" s="241">
        <f t="shared" si="10"/>
        <v>1.0156204417092674</v>
      </c>
    </row>
    <row r="123" spans="1:12" ht="12.75">
      <c r="A123" t="s">
        <v>258</v>
      </c>
      <c r="B123" s="109">
        <v>21005372.46947647</v>
      </c>
      <c r="C123" s="109">
        <v>21519265.9699901</v>
      </c>
      <c r="D123" s="109">
        <v>22063336.970840123</v>
      </c>
      <c r="E123" s="109">
        <v>22592517.699473884</v>
      </c>
      <c r="F123" s="109">
        <v>23048207.658861436</v>
      </c>
      <c r="H123" s="241">
        <f t="shared" si="6"/>
        <v>1</v>
      </c>
      <c r="I123" s="241">
        <f t="shared" si="7"/>
        <v>1.0244648601809079</v>
      </c>
      <c r="J123" s="241">
        <f t="shared" si="8"/>
        <v>1.0252829720869086</v>
      </c>
      <c r="K123" s="241">
        <f t="shared" si="9"/>
        <v>1.0239846188875759</v>
      </c>
      <c r="L123" s="241">
        <f t="shared" si="10"/>
        <v>1.0201699503105033</v>
      </c>
    </row>
    <row r="124" spans="1:12" ht="12.75">
      <c r="A124" t="s">
        <v>260</v>
      </c>
      <c r="B124" s="109">
        <v>22023371.28194409</v>
      </c>
      <c r="C124" s="109">
        <v>22262908.966368858</v>
      </c>
      <c r="D124" s="109">
        <v>22435996.183061812</v>
      </c>
      <c r="E124" s="109">
        <v>22729196.82078003</v>
      </c>
      <c r="F124" s="109">
        <v>22897984.54607024</v>
      </c>
      <c r="H124" s="241">
        <f t="shared" si="6"/>
        <v>1</v>
      </c>
      <c r="I124" s="241">
        <f t="shared" si="7"/>
        <v>1.0108765220981928</v>
      </c>
      <c r="J124" s="241">
        <f t="shared" si="8"/>
        <v>1.007774690044074</v>
      </c>
      <c r="K124" s="241">
        <f t="shared" si="9"/>
        <v>1.013068313763557</v>
      </c>
      <c r="L124" s="241">
        <f t="shared" si="10"/>
        <v>1.0074260312241168</v>
      </c>
    </row>
    <row r="125" spans="1:12" ht="12.75">
      <c r="A125" t="s">
        <v>261</v>
      </c>
      <c r="B125" s="109">
        <v>6890089.553336157</v>
      </c>
      <c r="C125" s="109">
        <v>6955061.4262406975</v>
      </c>
      <c r="D125" s="109">
        <v>7059688.004902365</v>
      </c>
      <c r="E125" s="109">
        <v>7165735.79076719</v>
      </c>
      <c r="F125" s="109">
        <v>7277400.03993614</v>
      </c>
      <c r="H125" s="241">
        <f t="shared" si="6"/>
        <v>1</v>
      </c>
      <c r="I125" s="241">
        <f t="shared" si="7"/>
        <v>1.009429757393078</v>
      </c>
      <c r="J125" s="241">
        <f t="shared" si="8"/>
        <v>1.015043228556821</v>
      </c>
      <c r="K125" s="241">
        <f t="shared" si="9"/>
        <v>1.015021596675545</v>
      </c>
      <c r="L125" s="241">
        <f t="shared" si="10"/>
        <v>1.0155830821048168</v>
      </c>
    </row>
    <row r="126" spans="1:12" ht="12.75">
      <c r="A126" t="s">
        <v>262</v>
      </c>
      <c r="B126" s="109">
        <v>145955822.35078257</v>
      </c>
      <c r="C126" s="109">
        <v>148937204.93064052</v>
      </c>
      <c r="D126" s="109">
        <v>151925651.52627608</v>
      </c>
      <c r="E126" s="109">
        <v>155039667.329999</v>
      </c>
      <c r="F126" s="109">
        <v>158040235.75529185</v>
      </c>
      <c r="H126" s="241">
        <f t="shared" si="6"/>
        <v>1</v>
      </c>
      <c r="I126" s="241">
        <f t="shared" si="7"/>
        <v>1.0204266094482524</v>
      </c>
      <c r="J126" s="241">
        <f t="shared" si="8"/>
        <v>1.0200651448845657</v>
      </c>
      <c r="K126" s="241">
        <f t="shared" si="9"/>
        <v>1.0204969718572137</v>
      </c>
      <c r="L126" s="241">
        <f t="shared" si="10"/>
        <v>1.0193535530420494</v>
      </c>
    </row>
    <row r="127" spans="1:12" ht="12.75">
      <c r="A127" t="s">
        <v>259</v>
      </c>
      <c r="B127" s="109">
        <v>6233726.903772343</v>
      </c>
      <c r="C127" s="109">
        <v>6312118.992272981</v>
      </c>
      <c r="D127" s="109">
        <v>6431664.333815568</v>
      </c>
      <c r="E127" s="109">
        <v>6552751.518308419</v>
      </c>
      <c r="F127" s="109">
        <v>6677604.238456273</v>
      </c>
      <c r="H127" s="241">
        <f t="shared" si="6"/>
        <v>1</v>
      </c>
      <c r="I127" s="241">
        <f t="shared" si="7"/>
        <v>1.01257547687134</v>
      </c>
      <c r="J127" s="241">
        <f t="shared" si="8"/>
        <v>1.018939019002799</v>
      </c>
      <c r="K127" s="241">
        <f t="shared" si="9"/>
        <v>1.0188267263663333</v>
      </c>
      <c r="L127" s="241">
        <f t="shared" si="10"/>
        <v>1.0190534800227073</v>
      </c>
    </row>
    <row r="128" spans="1:12" ht="12.75">
      <c r="A128" t="s">
        <v>263</v>
      </c>
      <c r="B128" s="109">
        <v>33863345.26933808</v>
      </c>
      <c r="C128" s="109">
        <v>34668808.57544772</v>
      </c>
      <c r="D128" s="109">
        <v>35615940.04563568</v>
      </c>
      <c r="E128" s="109">
        <v>36477617.3613441</v>
      </c>
      <c r="F128" s="109">
        <v>37284265.27662468</v>
      </c>
      <c r="H128" s="241">
        <f t="shared" si="6"/>
        <v>1</v>
      </c>
      <c r="I128" s="241">
        <f t="shared" si="7"/>
        <v>1.0237856980668405</v>
      </c>
      <c r="J128" s="241">
        <f t="shared" si="8"/>
        <v>1.0273194121490148</v>
      </c>
      <c r="K128" s="241">
        <f t="shared" si="9"/>
        <v>1.0241935862033777</v>
      </c>
      <c r="L128" s="241">
        <f t="shared" si="10"/>
        <v>1.022113503392779</v>
      </c>
    </row>
    <row r="129" spans="1:12" ht="12.75">
      <c r="A129" t="s">
        <v>264</v>
      </c>
      <c r="B129" s="109">
        <v>46517732.710421495</v>
      </c>
      <c r="C129" s="109">
        <v>47502657.36288237</v>
      </c>
      <c r="D129" s="109">
        <v>48459577.833157785</v>
      </c>
      <c r="E129" s="109">
        <v>49587171.19038281</v>
      </c>
      <c r="F129" s="109">
        <v>50692213.35786586</v>
      </c>
      <c r="H129" s="241">
        <f t="shared" si="6"/>
        <v>1</v>
      </c>
      <c r="I129" s="241">
        <f t="shared" si="7"/>
        <v>1.0211731009890819</v>
      </c>
      <c r="J129" s="241">
        <f t="shared" si="8"/>
        <v>1.0201445671336933</v>
      </c>
      <c r="K129" s="241">
        <f t="shared" si="9"/>
        <v>1.0232687408278138</v>
      </c>
      <c r="L129" s="241">
        <f t="shared" si="10"/>
        <v>1.022284839827632</v>
      </c>
    </row>
    <row r="130" spans="1:12" ht="12.75">
      <c r="A130" t="s">
        <v>265</v>
      </c>
      <c r="B130" s="109">
        <v>6774975.0962793715</v>
      </c>
      <c r="C130" s="109">
        <v>6891244.074437996</v>
      </c>
      <c r="D130" s="109">
        <v>6992425.326575151</v>
      </c>
      <c r="E130" s="109">
        <v>7131219.5957440715</v>
      </c>
      <c r="F130" s="109">
        <v>7274267.619721201</v>
      </c>
      <c r="H130" s="241">
        <f t="shared" si="6"/>
        <v>1</v>
      </c>
      <c r="I130" s="241">
        <f t="shared" si="7"/>
        <v>1.0171615358737593</v>
      </c>
      <c r="J130" s="241">
        <f t="shared" si="8"/>
        <v>1.0146825814097153</v>
      </c>
      <c r="K130" s="241">
        <f t="shared" si="9"/>
        <v>1.0198492315164847</v>
      </c>
      <c r="L130" s="241">
        <f t="shared" si="10"/>
        <v>1.020059405275151</v>
      </c>
    </row>
    <row r="131" spans="1:12" ht="12.75">
      <c r="A131" t="s">
        <v>266</v>
      </c>
      <c r="B131" s="109">
        <v>49937992.45414639</v>
      </c>
      <c r="C131" s="109">
        <v>51347741.068043195</v>
      </c>
      <c r="D131" s="109">
        <v>52667717.56063381</v>
      </c>
      <c r="E131" s="109">
        <v>53942397.19274872</v>
      </c>
      <c r="F131" s="109">
        <v>55143582.49034793</v>
      </c>
      <c r="H131" s="241">
        <f t="shared" si="6"/>
        <v>1</v>
      </c>
      <c r="I131" s="241">
        <f t="shared" si="7"/>
        <v>1.0282299817156497</v>
      </c>
      <c r="J131" s="241">
        <f t="shared" si="8"/>
        <v>1.0257066126987253</v>
      </c>
      <c r="K131" s="241">
        <f t="shared" si="9"/>
        <v>1.0242022949000482</v>
      </c>
      <c r="L131" s="241">
        <f t="shared" si="10"/>
        <v>1.0222679257895622</v>
      </c>
    </row>
    <row r="132" spans="1:12" ht="12.75">
      <c r="A132" t="s">
        <v>267</v>
      </c>
      <c r="B132" s="109">
        <v>18716496.97240924</v>
      </c>
      <c r="C132" s="109">
        <v>18856561.45744235</v>
      </c>
      <c r="D132" s="109">
        <v>19022838.35057844</v>
      </c>
      <c r="E132" s="109">
        <v>19186169.910879068</v>
      </c>
      <c r="F132" s="109">
        <v>19307304.205803312</v>
      </c>
      <c r="H132" s="241">
        <f t="shared" si="6"/>
        <v>1</v>
      </c>
      <c r="I132" s="241">
        <f t="shared" si="7"/>
        <v>1.0074834775567023</v>
      </c>
      <c r="J132" s="241">
        <f t="shared" si="8"/>
        <v>1.0088179859043422</v>
      </c>
      <c r="K132" s="241">
        <f t="shared" si="9"/>
        <v>1.0085860772872342</v>
      </c>
      <c r="L132" s="241">
        <f t="shared" si="10"/>
        <v>1.0063136256734366</v>
      </c>
    </row>
    <row r="133" spans="1:12" ht="12.75">
      <c r="A133" t="s">
        <v>268</v>
      </c>
      <c r="B133" s="109">
        <v>2101977.4474509587</v>
      </c>
      <c r="C133" s="109">
        <v>2137221.747020343</v>
      </c>
      <c r="D133" s="109">
        <v>2140721.266197207</v>
      </c>
      <c r="E133" s="109">
        <v>2179963.6698661726</v>
      </c>
      <c r="F133" s="109">
        <v>2218736.577782821</v>
      </c>
      <c r="H133" s="241">
        <f t="shared" si="6"/>
        <v>1</v>
      </c>
      <c r="I133" s="241">
        <f t="shared" si="7"/>
        <v>1.0167672110907395</v>
      </c>
      <c r="J133" s="241">
        <f t="shared" si="8"/>
        <v>1.0016374151076008</v>
      </c>
      <c r="K133" s="241">
        <f t="shared" si="9"/>
        <v>1.018331393389984</v>
      </c>
      <c r="L133" s="241">
        <f t="shared" si="10"/>
        <v>1.01778603398424</v>
      </c>
    </row>
    <row r="134" spans="1:12" ht="12.75">
      <c r="A134" t="s">
        <v>269</v>
      </c>
      <c r="B134" s="109">
        <v>21473626.138111662</v>
      </c>
      <c r="C134" s="109">
        <v>21907294.73487803</v>
      </c>
      <c r="D134" s="109">
        <v>22245890.210061803</v>
      </c>
      <c r="E134" s="109">
        <v>22598427.985126205</v>
      </c>
      <c r="F134" s="109">
        <v>22841764.84676786</v>
      </c>
      <c r="H134" s="241">
        <f aca="true" t="shared" si="11" ref="H134:H197">B134/B134</f>
        <v>1</v>
      </c>
      <c r="I134" s="241">
        <f aca="true" t="shared" si="12" ref="I134:I197">C134/B134</f>
        <v>1.0201954059355018</v>
      </c>
      <c r="J134" s="241">
        <f aca="true" t="shared" si="13" ref="J134:J197">D134/C134</f>
        <v>1.0154558323737117</v>
      </c>
      <c r="K134" s="241">
        <f aca="true" t="shared" si="14" ref="K134:K197">E134/D134</f>
        <v>1.0158473215382924</v>
      </c>
      <c r="L134" s="241">
        <f aca="true" t="shared" si="15" ref="L134:L197">F134/E134</f>
        <v>1.0107678667649722</v>
      </c>
    </row>
    <row r="135" spans="1:12" ht="12.75">
      <c r="A135" t="s">
        <v>270</v>
      </c>
      <c r="B135" s="109">
        <v>38168550.39104726</v>
      </c>
      <c r="C135" s="109">
        <v>39114001.26706615</v>
      </c>
      <c r="D135" s="109">
        <v>40151409.19952658</v>
      </c>
      <c r="E135" s="109">
        <v>41196011.9459861</v>
      </c>
      <c r="F135" s="109">
        <v>42219428.4008463</v>
      </c>
      <c r="H135" s="241">
        <f t="shared" si="11"/>
        <v>1</v>
      </c>
      <c r="I135" s="241">
        <f t="shared" si="12"/>
        <v>1.024770416123549</v>
      </c>
      <c r="J135" s="241">
        <f t="shared" si="13"/>
        <v>1.0265226747163279</v>
      </c>
      <c r="K135" s="241">
        <f t="shared" si="14"/>
        <v>1.0260165898852645</v>
      </c>
      <c r="L135" s="241">
        <f t="shared" si="15"/>
        <v>1.0248426099157864</v>
      </c>
    </row>
    <row r="136" spans="1:12" ht="12.75">
      <c r="A136" t="s">
        <v>271</v>
      </c>
      <c r="B136" s="109">
        <v>28820117.30247296</v>
      </c>
      <c r="C136" s="109">
        <v>29372131.08989445</v>
      </c>
      <c r="D136" s="109">
        <v>29875620.480127648</v>
      </c>
      <c r="E136" s="109">
        <v>30334773.642500747</v>
      </c>
      <c r="F136" s="109">
        <v>30997202.693931945</v>
      </c>
      <c r="H136" s="241">
        <f t="shared" si="11"/>
        <v>1</v>
      </c>
      <c r="I136" s="241">
        <f t="shared" si="12"/>
        <v>1.0191537661567438</v>
      </c>
      <c r="J136" s="241">
        <f t="shared" si="13"/>
        <v>1.0171417384966808</v>
      </c>
      <c r="K136" s="241">
        <f t="shared" si="14"/>
        <v>1.015368824312068</v>
      </c>
      <c r="L136" s="241">
        <f t="shared" si="15"/>
        <v>1.0218372834832397</v>
      </c>
    </row>
    <row r="137" spans="1:12" ht="12.75">
      <c r="A137" t="s">
        <v>272</v>
      </c>
      <c r="B137" s="109">
        <v>24648939.243327186</v>
      </c>
      <c r="C137" s="109">
        <v>25073665.409361757</v>
      </c>
      <c r="D137" s="109">
        <v>25509903.47970607</v>
      </c>
      <c r="E137" s="109">
        <v>25936748.6426211</v>
      </c>
      <c r="F137" s="109">
        <v>26308954.988414116</v>
      </c>
      <c r="H137" s="241">
        <f t="shared" si="11"/>
        <v>1</v>
      </c>
      <c r="I137" s="241">
        <f t="shared" si="12"/>
        <v>1.0172310119247647</v>
      </c>
      <c r="J137" s="241">
        <f t="shared" si="13"/>
        <v>1.017398256825324</v>
      </c>
      <c r="K137" s="241">
        <f t="shared" si="14"/>
        <v>1.0167325275556058</v>
      </c>
      <c r="L137" s="241">
        <f t="shared" si="15"/>
        <v>1.0143505398815247</v>
      </c>
    </row>
    <row r="138" spans="1:12" ht="12.75">
      <c r="A138" t="s">
        <v>274</v>
      </c>
      <c r="B138" s="109">
        <v>30109406.156938024</v>
      </c>
      <c r="C138" s="109">
        <v>30708223.33919798</v>
      </c>
      <c r="D138" s="109">
        <v>30986777.309690114</v>
      </c>
      <c r="E138" s="109">
        <v>31403273.970895685</v>
      </c>
      <c r="F138" s="109">
        <v>31769256.134497542</v>
      </c>
      <c r="H138" s="241">
        <f t="shared" si="11"/>
        <v>1</v>
      </c>
      <c r="I138" s="241">
        <f t="shared" si="12"/>
        <v>1.019888043594708</v>
      </c>
      <c r="J138" s="241">
        <f t="shared" si="13"/>
        <v>1.0090709894680416</v>
      </c>
      <c r="K138" s="241">
        <f t="shared" si="14"/>
        <v>1.013441109317145</v>
      </c>
      <c r="L138" s="241">
        <f t="shared" si="15"/>
        <v>1.0116542677665088</v>
      </c>
    </row>
    <row r="139" spans="1:12" ht="12.75">
      <c r="A139" t="s">
        <v>275</v>
      </c>
      <c r="B139" s="109">
        <v>16783561.674441498</v>
      </c>
      <c r="C139" s="109">
        <v>16981924.131618198</v>
      </c>
      <c r="D139" s="109">
        <v>17228929.422462314</v>
      </c>
      <c r="E139" s="109">
        <v>17391070.314459626</v>
      </c>
      <c r="F139" s="109">
        <v>17675848.02087328</v>
      </c>
      <c r="H139" s="241">
        <f t="shared" si="11"/>
        <v>1</v>
      </c>
      <c r="I139" s="241">
        <f t="shared" si="12"/>
        <v>1.0118188535320707</v>
      </c>
      <c r="J139" s="241">
        <f t="shared" si="13"/>
        <v>1.014545188691794</v>
      </c>
      <c r="K139" s="241">
        <f t="shared" si="14"/>
        <v>1.0094109673341582</v>
      </c>
      <c r="L139" s="241">
        <f t="shared" si="15"/>
        <v>1.0163749384749987</v>
      </c>
    </row>
    <row r="140" spans="1:12" ht="12.75">
      <c r="A140" t="s">
        <v>276</v>
      </c>
      <c r="B140" s="109">
        <v>40891554.301417954</v>
      </c>
      <c r="C140" s="109">
        <v>41686878.970693715</v>
      </c>
      <c r="D140" s="109">
        <v>42278728.571282044</v>
      </c>
      <c r="E140" s="109">
        <v>43076818.17407489</v>
      </c>
      <c r="F140" s="109">
        <v>43920298.516891584</v>
      </c>
      <c r="H140" s="241">
        <f t="shared" si="11"/>
        <v>1</v>
      </c>
      <c r="I140" s="241">
        <f t="shared" si="12"/>
        <v>1.0194496072077206</v>
      </c>
      <c r="J140" s="241">
        <f t="shared" si="13"/>
        <v>1.0141975032720585</v>
      </c>
      <c r="K140" s="241">
        <f t="shared" si="14"/>
        <v>1.0188768591147972</v>
      </c>
      <c r="L140" s="241">
        <f t="shared" si="15"/>
        <v>1.0195808413566703</v>
      </c>
    </row>
    <row r="141" spans="1:12" ht="12.75">
      <c r="A141" t="s">
        <v>277</v>
      </c>
      <c r="B141" s="109">
        <v>1774399.7402139471</v>
      </c>
      <c r="C141" s="109">
        <v>1800750.7174077732</v>
      </c>
      <c r="D141" s="109">
        <v>1827449.7434113985</v>
      </c>
      <c r="E141" s="109">
        <v>1817881.0044050065</v>
      </c>
      <c r="F141" s="109">
        <v>1845927.5971979522</v>
      </c>
      <c r="H141" s="241">
        <f t="shared" si="11"/>
        <v>1</v>
      </c>
      <c r="I141" s="241">
        <f t="shared" si="12"/>
        <v>1.0148506430634672</v>
      </c>
      <c r="J141" s="241">
        <f t="shared" si="13"/>
        <v>1.0148266085613777</v>
      </c>
      <c r="K141" s="241">
        <f t="shared" si="14"/>
        <v>0.9947638839093165</v>
      </c>
      <c r="L141" s="241">
        <f t="shared" si="15"/>
        <v>1.0154281785908894</v>
      </c>
    </row>
    <row r="142" spans="1:12" ht="12.75">
      <c r="A142" t="s">
        <v>278</v>
      </c>
      <c r="B142" s="109">
        <v>5311236.272342215</v>
      </c>
      <c r="C142" s="109">
        <v>5508029.909899209</v>
      </c>
      <c r="D142" s="109">
        <v>5587505.985070165</v>
      </c>
      <c r="E142" s="109">
        <v>5704066.5175238745</v>
      </c>
      <c r="F142" s="109">
        <v>5819635.526968988</v>
      </c>
      <c r="H142" s="241">
        <f t="shared" si="11"/>
        <v>1</v>
      </c>
      <c r="I142" s="241">
        <f t="shared" si="12"/>
        <v>1.0370523221837782</v>
      </c>
      <c r="J142" s="241">
        <f t="shared" si="13"/>
        <v>1.0144291291933836</v>
      </c>
      <c r="K142" s="241">
        <f t="shared" si="14"/>
        <v>1.020860923060335</v>
      </c>
      <c r="L142" s="241">
        <f t="shared" si="15"/>
        <v>1.0202608102640573</v>
      </c>
    </row>
    <row r="143" spans="1:12" ht="12.75">
      <c r="A143" t="s">
        <v>279</v>
      </c>
      <c r="B143" s="109">
        <v>14552214.807606315</v>
      </c>
      <c r="C143" s="109">
        <v>15055557.258286767</v>
      </c>
      <c r="D143" s="109">
        <v>15575478.936260285</v>
      </c>
      <c r="E143" s="109">
        <v>16057019.812404817</v>
      </c>
      <c r="F143" s="109">
        <v>16461728.926647222</v>
      </c>
      <c r="H143" s="241">
        <f t="shared" si="11"/>
        <v>1</v>
      </c>
      <c r="I143" s="241">
        <f t="shared" si="12"/>
        <v>1.0345887177543145</v>
      </c>
      <c r="J143" s="241">
        <f t="shared" si="13"/>
        <v>1.0345335392808093</v>
      </c>
      <c r="K143" s="241">
        <f t="shared" si="14"/>
        <v>1.0309166015449764</v>
      </c>
      <c r="L143" s="241">
        <f t="shared" si="15"/>
        <v>1.0252044974080277</v>
      </c>
    </row>
    <row r="144" spans="1:12" ht="12.75">
      <c r="A144" t="s">
        <v>280</v>
      </c>
      <c r="B144" s="109">
        <v>8945408.64789656</v>
      </c>
      <c r="C144" s="109">
        <v>9095481.006628215</v>
      </c>
      <c r="D144" s="109">
        <v>9220737.528863234</v>
      </c>
      <c r="E144" s="109">
        <v>9380112.472125072</v>
      </c>
      <c r="F144" s="109">
        <v>9510969.586417744</v>
      </c>
      <c r="H144" s="241">
        <f t="shared" si="11"/>
        <v>1</v>
      </c>
      <c r="I144" s="241">
        <f t="shared" si="12"/>
        <v>1.016776467642643</v>
      </c>
      <c r="J144" s="241">
        <f t="shared" si="13"/>
        <v>1.0137712917154948</v>
      </c>
      <c r="K144" s="241">
        <f t="shared" si="14"/>
        <v>1.017284402984355</v>
      </c>
      <c r="L144" s="241">
        <f t="shared" si="15"/>
        <v>1.0139504845684464</v>
      </c>
    </row>
    <row r="145" spans="1:12" ht="12.75">
      <c r="A145" t="s">
        <v>273</v>
      </c>
      <c r="B145" s="109">
        <v>101040264.66439018</v>
      </c>
      <c r="C145" s="109">
        <v>102607176.39848511</v>
      </c>
      <c r="D145" s="109">
        <v>103848421.4803746</v>
      </c>
      <c r="E145" s="109">
        <v>105424578.45298202</v>
      </c>
      <c r="F145" s="109">
        <v>107115511.7939641</v>
      </c>
      <c r="H145" s="241">
        <f t="shared" si="11"/>
        <v>1</v>
      </c>
      <c r="I145" s="241">
        <f t="shared" si="12"/>
        <v>1.015507795226977</v>
      </c>
      <c r="J145" s="241">
        <f t="shared" si="13"/>
        <v>1.0120970591478806</v>
      </c>
      <c r="K145" s="241">
        <f t="shared" si="14"/>
        <v>1.0151774764617416</v>
      </c>
      <c r="L145" s="241">
        <f t="shared" si="15"/>
        <v>1.0160392705932062</v>
      </c>
    </row>
    <row r="146" spans="1:12" ht="12.75">
      <c r="A146" t="s">
        <v>130</v>
      </c>
      <c r="B146" s="109">
        <v>37010256.40047568</v>
      </c>
      <c r="C146" s="109">
        <v>37563234.65248198</v>
      </c>
      <c r="D146" s="109">
        <v>38153241.696523555</v>
      </c>
      <c r="E146" s="109">
        <v>38711023.37496332</v>
      </c>
      <c r="F146" s="109">
        <v>39528028.92870125</v>
      </c>
      <c r="H146" s="241">
        <f t="shared" si="11"/>
        <v>1</v>
      </c>
      <c r="I146" s="241">
        <f t="shared" si="12"/>
        <v>1.0149412164569385</v>
      </c>
      <c r="J146" s="241">
        <f t="shared" si="13"/>
        <v>1.01570703507033</v>
      </c>
      <c r="K146" s="241">
        <f t="shared" si="14"/>
        <v>1.014619509473833</v>
      </c>
      <c r="L146" s="241">
        <f t="shared" si="15"/>
        <v>1.0211052429646263</v>
      </c>
    </row>
    <row r="147" spans="1:12" ht="12.75">
      <c r="A147" t="s">
        <v>282</v>
      </c>
      <c r="B147" s="109">
        <v>14514283.41381712</v>
      </c>
      <c r="C147" s="109">
        <v>14821579.624042151</v>
      </c>
      <c r="D147" s="109">
        <v>15218300.207142452</v>
      </c>
      <c r="E147" s="109">
        <v>15428084.752379395</v>
      </c>
      <c r="F147" s="109">
        <v>15614837.841686672</v>
      </c>
      <c r="H147" s="241">
        <f t="shared" si="11"/>
        <v>1</v>
      </c>
      <c r="I147" s="241">
        <f t="shared" si="12"/>
        <v>1.0211719863436381</v>
      </c>
      <c r="J147" s="241">
        <f t="shared" si="13"/>
        <v>1.0267664171541324</v>
      </c>
      <c r="K147" s="241">
        <f t="shared" si="14"/>
        <v>1.0137850181939823</v>
      </c>
      <c r="L147" s="241">
        <f t="shared" si="15"/>
        <v>1.0121047487296486</v>
      </c>
    </row>
    <row r="148" spans="1:12" ht="12.75">
      <c r="A148" t="s">
        <v>283</v>
      </c>
      <c r="B148" s="109">
        <v>4359616.067933874</v>
      </c>
      <c r="C148" s="109">
        <v>4456182.828658904</v>
      </c>
      <c r="D148" s="109">
        <v>4551921.408422081</v>
      </c>
      <c r="E148" s="109">
        <v>4650480.433390384</v>
      </c>
      <c r="F148" s="109">
        <v>4752670.108135818</v>
      </c>
      <c r="H148" s="241">
        <f t="shared" si="11"/>
        <v>1</v>
      </c>
      <c r="I148" s="241">
        <f t="shared" si="12"/>
        <v>1.0221502901219452</v>
      </c>
      <c r="J148" s="241">
        <f t="shared" si="13"/>
        <v>1.0214844371167755</v>
      </c>
      <c r="K148" s="241">
        <f t="shared" si="14"/>
        <v>1.0216521807221772</v>
      </c>
      <c r="L148" s="241">
        <f t="shared" si="15"/>
        <v>1.0219740038065128</v>
      </c>
    </row>
    <row r="149" spans="1:12" ht="12.75">
      <c r="A149" t="s">
        <v>284</v>
      </c>
      <c r="B149" s="109">
        <v>20565242.182304196</v>
      </c>
      <c r="C149" s="109">
        <v>20776644.38351118</v>
      </c>
      <c r="D149" s="109">
        <v>21119665.08908522</v>
      </c>
      <c r="E149" s="109">
        <v>21514283.793039806</v>
      </c>
      <c r="F149" s="109">
        <v>21899590.289408695</v>
      </c>
      <c r="H149" s="241">
        <f t="shared" si="11"/>
        <v>1</v>
      </c>
      <c r="I149" s="241">
        <f t="shared" si="12"/>
        <v>1.0102795872439998</v>
      </c>
      <c r="J149" s="241">
        <f t="shared" si="13"/>
        <v>1.0165099185047548</v>
      </c>
      <c r="K149" s="241">
        <f t="shared" si="14"/>
        <v>1.0186848940212847</v>
      </c>
      <c r="L149" s="241">
        <f t="shared" si="15"/>
        <v>1.0179093340998664</v>
      </c>
    </row>
    <row r="150" spans="1:12" ht="12.75">
      <c r="A150" t="s">
        <v>285</v>
      </c>
      <c r="B150" s="109">
        <v>2549354.086794863</v>
      </c>
      <c r="C150" s="109">
        <v>2593632.5908073075</v>
      </c>
      <c r="D150" s="109">
        <v>2638667.818672121</v>
      </c>
      <c r="E150" s="109">
        <v>2653814.055244911</v>
      </c>
      <c r="F150" s="109">
        <v>2700565.221995149</v>
      </c>
      <c r="H150" s="241">
        <f t="shared" si="11"/>
        <v>1</v>
      </c>
      <c r="I150" s="241">
        <f t="shared" si="12"/>
        <v>1.0173685186541164</v>
      </c>
      <c r="J150" s="241">
        <f t="shared" si="13"/>
        <v>1.0173637654093464</v>
      </c>
      <c r="K150" s="241">
        <f t="shared" si="14"/>
        <v>1.0057401073623629</v>
      </c>
      <c r="L150" s="241">
        <f t="shared" si="15"/>
        <v>1.0176165947489202</v>
      </c>
    </row>
    <row r="151" spans="1:12" ht="12.75">
      <c r="A151" t="s">
        <v>286</v>
      </c>
      <c r="B151" s="109">
        <v>7696111.338487773</v>
      </c>
      <c r="C151" s="109">
        <v>7657357.691921717</v>
      </c>
      <c r="D151" s="109">
        <v>7771199.454847812</v>
      </c>
      <c r="E151" s="109">
        <v>7888867.787735931</v>
      </c>
      <c r="F151" s="109">
        <v>8010131.133299375</v>
      </c>
      <c r="H151" s="241">
        <f t="shared" si="11"/>
        <v>1</v>
      </c>
      <c r="I151" s="241">
        <f t="shared" si="12"/>
        <v>0.9949645158624133</v>
      </c>
      <c r="J151" s="241">
        <f t="shared" si="13"/>
        <v>1.0148669772924668</v>
      </c>
      <c r="K151" s="241">
        <f t="shared" si="14"/>
        <v>1.0151415921791476</v>
      </c>
      <c r="L151" s="241">
        <f t="shared" si="15"/>
        <v>1.0153714511164658</v>
      </c>
    </row>
    <row r="152" spans="1:12" ht="12.75">
      <c r="A152" t="s">
        <v>287</v>
      </c>
      <c r="B152" s="109">
        <v>4342958.500193223</v>
      </c>
      <c r="C152" s="109">
        <v>4379395.441130969</v>
      </c>
      <c r="D152" s="109">
        <v>4446818.075951638</v>
      </c>
      <c r="E152" s="109">
        <v>4517339.746960441</v>
      </c>
      <c r="F152" s="109">
        <v>4556396.273421092</v>
      </c>
      <c r="H152" s="241">
        <f t="shared" si="11"/>
        <v>1</v>
      </c>
      <c r="I152" s="241">
        <f t="shared" si="12"/>
        <v>1.0083898892738958</v>
      </c>
      <c r="J152" s="241">
        <f t="shared" si="13"/>
        <v>1.0153954206070182</v>
      </c>
      <c r="K152" s="241">
        <f t="shared" si="14"/>
        <v>1.0158589062570793</v>
      </c>
      <c r="L152" s="241">
        <f t="shared" si="15"/>
        <v>1.0086459130037608</v>
      </c>
    </row>
    <row r="153" spans="1:12" ht="12.75">
      <c r="A153" t="s">
        <v>288</v>
      </c>
      <c r="B153" s="109">
        <v>122690011.27557118</v>
      </c>
      <c r="C153" s="109">
        <v>125074592.34477076</v>
      </c>
      <c r="D153" s="109">
        <v>127114360.32222733</v>
      </c>
      <c r="E153" s="109">
        <v>129498449.7994134</v>
      </c>
      <c r="F153" s="109">
        <v>132154080.83940229</v>
      </c>
      <c r="H153" s="241">
        <f t="shared" si="11"/>
        <v>1</v>
      </c>
      <c r="I153" s="241">
        <f t="shared" si="12"/>
        <v>1.019435820768193</v>
      </c>
      <c r="J153" s="241">
        <f t="shared" si="13"/>
        <v>1.016308411958153</v>
      </c>
      <c r="K153" s="241">
        <f t="shared" si="14"/>
        <v>1.0187554692573093</v>
      </c>
      <c r="L153" s="241">
        <f t="shared" si="15"/>
        <v>1.020507048880526</v>
      </c>
    </row>
    <row r="154" spans="1:12" ht="12.75">
      <c r="A154" t="s">
        <v>289</v>
      </c>
      <c r="B154" s="109">
        <v>21158684.034087118</v>
      </c>
      <c r="C154" s="109">
        <v>21473318.807112228</v>
      </c>
      <c r="D154" s="109">
        <v>21716884.469500676</v>
      </c>
      <c r="E154" s="109">
        <v>21961618.799197957</v>
      </c>
      <c r="F154" s="109">
        <v>22302590.39408726</v>
      </c>
      <c r="H154" s="241">
        <f t="shared" si="11"/>
        <v>1</v>
      </c>
      <c r="I154" s="241">
        <f t="shared" si="12"/>
        <v>1.0148702429942347</v>
      </c>
      <c r="J154" s="241">
        <f t="shared" si="13"/>
        <v>1.0113427116030045</v>
      </c>
      <c r="K154" s="241">
        <f t="shared" si="14"/>
        <v>1.0112693112145523</v>
      </c>
      <c r="L154" s="241">
        <f t="shared" si="15"/>
        <v>1.0155257951614092</v>
      </c>
    </row>
    <row r="155" spans="1:12" ht="12.75">
      <c r="A155" t="s">
        <v>290</v>
      </c>
      <c r="B155" s="109">
        <v>3904613.112934137</v>
      </c>
      <c r="C155" s="109">
        <v>3963923.7652298734</v>
      </c>
      <c r="D155" s="109">
        <v>4066534.835031605</v>
      </c>
      <c r="E155" s="109">
        <v>4089663.5406382154</v>
      </c>
      <c r="F155" s="109">
        <v>4153926.8296395894</v>
      </c>
      <c r="H155" s="241">
        <f t="shared" si="11"/>
        <v>1</v>
      </c>
      <c r="I155" s="241">
        <f t="shared" si="12"/>
        <v>1.0151898922070584</v>
      </c>
      <c r="J155" s="241">
        <f t="shared" si="13"/>
        <v>1.02588623694073</v>
      </c>
      <c r="K155" s="241">
        <f t="shared" si="14"/>
        <v>1.0056875710020643</v>
      </c>
      <c r="L155" s="241">
        <f t="shared" si="15"/>
        <v>1.0157135882604527</v>
      </c>
    </row>
    <row r="156" spans="1:12" ht="12.75">
      <c r="A156" t="s">
        <v>291</v>
      </c>
      <c r="B156" s="109">
        <v>6886483.250165154</v>
      </c>
      <c r="C156" s="109">
        <v>7059223.721065597</v>
      </c>
      <c r="D156" s="109">
        <v>7200158.308586779</v>
      </c>
      <c r="E156" s="109">
        <v>7346801.805963168</v>
      </c>
      <c r="F156" s="109">
        <v>7529445.159189353</v>
      </c>
      <c r="H156" s="241">
        <f t="shared" si="11"/>
        <v>1</v>
      </c>
      <c r="I156" s="241">
        <f t="shared" si="12"/>
        <v>1.0250839891168397</v>
      </c>
      <c r="J156" s="241">
        <f t="shared" si="13"/>
        <v>1.0199646013626988</v>
      </c>
      <c r="K156" s="241">
        <f t="shared" si="14"/>
        <v>1.0203667046044675</v>
      </c>
      <c r="L156" s="241">
        <f t="shared" si="15"/>
        <v>1.024860253216296</v>
      </c>
    </row>
    <row r="157" spans="1:12" ht="12.75">
      <c r="A157" t="s">
        <v>292</v>
      </c>
      <c r="B157" s="109">
        <v>42985402.63374655</v>
      </c>
      <c r="C157" s="109">
        <v>44034884.49594119</v>
      </c>
      <c r="D157" s="109">
        <v>45190685.48912321</v>
      </c>
      <c r="E157" s="109">
        <v>46313224.001985304</v>
      </c>
      <c r="F157" s="109">
        <v>47484719.02711828</v>
      </c>
      <c r="H157" s="241">
        <f t="shared" si="11"/>
        <v>1</v>
      </c>
      <c r="I157" s="241">
        <f t="shared" si="12"/>
        <v>1.0244148431302753</v>
      </c>
      <c r="J157" s="241">
        <f t="shared" si="13"/>
        <v>1.0262473946829258</v>
      </c>
      <c r="K157" s="241">
        <f t="shared" si="14"/>
        <v>1.0248400417190457</v>
      </c>
      <c r="L157" s="241">
        <f t="shared" si="15"/>
        <v>1.0252950437024804</v>
      </c>
    </row>
    <row r="158" spans="1:12" ht="12.75">
      <c r="A158" t="s">
        <v>293</v>
      </c>
      <c r="B158" s="109">
        <v>22924307.380551256</v>
      </c>
      <c r="C158" s="109">
        <v>23391004.77048631</v>
      </c>
      <c r="D158" s="109">
        <v>23782710.54277173</v>
      </c>
      <c r="E158" s="109">
        <v>24237675.239622395</v>
      </c>
      <c r="F158" s="109">
        <v>24668811.83726343</v>
      </c>
      <c r="H158" s="241">
        <f t="shared" si="11"/>
        <v>1</v>
      </c>
      <c r="I158" s="241">
        <f t="shared" si="12"/>
        <v>1.0203581893309892</v>
      </c>
      <c r="J158" s="241">
        <f t="shared" si="13"/>
        <v>1.0167460002735607</v>
      </c>
      <c r="K158" s="241">
        <f t="shared" si="14"/>
        <v>1.0191300607234166</v>
      </c>
      <c r="L158" s="241">
        <f t="shared" si="15"/>
        <v>1.0177878692316265</v>
      </c>
    </row>
    <row r="159" spans="1:12" ht="12.75">
      <c r="A159" t="s">
        <v>294</v>
      </c>
      <c r="B159" s="109">
        <v>15857705.966063527</v>
      </c>
      <c r="C159" s="109">
        <v>16012014.57620349</v>
      </c>
      <c r="D159" s="109">
        <v>16303208.76097111</v>
      </c>
      <c r="E159" s="109">
        <v>16571513.874075083</v>
      </c>
      <c r="F159" s="109">
        <v>16725500.684329694</v>
      </c>
      <c r="H159" s="241">
        <f t="shared" si="11"/>
        <v>1</v>
      </c>
      <c r="I159" s="241">
        <f t="shared" si="12"/>
        <v>1.0097308280573616</v>
      </c>
      <c r="J159" s="241">
        <f t="shared" si="13"/>
        <v>1.0181859804949456</v>
      </c>
      <c r="K159" s="241">
        <f t="shared" si="14"/>
        <v>1.016457196680587</v>
      </c>
      <c r="L159" s="241">
        <f t="shared" si="15"/>
        <v>1.0092922596827747</v>
      </c>
    </row>
    <row r="160" spans="1:12" ht="12.75">
      <c r="A160" t="s">
        <v>295</v>
      </c>
      <c r="B160" s="109">
        <v>3920207.119955944</v>
      </c>
      <c r="C160" s="109">
        <v>3966836.324607082</v>
      </c>
      <c r="D160" s="109">
        <v>4048935.6286080964</v>
      </c>
      <c r="E160" s="109">
        <v>4131980.0146101504</v>
      </c>
      <c r="F160" s="109">
        <v>4179371.036278228</v>
      </c>
      <c r="H160" s="241">
        <f t="shared" si="11"/>
        <v>1</v>
      </c>
      <c r="I160" s="241">
        <f t="shared" si="12"/>
        <v>1.0118945767976826</v>
      </c>
      <c r="J160" s="241">
        <f t="shared" si="13"/>
        <v>1.0206964183250353</v>
      </c>
      <c r="K160" s="241">
        <f t="shared" si="14"/>
        <v>1.0205101769006395</v>
      </c>
      <c r="L160" s="241">
        <f t="shared" si="15"/>
        <v>1.011469324996856</v>
      </c>
    </row>
    <row r="161" spans="1:12" ht="12.75">
      <c r="A161" t="s">
        <v>296</v>
      </c>
      <c r="B161" s="109">
        <v>45366680.0653547</v>
      </c>
      <c r="C161" s="109">
        <v>46287856.21970945</v>
      </c>
      <c r="D161" s="109">
        <v>47160712.758096285</v>
      </c>
      <c r="E161" s="109">
        <v>48094379.57708549</v>
      </c>
      <c r="F161" s="109">
        <v>48824509.00932187</v>
      </c>
      <c r="H161" s="241">
        <f t="shared" si="11"/>
        <v>1</v>
      </c>
      <c r="I161" s="241">
        <f t="shared" si="12"/>
        <v>1.0203051259873483</v>
      </c>
      <c r="J161" s="241">
        <f t="shared" si="13"/>
        <v>1.0188571389922174</v>
      </c>
      <c r="K161" s="241">
        <f t="shared" si="14"/>
        <v>1.0197975553036762</v>
      </c>
      <c r="L161" s="241">
        <f t="shared" si="15"/>
        <v>1.0151811799768855</v>
      </c>
    </row>
    <row r="162" spans="1:12" ht="12.75">
      <c r="A162" t="s">
        <v>298</v>
      </c>
      <c r="B162" s="109">
        <v>14351305.07901061</v>
      </c>
      <c r="C162" s="109">
        <v>14397555.404091608</v>
      </c>
      <c r="D162" s="109">
        <v>14670738.931821194</v>
      </c>
      <c r="E162" s="109">
        <v>14884891.713990027</v>
      </c>
      <c r="F162" s="109">
        <v>14965606.012468638</v>
      </c>
      <c r="H162" s="241">
        <f t="shared" si="11"/>
        <v>1</v>
      </c>
      <c r="I162" s="241">
        <f t="shared" si="12"/>
        <v>1.0032227260744837</v>
      </c>
      <c r="J162" s="241">
        <f t="shared" si="13"/>
        <v>1.0189742994600286</v>
      </c>
      <c r="K162" s="241">
        <f t="shared" si="14"/>
        <v>1.0145972730592547</v>
      </c>
      <c r="L162" s="241">
        <f t="shared" si="15"/>
        <v>1.005422565379011</v>
      </c>
    </row>
    <row r="163" spans="1:12" ht="12.75">
      <c r="A163" t="s">
        <v>297</v>
      </c>
      <c r="B163" s="109">
        <v>21056284.62825835</v>
      </c>
      <c r="C163" s="109">
        <v>21203952.94152641</v>
      </c>
      <c r="D163" s="109">
        <v>21297876.804189347</v>
      </c>
      <c r="E163" s="109">
        <v>21452244.784778804</v>
      </c>
      <c r="F163" s="109">
        <v>21484775.11063877</v>
      </c>
      <c r="H163" s="241">
        <f t="shared" si="11"/>
        <v>1</v>
      </c>
      <c r="I163" s="241">
        <f t="shared" si="12"/>
        <v>1.0070130279807237</v>
      </c>
      <c r="J163" s="241">
        <f t="shared" si="13"/>
        <v>1.0044295449495644</v>
      </c>
      <c r="K163" s="241">
        <f t="shared" si="14"/>
        <v>1.0072480455215653</v>
      </c>
      <c r="L163" s="241">
        <f t="shared" si="15"/>
        <v>1.001516406613216</v>
      </c>
    </row>
    <row r="164" spans="1:12" ht="12.75">
      <c r="A164" t="s">
        <v>299</v>
      </c>
      <c r="B164" s="109">
        <v>35791162.13585984</v>
      </c>
      <c r="C164" s="109">
        <v>36154767.010576315</v>
      </c>
      <c r="D164" s="109">
        <v>36532647.7553363</v>
      </c>
      <c r="E164" s="109">
        <v>36906617.82913114</v>
      </c>
      <c r="F164" s="109">
        <v>37180632.92669857</v>
      </c>
      <c r="H164" s="241">
        <f t="shared" si="11"/>
        <v>1</v>
      </c>
      <c r="I164" s="241">
        <f t="shared" si="12"/>
        <v>1.0101590686923287</v>
      </c>
      <c r="J164" s="241">
        <f t="shared" si="13"/>
        <v>1.0104517543882787</v>
      </c>
      <c r="K164" s="241">
        <f t="shared" si="14"/>
        <v>1.0102365992276106</v>
      </c>
      <c r="L164" s="241">
        <f t="shared" si="15"/>
        <v>1.0074245518469358</v>
      </c>
    </row>
    <row r="165" spans="1:12" ht="12.75">
      <c r="A165" t="s">
        <v>300</v>
      </c>
      <c r="B165" s="109">
        <v>10921909.3356107</v>
      </c>
      <c r="C165" s="109">
        <v>11055947.429152925</v>
      </c>
      <c r="D165" s="109">
        <v>11152115.58840073</v>
      </c>
      <c r="E165" s="109">
        <v>11356824.67984029</v>
      </c>
      <c r="F165" s="109">
        <v>11568400.889118817</v>
      </c>
      <c r="H165" s="241">
        <f t="shared" si="11"/>
        <v>1</v>
      </c>
      <c r="I165" s="241">
        <f t="shared" si="12"/>
        <v>1.0122724048903422</v>
      </c>
      <c r="J165" s="241">
        <f t="shared" si="13"/>
        <v>1.0086983191503087</v>
      </c>
      <c r="K165" s="241">
        <f t="shared" si="14"/>
        <v>1.0183560769090734</v>
      </c>
      <c r="L165" s="241">
        <f t="shared" si="15"/>
        <v>1.0186298736876778</v>
      </c>
    </row>
    <row r="166" spans="1:12" ht="12.75">
      <c r="A166" t="s">
        <v>301</v>
      </c>
      <c r="B166" s="109">
        <v>28082732.346690197</v>
      </c>
      <c r="C166" s="109">
        <v>28621073.26127532</v>
      </c>
      <c r="D166" s="109">
        <v>29005695.593060784</v>
      </c>
      <c r="E166" s="109">
        <v>29486694.837607335</v>
      </c>
      <c r="F166" s="109">
        <v>29849513.3302126</v>
      </c>
      <c r="H166" s="241">
        <f t="shared" si="11"/>
        <v>1</v>
      </c>
      <c r="I166" s="241">
        <f t="shared" si="12"/>
        <v>1.0191698196578287</v>
      </c>
      <c r="J166" s="241">
        <f t="shared" si="13"/>
        <v>1.0134384314757987</v>
      </c>
      <c r="K166" s="241">
        <f t="shared" si="14"/>
        <v>1.0165829239641342</v>
      </c>
      <c r="L166" s="241">
        <f t="shared" si="15"/>
        <v>1.0123044815501847</v>
      </c>
    </row>
    <row r="167" spans="1:12" ht="12.75">
      <c r="A167" t="s">
        <v>302</v>
      </c>
      <c r="B167" s="109">
        <v>66769302.14317025</v>
      </c>
      <c r="C167" s="109">
        <v>68083667.64297809</v>
      </c>
      <c r="D167" s="109">
        <v>69327698.28398673</v>
      </c>
      <c r="E167" s="109">
        <v>70385370.96059698</v>
      </c>
      <c r="F167" s="109">
        <v>71459687.85640635</v>
      </c>
      <c r="H167" s="241">
        <f t="shared" si="11"/>
        <v>1</v>
      </c>
      <c r="I167" s="241">
        <f t="shared" si="12"/>
        <v>1.0196851765350117</v>
      </c>
      <c r="J167" s="241">
        <f t="shared" si="13"/>
        <v>1.018272086156289</v>
      </c>
      <c r="K167" s="241">
        <f t="shared" si="14"/>
        <v>1.0152561343126913</v>
      </c>
      <c r="L167" s="241">
        <f t="shared" si="15"/>
        <v>1.0152633548867815</v>
      </c>
    </row>
    <row r="168" spans="1:12" ht="12.75">
      <c r="A168" t="s">
        <v>303</v>
      </c>
      <c r="B168" s="109">
        <v>11179314.459523497</v>
      </c>
      <c r="C168" s="109">
        <v>11453370.224641448</v>
      </c>
      <c r="D168" s="109">
        <v>11627926.917190569</v>
      </c>
      <c r="E168" s="109">
        <v>11884944.970746348</v>
      </c>
      <c r="F168" s="109">
        <v>12146335.969379626</v>
      </c>
      <c r="H168" s="241">
        <f t="shared" si="11"/>
        <v>1</v>
      </c>
      <c r="I168" s="241">
        <f t="shared" si="12"/>
        <v>1.024514541218982</v>
      </c>
      <c r="J168" s="241">
        <f t="shared" si="13"/>
        <v>1.0152406400147242</v>
      </c>
      <c r="K168" s="241">
        <f t="shared" si="14"/>
        <v>1.0221035147009574</v>
      </c>
      <c r="L168" s="241">
        <f t="shared" si="15"/>
        <v>1.0219934546837757</v>
      </c>
    </row>
    <row r="169" spans="1:12" ht="12.75">
      <c r="A169" t="s">
        <v>304</v>
      </c>
      <c r="B169" s="109">
        <v>17855321.729300167</v>
      </c>
      <c r="C169" s="109">
        <v>17883844.65925443</v>
      </c>
      <c r="D169" s="109">
        <v>18057059.751150183</v>
      </c>
      <c r="E169" s="109">
        <v>18230356.13645446</v>
      </c>
      <c r="F169" s="109">
        <v>18488034.64611875</v>
      </c>
      <c r="H169" s="241">
        <f t="shared" si="11"/>
        <v>1</v>
      </c>
      <c r="I169" s="241">
        <f t="shared" si="12"/>
        <v>1.0015974469901294</v>
      </c>
      <c r="J169" s="241">
        <f t="shared" si="13"/>
        <v>1.0096855623159373</v>
      </c>
      <c r="K169" s="241">
        <f t="shared" si="14"/>
        <v>1.0095971541154831</v>
      </c>
      <c r="L169" s="241">
        <f t="shared" si="15"/>
        <v>1.0141345845213094</v>
      </c>
    </row>
    <row r="170" spans="1:12" ht="12.75">
      <c r="A170" t="s">
        <v>305</v>
      </c>
      <c r="B170" s="109">
        <v>90799710.42189606</v>
      </c>
      <c r="C170" s="109">
        <v>92194212.45506476</v>
      </c>
      <c r="D170" s="109">
        <v>93768016.99763212</v>
      </c>
      <c r="E170" s="109">
        <v>95602827.05980226</v>
      </c>
      <c r="F170" s="109">
        <v>97362593.50275457</v>
      </c>
      <c r="H170" s="241">
        <f t="shared" si="11"/>
        <v>1</v>
      </c>
      <c r="I170" s="241">
        <f t="shared" si="12"/>
        <v>1.0153580008866683</v>
      </c>
      <c r="J170" s="241">
        <f t="shared" si="13"/>
        <v>1.0170705351307645</v>
      </c>
      <c r="K170" s="241">
        <f t="shared" si="14"/>
        <v>1.0195675468130725</v>
      </c>
      <c r="L170" s="241">
        <f t="shared" si="15"/>
        <v>1.0184070544467427</v>
      </c>
    </row>
    <row r="171" spans="1:12" ht="12.75">
      <c r="A171" t="s">
        <v>306</v>
      </c>
      <c r="B171" s="109">
        <v>22505196.06796175</v>
      </c>
      <c r="C171" s="109">
        <v>23069040.04759526</v>
      </c>
      <c r="D171" s="109">
        <v>23510141.767843135</v>
      </c>
      <c r="E171" s="109">
        <v>24085252.19982506</v>
      </c>
      <c r="F171" s="109">
        <v>24549754.711187128</v>
      </c>
      <c r="H171" s="241">
        <f t="shared" si="11"/>
        <v>1</v>
      </c>
      <c r="I171" s="241">
        <f t="shared" si="12"/>
        <v>1.0250539465610875</v>
      </c>
      <c r="J171" s="241">
        <f t="shared" si="13"/>
        <v>1.0191209395509224</v>
      </c>
      <c r="K171" s="241">
        <f t="shared" si="14"/>
        <v>1.0244622273085802</v>
      </c>
      <c r="L171" s="241">
        <f t="shared" si="15"/>
        <v>1.0192857648949776</v>
      </c>
    </row>
    <row r="172" spans="1:12" ht="12.75">
      <c r="A172" t="s">
        <v>307</v>
      </c>
      <c r="B172" s="109">
        <v>32222447.727632362</v>
      </c>
      <c r="C172" s="109">
        <v>32562253.17701193</v>
      </c>
      <c r="D172" s="109">
        <v>33002951.931468718</v>
      </c>
      <c r="E172" s="109">
        <v>33496911.170985203</v>
      </c>
      <c r="F172" s="109">
        <v>33799718.89341773</v>
      </c>
      <c r="H172" s="241">
        <f t="shared" si="11"/>
        <v>1</v>
      </c>
      <c r="I172" s="241">
        <f t="shared" si="12"/>
        <v>1.010545612557179</v>
      </c>
      <c r="J172" s="241">
        <f t="shared" si="13"/>
        <v>1.013534037465439</v>
      </c>
      <c r="K172" s="241">
        <f t="shared" si="14"/>
        <v>1.0149671229574313</v>
      </c>
      <c r="L172" s="241">
        <f t="shared" si="15"/>
        <v>1.0090398700013516</v>
      </c>
    </row>
    <row r="173" spans="1:12" ht="12.75">
      <c r="A173" t="s">
        <v>308</v>
      </c>
      <c r="B173" s="109">
        <v>2527905.294457203</v>
      </c>
      <c r="C173" s="109">
        <v>2578802.331287933</v>
      </c>
      <c r="D173" s="109">
        <v>2630728.1739964797</v>
      </c>
      <c r="E173" s="109">
        <v>2683704.3981253835</v>
      </c>
      <c r="F173" s="109">
        <v>2738268.5262805405</v>
      </c>
      <c r="H173" s="241">
        <f t="shared" si="11"/>
        <v>1</v>
      </c>
      <c r="I173" s="241">
        <f t="shared" si="12"/>
        <v>1.0201340758066884</v>
      </c>
      <c r="J173" s="241">
        <f t="shared" si="13"/>
        <v>1.0201356428441777</v>
      </c>
      <c r="K173" s="241">
        <f t="shared" si="14"/>
        <v>1.0201374754915955</v>
      </c>
      <c r="L173" s="241">
        <f t="shared" si="15"/>
        <v>1.0203316461355696</v>
      </c>
    </row>
    <row r="174" spans="1:12" ht="12.75">
      <c r="A174" t="s">
        <v>309</v>
      </c>
      <c r="B174" s="109">
        <v>21260014.61282436</v>
      </c>
      <c r="C174" s="109">
        <v>21488968.130202778</v>
      </c>
      <c r="D174" s="109">
        <v>21652146.07124259</v>
      </c>
      <c r="E174" s="109">
        <v>21996588.869060047</v>
      </c>
      <c r="F174" s="109">
        <v>22350018.90277986</v>
      </c>
      <c r="H174" s="241">
        <f t="shared" si="11"/>
        <v>1</v>
      </c>
      <c r="I174" s="241">
        <f t="shared" si="12"/>
        <v>1.010769207902628</v>
      </c>
      <c r="J174" s="241">
        <f t="shared" si="13"/>
        <v>1.007593568013648</v>
      </c>
      <c r="K174" s="241">
        <f t="shared" si="14"/>
        <v>1.0159080211580012</v>
      </c>
      <c r="L174" s="241">
        <f t="shared" si="15"/>
        <v>1.0160674928200772</v>
      </c>
    </row>
    <row r="175" spans="1:12" ht="12.75">
      <c r="A175" t="s">
        <v>310</v>
      </c>
      <c r="B175" s="109">
        <v>19074878.590839785</v>
      </c>
      <c r="C175" s="109">
        <v>19217887.486450434</v>
      </c>
      <c r="D175" s="109">
        <v>19363138.299871303</v>
      </c>
      <c r="E175" s="109">
        <v>19512038.482728884</v>
      </c>
      <c r="F175" s="109">
        <v>19647326.745170165</v>
      </c>
      <c r="H175" s="241">
        <f t="shared" si="11"/>
        <v>1</v>
      </c>
      <c r="I175" s="241">
        <f t="shared" si="12"/>
        <v>1.0074972375278617</v>
      </c>
      <c r="J175" s="241">
        <f t="shared" si="13"/>
        <v>1.0075581050999116</v>
      </c>
      <c r="K175" s="241">
        <f t="shared" si="14"/>
        <v>1.0076898786008552</v>
      </c>
      <c r="L175" s="241">
        <f t="shared" si="15"/>
        <v>1.0069335791112257</v>
      </c>
    </row>
    <row r="176" spans="1:12" ht="12.75">
      <c r="A176" t="s">
        <v>311</v>
      </c>
      <c r="B176" s="109">
        <v>447162774.5919102</v>
      </c>
      <c r="C176" s="109">
        <v>458470426.51781607</v>
      </c>
      <c r="D176" s="109">
        <v>469346897.08807594</v>
      </c>
      <c r="E176" s="109">
        <v>480461428.7837193</v>
      </c>
      <c r="F176" s="109">
        <v>491097875.90725523</v>
      </c>
      <c r="H176" s="241">
        <f t="shared" si="11"/>
        <v>1</v>
      </c>
      <c r="I176" s="241">
        <f t="shared" si="12"/>
        <v>1.0252875520244848</v>
      </c>
      <c r="J176" s="241">
        <f t="shared" si="13"/>
        <v>1.023723385285435</v>
      </c>
      <c r="K176" s="241">
        <f t="shared" si="14"/>
        <v>1.0236808462239768</v>
      </c>
      <c r="L176" s="241">
        <f t="shared" si="15"/>
        <v>1.0221379833766508</v>
      </c>
    </row>
    <row r="177" spans="1:12" ht="12.75">
      <c r="A177" t="s">
        <v>313</v>
      </c>
      <c r="B177" s="109">
        <v>5937700.638334576</v>
      </c>
      <c r="C177" s="109">
        <v>5991617.598287389</v>
      </c>
      <c r="D177" s="109">
        <v>6082046.21620905</v>
      </c>
      <c r="E177" s="109">
        <v>6176584.239421537</v>
      </c>
      <c r="F177" s="109">
        <v>6274440.213360066</v>
      </c>
      <c r="H177" s="241">
        <f t="shared" si="11"/>
        <v>1</v>
      </c>
      <c r="I177" s="241">
        <f t="shared" si="12"/>
        <v>1.0090804443061203</v>
      </c>
      <c r="J177" s="241">
        <f t="shared" si="13"/>
        <v>1.015092521583405</v>
      </c>
      <c r="K177" s="241">
        <f t="shared" si="14"/>
        <v>1.0155437857345668</v>
      </c>
      <c r="L177" s="241">
        <f t="shared" si="15"/>
        <v>1.0158430566386467</v>
      </c>
    </row>
    <row r="178" spans="1:12" ht="12.75">
      <c r="A178" t="s">
        <v>314</v>
      </c>
      <c r="B178" s="109">
        <v>24056451.67704868</v>
      </c>
      <c r="C178" s="109">
        <v>24591487.319336966</v>
      </c>
      <c r="D178" s="109">
        <v>25291225.373319514</v>
      </c>
      <c r="E178" s="109">
        <v>25817059.955031324</v>
      </c>
      <c r="F178" s="109">
        <v>26431567.85317778</v>
      </c>
      <c r="H178" s="241">
        <f t="shared" si="11"/>
        <v>1</v>
      </c>
      <c r="I178" s="241">
        <f t="shared" si="12"/>
        <v>1.0222408379037355</v>
      </c>
      <c r="J178" s="241">
        <f t="shared" si="13"/>
        <v>1.0284544828418054</v>
      </c>
      <c r="K178" s="241">
        <f t="shared" si="14"/>
        <v>1.0207911864273105</v>
      </c>
      <c r="L178" s="241">
        <f t="shared" si="15"/>
        <v>1.0238023965245002</v>
      </c>
    </row>
    <row r="179" spans="1:12" ht="12.75">
      <c r="A179" t="s">
        <v>315</v>
      </c>
      <c r="B179" s="109">
        <v>8973226.628035465</v>
      </c>
      <c r="C179" s="109">
        <v>9055628.772699105</v>
      </c>
      <c r="D179" s="109">
        <v>9143265.85385241</v>
      </c>
      <c r="E179" s="109">
        <v>9208483.604636345</v>
      </c>
      <c r="F179" s="109">
        <v>9408833.069661135</v>
      </c>
      <c r="H179" s="241">
        <f t="shared" si="11"/>
        <v>1</v>
      </c>
      <c r="I179" s="241">
        <f t="shared" si="12"/>
        <v>1.009183111948403</v>
      </c>
      <c r="J179" s="241">
        <f t="shared" si="13"/>
        <v>1.0096776362363167</v>
      </c>
      <c r="K179" s="241">
        <f t="shared" si="14"/>
        <v>1.007132872632863</v>
      </c>
      <c r="L179" s="241">
        <f t="shared" si="15"/>
        <v>1.0217570529119384</v>
      </c>
    </row>
    <row r="180" spans="1:12" ht="12.75">
      <c r="A180" t="s">
        <v>316</v>
      </c>
      <c r="B180" s="109">
        <v>9460403.588305406</v>
      </c>
      <c r="C180" s="109">
        <v>9530320.520608902</v>
      </c>
      <c r="D180" s="109">
        <v>9588968.282074511</v>
      </c>
      <c r="E180" s="109">
        <v>9695046.90206221</v>
      </c>
      <c r="F180" s="109">
        <v>9803703.001106845</v>
      </c>
      <c r="H180" s="241">
        <f t="shared" si="11"/>
        <v>1</v>
      </c>
      <c r="I180" s="241">
        <f t="shared" si="12"/>
        <v>1.007390480929368</v>
      </c>
      <c r="J180" s="241">
        <f t="shared" si="13"/>
        <v>1.0061538078744345</v>
      </c>
      <c r="K180" s="241">
        <f t="shared" si="14"/>
        <v>1.0110625686588202</v>
      </c>
      <c r="L180" s="241">
        <f t="shared" si="15"/>
        <v>1.0112073825059602</v>
      </c>
    </row>
    <row r="181" spans="1:12" ht="12.75">
      <c r="A181" t="s">
        <v>317</v>
      </c>
      <c r="B181" s="109">
        <v>13547551.574692424</v>
      </c>
      <c r="C181" s="109">
        <v>13696488.85944515</v>
      </c>
      <c r="D181" s="109">
        <v>13893091.336185884</v>
      </c>
      <c r="E181" s="109">
        <v>14003584.187984336</v>
      </c>
      <c r="F181" s="109">
        <v>14076424.104187053</v>
      </c>
      <c r="H181" s="241">
        <f t="shared" si="11"/>
        <v>1</v>
      </c>
      <c r="I181" s="241">
        <f t="shared" si="12"/>
        <v>1.0109936680389502</v>
      </c>
      <c r="J181" s="241">
        <f t="shared" si="13"/>
        <v>1.0143542245577162</v>
      </c>
      <c r="K181" s="241">
        <f t="shared" si="14"/>
        <v>1.0079530789170488</v>
      </c>
      <c r="L181" s="241">
        <f t="shared" si="15"/>
        <v>1.0052015194985022</v>
      </c>
    </row>
    <row r="182" spans="1:12" ht="12.75">
      <c r="A182" t="s">
        <v>318</v>
      </c>
      <c r="B182" s="109">
        <v>2965825.2320964593</v>
      </c>
      <c r="C182" s="109">
        <v>3013294.9831336937</v>
      </c>
      <c r="D182" s="109">
        <v>3063193.269294348</v>
      </c>
      <c r="E182" s="109">
        <v>3117378.427893731</v>
      </c>
      <c r="F182" s="109">
        <v>3167168.239278266</v>
      </c>
      <c r="H182" s="241">
        <f t="shared" si="11"/>
        <v>1</v>
      </c>
      <c r="I182" s="241">
        <f t="shared" si="12"/>
        <v>1.0160055793320226</v>
      </c>
      <c r="J182" s="241">
        <f t="shared" si="13"/>
        <v>1.016559376509751</v>
      </c>
      <c r="K182" s="241">
        <f t="shared" si="14"/>
        <v>1.0176891086640005</v>
      </c>
      <c r="L182" s="241">
        <f t="shared" si="15"/>
        <v>1.0159716930543385</v>
      </c>
    </row>
    <row r="183" spans="1:12" ht="12.75">
      <c r="A183" t="s">
        <v>320</v>
      </c>
      <c r="B183" s="109">
        <v>7677410.007690864</v>
      </c>
      <c r="C183" s="109">
        <v>7761455.354900486</v>
      </c>
      <c r="D183" s="109">
        <v>7898885.057761401</v>
      </c>
      <c r="E183" s="109">
        <v>8039661.20264411</v>
      </c>
      <c r="F183" s="109">
        <v>8181965.155836912</v>
      </c>
      <c r="H183" s="241">
        <f t="shared" si="11"/>
        <v>1</v>
      </c>
      <c r="I183" s="241">
        <f t="shared" si="12"/>
        <v>1.0109470963678415</v>
      </c>
      <c r="J183" s="241">
        <f t="shared" si="13"/>
        <v>1.0177066924406315</v>
      </c>
      <c r="K183" s="241">
        <f t="shared" si="14"/>
        <v>1.017822280467847</v>
      </c>
      <c r="L183" s="241">
        <f t="shared" si="15"/>
        <v>1.0177002425358423</v>
      </c>
    </row>
    <row r="184" spans="1:12" ht="12.75">
      <c r="A184" t="s">
        <v>321</v>
      </c>
      <c r="B184" s="109">
        <v>4345801.594614377</v>
      </c>
      <c r="C184" s="109">
        <v>4416525.7642093245</v>
      </c>
      <c r="D184" s="109">
        <v>4489256.748940931</v>
      </c>
      <c r="E184" s="109">
        <v>4564990.189317859</v>
      </c>
      <c r="F184" s="109">
        <v>4641966.8221516665</v>
      </c>
      <c r="H184" s="241">
        <f t="shared" si="11"/>
        <v>1</v>
      </c>
      <c r="I184" s="241">
        <f t="shared" si="12"/>
        <v>1.0162741367858563</v>
      </c>
      <c r="J184" s="241">
        <f t="shared" si="13"/>
        <v>1.0164679181362428</v>
      </c>
      <c r="K184" s="241">
        <f t="shared" si="14"/>
        <v>1.0168699285009248</v>
      </c>
      <c r="L184" s="241">
        <f t="shared" si="15"/>
        <v>1.0168623873527558</v>
      </c>
    </row>
    <row r="185" spans="1:12" ht="12.75">
      <c r="A185" t="s">
        <v>322</v>
      </c>
      <c r="B185" s="109">
        <v>11350357.771960137</v>
      </c>
      <c r="C185" s="109">
        <v>11531210.422465228</v>
      </c>
      <c r="D185" s="109">
        <v>11769176.184195794</v>
      </c>
      <c r="E185" s="109">
        <v>12011175.513887206</v>
      </c>
      <c r="F185" s="109">
        <v>12255130.133206472</v>
      </c>
      <c r="H185" s="241">
        <f t="shared" si="11"/>
        <v>1</v>
      </c>
      <c r="I185" s="241">
        <f t="shared" si="12"/>
        <v>1.0159336519727922</v>
      </c>
      <c r="J185" s="241">
        <f t="shared" si="13"/>
        <v>1.0206366680523806</v>
      </c>
      <c r="K185" s="241">
        <f t="shared" si="14"/>
        <v>1.0205621299149537</v>
      </c>
      <c r="L185" s="241">
        <f t="shared" si="15"/>
        <v>1.0203106364599541</v>
      </c>
    </row>
    <row r="186" spans="1:12" ht="12.75">
      <c r="A186" t="s">
        <v>323</v>
      </c>
      <c r="B186" s="109">
        <v>33789121.71569427</v>
      </c>
      <c r="C186" s="109">
        <v>34115253.99462125</v>
      </c>
      <c r="D186" s="109">
        <v>34397298.066515245</v>
      </c>
      <c r="E186" s="109">
        <v>34715685.245303206</v>
      </c>
      <c r="F186" s="109">
        <v>34988795.69926473</v>
      </c>
      <c r="H186" s="241">
        <f t="shared" si="11"/>
        <v>1</v>
      </c>
      <c r="I186" s="241">
        <f t="shared" si="12"/>
        <v>1.0096519904148764</v>
      </c>
      <c r="J186" s="241">
        <f t="shared" si="13"/>
        <v>1.008267388891153</v>
      </c>
      <c r="K186" s="241">
        <f t="shared" si="14"/>
        <v>1.0092561682656669</v>
      </c>
      <c r="L186" s="241">
        <f t="shared" si="15"/>
        <v>1.0078670621660413</v>
      </c>
    </row>
    <row r="187" spans="1:12" ht="12.75">
      <c r="A187" t="s">
        <v>324</v>
      </c>
      <c r="B187" s="109">
        <v>9498150.849963387</v>
      </c>
      <c r="C187" s="109">
        <v>9589578.408874234</v>
      </c>
      <c r="D187" s="109">
        <v>9737061.323972754</v>
      </c>
      <c r="E187" s="109">
        <v>9940993.367329061</v>
      </c>
      <c r="F187" s="109">
        <v>10024957.240375048</v>
      </c>
      <c r="H187" s="241">
        <f t="shared" si="11"/>
        <v>1</v>
      </c>
      <c r="I187" s="241">
        <f t="shared" si="12"/>
        <v>1.0096258272115355</v>
      </c>
      <c r="J187" s="241">
        <f t="shared" si="13"/>
        <v>1.0153794993700702</v>
      </c>
      <c r="K187" s="241">
        <f t="shared" si="14"/>
        <v>1.0209439004819887</v>
      </c>
      <c r="L187" s="241">
        <f t="shared" si="15"/>
        <v>1.0084462256379663</v>
      </c>
    </row>
    <row r="188" spans="1:12" ht="12.75">
      <c r="A188" t="s">
        <v>325</v>
      </c>
      <c r="B188" s="109">
        <v>44342126.210880406</v>
      </c>
      <c r="C188" s="109">
        <v>45258698.49340131</v>
      </c>
      <c r="D188" s="109">
        <v>45781515.2652543</v>
      </c>
      <c r="E188" s="109">
        <v>46489213.178884</v>
      </c>
      <c r="F188" s="109">
        <v>47210453.95597959</v>
      </c>
      <c r="H188" s="241">
        <f t="shared" si="11"/>
        <v>1</v>
      </c>
      <c r="I188" s="241">
        <f t="shared" si="12"/>
        <v>1.0206704630752685</v>
      </c>
      <c r="J188" s="241">
        <f t="shared" si="13"/>
        <v>1.0115517411957662</v>
      </c>
      <c r="K188" s="241">
        <f t="shared" si="14"/>
        <v>1.0154581583752604</v>
      </c>
      <c r="L188" s="241">
        <f t="shared" si="15"/>
        <v>1.0155141532363725</v>
      </c>
    </row>
    <row r="189" spans="1:12" ht="12.75">
      <c r="A189" t="s">
        <v>131</v>
      </c>
      <c r="B189" s="109">
        <v>27255101.623226732</v>
      </c>
      <c r="C189" s="109">
        <v>27848484.085374862</v>
      </c>
      <c r="D189" s="109">
        <v>28481763.160690583</v>
      </c>
      <c r="E189" s="109">
        <v>28961133.708340395</v>
      </c>
      <c r="F189" s="109">
        <v>29327174.579204053</v>
      </c>
      <c r="H189" s="241">
        <f t="shared" si="11"/>
        <v>1</v>
      </c>
      <c r="I189" s="241">
        <f t="shared" si="12"/>
        <v>1.021771427248778</v>
      </c>
      <c r="J189" s="241">
        <f t="shared" si="13"/>
        <v>1.022740163284087</v>
      </c>
      <c r="K189" s="241">
        <f t="shared" si="14"/>
        <v>1.0168307890542192</v>
      </c>
      <c r="L189" s="241">
        <f t="shared" si="15"/>
        <v>1.0126390380483705</v>
      </c>
    </row>
    <row r="190" spans="1:12" ht="12.75">
      <c r="A190" t="s">
        <v>326</v>
      </c>
      <c r="B190" s="109">
        <v>10959385.748213435</v>
      </c>
      <c r="C190" s="109">
        <v>10919954.011071866</v>
      </c>
      <c r="D190" s="109">
        <v>11058772.27197538</v>
      </c>
      <c r="E190" s="109">
        <v>11222907.305839198</v>
      </c>
      <c r="F190" s="109">
        <v>11335002.099328745</v>
      </c>
      <c r="H190" s="241">
        <f t="shared" si="11"/>
        <v>1</v>
      </c>
      <c r="I190" s="241">
        <f t="shared" si="12"/>
        <v>0.9964020121156885</v>
      </c>
      <c r="J190" s="241">
        <f t="shared" si="13"/>
        <v>1.012712348491831</v>
      </c>
      <c r="K190" s="241">
        <f t="shared" si="14"/>
        <v>1.0148420665357005</v>
      </c>
      <c r="L190" s="241">
        <f t="shared" si="15"/>
        <v>1.0099880352242796</v>
      </c>
    </row>
    <row r="191" spans="1:12" ht="12.75">
      <c r="A191" t="s">
        <v>327</v>
      </c>
      <c r="B191" s="109">
        <v>45058283.37237046</v>
      </c>
      <c r="C191" s="109">
        <v>46304971.33802393</v>
      </c>
      <c r="D191" s="109">
        <v>47722726.21045182</v>
      </c>
      <c r="E191" s="109">
        <v>49080130.152348526</v>
      </c>
      <c r="F191" s="109">
        <v>50480768.9198461</v>
      </c>
      <c r="H191" s="241">
        <f t="shared" si="11"/>
        <v>1</v>
      </c>
      <c r="I191" s="241">
        <f t="shared" si="12"/>
        <v>1.0276683413646854</v>
      </c>
      <c r="J191" s="241">
        <f t="shared" si="13"/>
        <v>1.030617768059467</v>
      </c>
      <c r="K191" s="241">
        <f t="shared" si="14"/>
        <v>1.0284435540398658</v>
      </c>
      <c r="L191" s="241">
        <f t="shared" si="15"/>
        <v>1.0285377965207079</v>
      </c>
    </row>
    <row r="192" spans="1:12" ht="12.75">
      <c r="A192" t="s">
        <v>328</v>
      </c>
      <c r="B192" s="109">
        <v>10404944.042948475</v>
      </c>
      <c r="C192" s="109">
        <v>10552433.796160974</v>
      </c>
      <c r="D192" s="109">
        <v>10677551.603378752</v>
      </c>
      <c r="E192" s="109">
        <v>10936988.547615077</v>
      </c>
      <c r="F192" s="109">
        <v>11137209.498990154</v>
      </c>
      <c r="H192" s="241">
        <f t="shared" si="11"/>
        <v>1</v>
      </c>
      <c r="I192" s="241">
        <f t="shared" si="12"/>
        <v>1.0141749684192154</v>
      </c>
      <c r="J192" s="241">
        <f t="shared" si="13"/>
        <v>1.0118567725355734</v>
      </c>
      <c r="K192" s="241">
        <f t="shared" si="14"/>
        <v>1.024297418909615</v>
      </c>
      <c r="L192" s="241">
        <f t="shared" si="15"/>
        <v>1.0183067716038467</v>
      </c>
    </row>
    <row r="193" spans="1:12" ht="12.75">
      <c r="A193" t="s">
        <v>329</v>
      </c>
      <c r="B193" s="109">
        <v>5203388.239352986</v>
      </c>
      <c r="C193" s="109">
        <v>5280370.547213929</v>
      </c>
      <c r="D193" s="109">
        <v>5359732.376689717</v>
      </c>
      <c r="E193" s="109">
        <v>5404322.622672654</v>
      </c>
      <c r="F193" s="109">
        <v>5529255.65449754</v>
      </c>
      <c r="H193" s="241">
        <f t="shared" si="11"/>
        <v>1</v>
      </c>
      <c r="I193" s="241">
        <f t="shared" si="12"/>
        <v>1.0147946500087632</v>
      </c>
      <c r="J193" s="241">
        <f t="shared" si="13"/>
        <v>1.015029594754039</v>
      </c>
      <c r="K193" s="241">
        <f t="shared" si="14"/>
        <v>1.0083194911329652</v>
      </c>
      <c r="L193" s="241">
        <f t="shared" si="15"/>
        <v>1.0231172416133627</v>
      </c>
    </row>
    <row r="194" spans="1:12" ht="12.75">
      <c r="A194" t="s">
        <v>330</v>
      </c>
      <c r="B194" s="109">
        <v>135377339.61092618</v>
      </c>
      <c r="C194" s="109">
        <v>138220358.90946713</v>
      </c>
      <c r="D194" s="109">
        <v>140477116.95287046</v>
      </c>
      <c r="E194" s="109">
        <v>143190013.62771136</v>
      </c>
      <c r="F194" s="109">
        <v>146001383.1618999</v>
      </c>
      <c r="H194" s="241">
        <f t="shared" si="11"/>
        <v>1</v>
      </c>
      <c r="I194" s="241">
        <f t="shared" si="12"/>
        <v>1.021000702973716</v>
      </c>
      <c r="J194" s="241">
        <f t="shared" si="13"/>
        <v>1.0163272477456196</v>
      </c>
      <c r="K194" s="241">
        <f t="shared" si="14"/>
        <v>1.0193120184531625</v>
      </c>
      <c r="L194" s="241">
        <f t="shared" si="15"/>
        <v>1.0196338380237744</v>
      </c>
    </row>
    <row r="195" spans="1:12" ht="12.75">
      <c r="A195" t="s">
        <v>331</v>
      </c>
      <c r="B195" s="109">
        <v>11054783.709351439</v>
      </c>
      <c r="C195" s="109">
        <v>11181196.982125908</v>
      </c>
      <c r="D195" s="109">
        <v>11223499.682436252</v>
      </c>
      <c r="E195" s="109">
        <v>11300601.317472221</v>
      </c>
      <c r="F195" s="109">
        <v>11458700.530616159</v>
      </c>
      <c r="H195" s="241">
        <f t="shared" si="11"/>
        <v>1</v>
      </c>
      <c r="I195" s="241">
        <f t="shared" si="12"/>
        <v>1.011435164730318</v>
      </c>
      <c r="J195" s="241">
        <f t="shared" si="13"/>
        <v>1.0037833785039265</v>
      </c>
      <c r="K195" s="241">
        <f t="shared" si="14"/>
        <v>1.0068696607312804</v>
      </c>
      <c r="L195" s="241">
        <f t="shared" si="15"/>
        <v>1.0139903363283416</v>
      </c>
    </row>
    <row r="196" spans="1:12" ht="12.75">
      <c r="A196" t="s">
        <v>333</v>
      </c>
      <c r="B196" s="109">
        <v>7049827.793930554</v>
      </c>
      <c r="C196" s="109">
        <v>7177993.208253739</v>
      </c>
      <c r="D196" s="109">
        <v>7240679.118221043</v>
      </c>
      <c r="E196" s="109">
        <v>7343007.519837012</v>
      </c>
      <c r="F196" s="109">
        <v>7389910.314763024</v>
      </c>
      <c r="H196" s="241">
        <f t="shared" si="11"/>
        <v>1</v>
      </c>
      <c r="I196" s="241">
        <f t="shared" si="12"/>
        <v>1.018179935463605</v>
      </c>
      <c r="J196" s="241">
        <f t="shared" si="13"/>
        <v>1.0087330689997343</v>
      </c>
      <c r="K196" s="241">
        <f t="shared" si="14"/>
        <v>1.0141324314950597</v>
      </c>
      <c r="L196" s="241">
        <f t="shared" si="15"/>
        <v>1.006387409354996</v>
      </c>
    </row>
    <row r="197" spans="1:12" ht="12.75">
      <c r="A197" t="s">
        <v>334</v>
      </c>
      <c r="B197" s="109">
        <v>22229703.508266583</v>
      </c>
      <c r="C197" s="109">
        <v>22310962.58403398</v>
      </c>
      <c r="D197" s="109">
        <v>22513670.907961726</v>
      </c>
      <c r="E197" s="109">
        <v>22660708.696113005</v>
      </c>
      <c r="F197" s="109">
        <v>22729608.603333034</v>
      </c>
      <c r="H197" s="241">
        <f t="shared" si="11"/>
        <v>1</v>
      </c>
      <c r="I197" s="241">
        <f t="shared" si="12"/>
        <v>1.0036554277809948</v>
      </c>
      <c r="J197" s="241">
        <f t="shared" si="13"/>
        <v>1.0090855929305715</v>
      </c>
      <c r="K197" s="241">
        <f t="shared" si="14"/>
        <v>1.006531044570758</v>
      </c>
      <c r="L197" s="241">
        <f t="shared" si="15"/>
        <v>1.0030405009897967</v>
      </c>
    </row>
    <row r="198" spans="1:12" ht="12.75">
      <c r="A198" t="s">
        <v>335</v>
      </c>
      <c r="B198" s="109">
        <v>4700052.796724178</v>
      </c>
      <c r="C198" s="109">
        <v>4796518.600204334</v>
      </c>
      <c r="D198" s="109">
        <v>4897701.67430711</v>
      </c>
      <c r="E198" s="109">
        <v>5000322.3278178265</v>
      </c>
      <c r="F198" s="109">
        <v>5105095.0011682045</v>
      </c>
      <c r="H198" s="241">
        <f aca="true" t="shared" si="16" ref="H198:H261">B198/B198</f>
        <v>1</v>
      </c>
      <c r="I198" s="241">
        <f aca="true" t="shared" si="17" ref="I198:I261">C198/B198</f>
        <v>1.020524408480558</v>
      </c>
      <c r="J198" s="241">
        <f aca="true" t="shared" si="18" ref="J198:J261">D198/C198</f>
        <v>1.0210951072093133</v>
      </c>
      <c r="K198" s="241">
        <f aca="true" t="shared" si="19" ref="K198:K261">E198/D198</f>
        <v>1.020952818349279</v>
      </c>
      <c r="L198" s="241">
        <f aca="true" t="shared" si="20" ref="L198:L261">F198/E198</f>
        <v>1.0209531839112662</v>
      </c>
    </row>
    <row r="199" spans="1:12" ht="12.75">
      <c r="A199" t="s">
        <v>336</v>
      </c>
      <c r="B199" s="109">
        <v>7469498.898536216</v>
      </c>
      <c r="C199" s="109">
        <v>7627269.780938379</v>
      </c>
      <c r="D199" s="109">
        <v>7712344.80623779</v>
      </c>
      <c r="E199" s="109">
        <v>7839995.305176943</v>
      </c>
      <c r="F199" s="109">
        <v>7972014.881841828</v>
      </c>
      <c r="H199" s="241">
        <f t="shared" si="16"/>
        <v>1</v>
      </c>
      <c r="I199" s="241">
        <f t="shared" si="17"/>
        <v>1.0211220169579356</v>
      </c>
      <c r="J199" s="241">
        <f t="shared" si="18"/>
        <v>1.0111540600690467</v>
      </c>
      <c r="K199" s="241">
        <f t="shared" si="19"/>
        <v>1.0165514512312661</v>
      </c>
      <c r="L199" s="241">
        <f t="shared" si="20"/>
        <v>1.0168392418012941</v>
      </c>
    </row>
    <row r="200" spans="1:12" ht="12.75">
      <c r="A200" t="s">
        <v>337</v>
      </c>
      <c r="B200" s="109">
        <v>6546089.669966956</v>
      </c>
      <c r="C200" s="109">
        <v>6632531.874808282</v>
      </c>
      <c r="D200" s="109">
        <v>6721081.417257567</v>
      </c>
      <c r="E200" s="109">
        <v>6815645.9143707035</v>
      </c>
      <c r="F200" s="109">
        <v>6912623.278637158</v>
      </c>
      <c r="H200" s="241">
        <f t="shared" si="16"/>
        <v>1</v>
      </c>
      <c r="I200" s="241">
        <f t="shared" si="17"/>
        <v>1.013205166626103</v>
      </c>
      <c r="J200" s="241">
        <f t="shared" si="18"/>
        <v>1.0133507903347763</v>
      </c>
      <c r="K200" s="241">
        <f t="shared" si="19"/>
        <v>1.0140698335940888</v>
      </c>
      <c r="L200" s="241">
        <f t="shared" si="20"/>
        <v>1.0142286388531392</v>
      </c>
    </row>
    <row r="201" spans="1:12" ht="12.75">
      <c r="A201" t="s">
        <v>338</v>
      </c>
      <c r="B201" s="109">
        <v>6077944.407275261</v>
      </c>
      <c r="C201" s="109">
        <v>6155996.915541355</v>
      </c>
      <c r="D201" s="109">
        <v>6194782.18340286</v>
      </c>
      <c r="E201" s="109">
        <v>6277798.592301622</v>
      </c>
      <c r="F201" s="109">
        <v>6406220.195824577</v>
      </c>
      <c r="H201" s="241">
        <f t="shared" si="16"/>
        <v>1</v>
      </c>
      <c r="I201" s="241">
        <f t="shared" si="17"/>
        <v>1.0128419253346024</v>
      </c>
      <c r="J201" s="241">
        <f t="shared" si="18"/>
        <v>1.0063004040439962</v>
      </c>
      <c r="K201" s="241">
        <f t="shared" si="19"/>
        <v>1.0134010214469171</v>
      </c>
      <c r="L201" s="241">
        <f t="shared" si="20"/>
        <v>1.0204564707890496</v>
      </c>
    </row>
    <row r="202" spans="1:12" ht="12.75">
      <c r="A202" t="s">
        <v>132</v>
      </c>
      <c r="B202" s="109">
        <v>12271908.760621833</v>
      </c>
      <c r="C202" s="109">
        <v>12482017.845555611</v>
      </c>
      <c r="D202" s="109">
        <v>12704536.075539246</v>
      </c>
      <c r="E202" s="109">
        <v>13004861.259108918</v>
      </c>
      <c r="F202" s="109">
        <v>13244003.428011458</v>
      </c>
      <c r="H202" s="241">
        <f t="shared" si="16"/>
        <v>1</v>
      </c>
      <c r="I202" s="241">
        <f t="shared" si="17"/>
        <v>1.0171211413833174</v>
      </c>
      <c r="J202" s="241">
        <f t="shared" si="18"/>
        <v>1.0178271039776525</v>
      </c>
      <c r="K202" s="241">
        <f t="shared" si="19"/>
        <v>1.0236392090025157</v>
      </c>
      <c r="L202" s="241">
        <f t="shared" si="20"/>
        <v>1.0183886751375406</v>
      </c>
    </row>
    <row r="203" spans="1:12" ht="12.75">
      <c r="A203" t="s">
        <v>339</v>
      </c>
      <c r="B203" s="109">
        <v>9185848.202172393</v>
      </c>
      <c r="C203" s="109">
        <v>9403702.29225155</v>
      </c>
      <c r="D203" s="109">
        <v>9581179.095997889</v>
      </c>
      <c r="E203" s="109">
        <v>9762755.655674769</v>
      </c>
      <c r="F203" s="109">
        <v>9948539.932760492</v>
      </c>
      <c r="H203" s="241">
        <f t="shared" si="16"/>
        <v>1</v>
      </c>
      <c r="I203" s="241">
        <f t="shared" si="17"/>
        <v>1.0237162736945333</v>
      </c>
      <c r="J203" s="241">
        <f t="shared" si="18"/>
        <v>1.0188730776699062</v>
      </c>
      <c r="K203" s="241">
        <f t="shared" si="19"/>
        <v>1.0189513793508698</v>
      </c>
      <c r="L203" s="241">
        <f t="shared" si="20"/>
        <v>1.0190299013555393</v>
      </c>
    </row>
    <row r="204" spans="1:12" ht="12.75">
      <c r="A204" t="s">
        <v>133</v>
      </c>
      <c r="B204" s="109">
        <v>11732680.484618913</v>
      </c>
      <c r="C204" s="109">
        <v>11684320.18182578</v>
      </c>
      <c r="D204" s="109">
        <v>11703612.518724967</v>
      </c>
      <c r="E204" s="109">
        <v>11841914.46933477</v>
      </c>
      <c r="F204" s="109">
        <v>11909687.17171354</v>
      </c>
      <c r="H204" s="241">
        <f t="shared" si="16"/>
        <v>1</v>
      </c>
      <c r="I204" s="241">
        <f t="shared" si="17"/>
        <v>0.9958781539430369</v>
      </c>
      <c r="J204" s="241">
        <f t="shared" si="18"/>
        <v>1.001651130455086</v>
      </c>
      <c r="K204" s="241">
        <f t="shared" si="19"/>
        <v>1.0118170308858507</v>
      </c>
      <c r="L204" s="241">
        <f t="shared" si="20"/>
        <v>1.0057231204088048</v>
      </c>
    </row>
    <row r="205" spans="1:12" ht="12.75">
      <c r="A205" t="s">
        <v>340</v>
      </c>
      <c r="B205" s="109">
        <v>3927457.0281520095</v>
      </c>
      <c r="C205" s="109">
        <v>4001757.708403962</v>
      </c>
      <c r="D205" s="109">
        <v>4073744.0872311112</v>
      </c>
      <c r="E205" s="109">
        <v>4147017.0231580236</v>
      </c>
      <c r="F205" s="109">
        <v>4221599.304449401</v>
      </c>
      <c r="H205" s="241">
        <f t="shared" si="16"/>
        <v>1</v>
      </c>
      <c r="I205" s="241">
        <f t="shared" si="17"/>
        <v>1.0189182668885657</v>
      </c>
      <c r="J205" s="241">
        <f t="shared" si="18"/>
        <v>1.0179886899888948</v>
      </c>
      <c r="K205" s="241">
        <f t="shared" si="19"/>
        <v>1.0179866320411686</v>
      </c>
      <c r="L205" s="241">
        <f t="shared" si="20"/>
        <v>1.0179845611616472</v>
      </c>
    </row>
    <row r="206" spans="1:12" ht="12.75">
      <c r="A206" t="s">
        <v>341</v>
      </c>
      <c r="B206" s="109">
        <v>6807479.621893859</v>
      </c>
      <c r="C206" s="109">
        <v>6927273.662403998</v>
      </c>
      <c r="D206" s="109">
        <v>7050061.040891798</v>
      </c>
      <c r="E206" s="109">
        <v>7174999.851154283</v>
      </c>
      <c r="F206" s="109">
        <v>7304029.70890679</v>
      </c>
      <c r="H206" s="241">
        <f t="shared" si="16"/>
        <v>1</v>
      </c>
      <c r="I206" s="241">
        <f t="shared" si="17"/>
        <v>1.0175974144858053</v>
      </c>
      <c r="J206" s="241">
        <f t="shared" si="18"/>
        <v>1.0177252097248874</v>
      </c>
      <c r="K206" s="241">
        <f t="shared" si="19"/>
        <v>1.017721663619338</v>
      </c>
      <c r="L206" s="241">
        <f t="shared" si="20"/>
        <v>1.017983255808953</v>
      </c>
    </row>
    <row r="207" spans="1:12" ht="12.75">
      <c r="A207" t="s">
        <v>342</v>
      </c>
      <c r="B207" s="109">
        <v>14442312.180870911</v>
      </c>
      <c r="C207" s="109">
        <v>14528763.521478806</v>
      </c>
      <c r="D207" s="109">
        <v>14585487.697634157</v>
      </c>
      <c r="E207" s="109">
        <v>14699073.57909655</v>
      </c>
      <c r="F207" s="109">
        <v>14791549.280561464</v>
      </c>
      <c r="H207" s="241">
        <f t="shared" si="16"/>
        <v>1</v>
      </c>
      <c r="I207" s="241">
        <f t="shared" si="17"/>
        <v>1.0059859764506685</v>
      </c>
      <c r="J207" s="241">
        <f t="shared" si="18"/>
        <v>1.0039042672882308</v>
      </c>
      <c r="K207" s="241">
        <f t="shared" si="19"/>
        <v>1.0077875957127451</v>
      </c>
      <c r="L207" s="241">
        <f t="shared" si="20"/>
        <v>1.006291260531985</v>
      </c>
    </row>
    <row r="208" spans="1:12" ht="12.75">
      <c r="A208" t="s">
        <v>343</v>
      </c>
      <c r="B208" s="109">
        <v>20338672.035265513</v>
      </c>
      <c r="C208" s="109">
        <v>20820808.873138364</v>
      </c>
      <c r="D208" s="109">
        <v>21400698.260984976</v>
      </c>
      <c r="E208" s="109">
        <v>21839635.14985393</v>
      </c>
      <c r="F208" s="109">
        <v>22247315.667656295</v>
      </c>
      <c r="H208" s="241">
        <f t="shared" si="16"/>
        <v>1</v>
      </c>
      <c r="I208" s="241">
        <f t="shared" si="17"/>
        <v>1.0237054236892589</v>
      </c>
      <c r="J208" s="241">
        <f t="shared" si="18"/>
        <v>1.0278514341772162</v>
      </c>
      <c r="K208" s="241">
        <f t="shared" si="19"/>
        <v>1.020510400339094</v>
      </c>
      <c r="L208" s="241">
        <f t="shared" si="20"/>
        <v>1.0186670022189035</v>
      </c>
    </row>
    <row r="209" spans="1:12" ht="12.75">
      <c r="A209" t="s">
        <v>332</v>
      </c>
      <c r="B209" s="109">
        <v>105090454.18557759</v>
      </c>
      <c r="C209" s="109">
        <v>107023035.55190304</v>
      </c>
      <c r="D209" s="109">
        <v>109019616.49369542</v>
      </c>
      <c r="E209" s="109">
        <v>111059877.33846012</v>
      </c>
      <c r="F209" s="109">
        <v>113266091.0407758</v>
      </c>
      <c r="H209" s="241">
        <f t="shared" si="16"/>
        <v>1</v>
      </c>
      <c r="I209" s="241">
        <f t="shared" si="17"/>
        <v>1.0183896946806676</v>
      </c>
      <c r="J209" s="241">
        <f t="shared" si="18"/>
        <v>1.0186556186852325</v>
      </c>
      <c r="K209" s="241">
        <f t="shared" si="19"/>
        <v>1.0187146213716747</v>
      </c>
      <c r="L209" s="241">
        <f t="shared" si="20"/>
        <v>1.0198650831892435</v>
      </c>
    </row>
    <row r="210" spans="1:12" ht="12.75">
      <c r="A210" t="s">
        <v>344</v>
      </c>
      <c r="B210" s="109">
        <v>54210649.26154718</v>
      </c>
      <c r="C210" s="109">
        <v>54830049.73812076</v>
      </c>
      <c r="D210" s="109">
        <v>55514427.75222548</v>
      </c>
      <c r="E210" s="109">
        <v>56003345.865413085</v>
      </c>
      <c r="F210" s="109">
        <v>56550906.2266184</v>
      </c>
      <c r="H210" s="241">
        <f t="shared" si="16"/>
        <v>1</v>
      </c>
      <c r="I210" s="241">
        <f t="shared" si="17"/>
        <v>1.011425808120932</v>
      </c>
      <c r="J210" s="241">
        <f t="shared" si="18"/>
        <v>1.0124818054583837</v>
      </c>
      <c r="K210" s="241">
        <f t="shared" si="19"/>
        <v>1.0088070458975056</v>
      </c>
      <c r="L210" s="241">
        <f t="shared" si="20"/>
        <v>1.0097772794240045</v>
      </c>
    </row>
    <row r="211" spans="1:12" ht="12.75">
      <c r="A211" t="s">
        <v>345</v>
      </c>
      <c r="B211" s="109">
        <v>46790161.75515705</v>
      </c>
      <c r="C211" s="109">
        <v>47733194.04975945</v>
      </c>
      <c r="D211" s="109">
        <v>48615557.80983</v>
      </c>
      <c r="E211" s="109">
        <v>49454049.25501498</v>
      </c>
      <c r="F211" s="109">
        <v>50204053.73513089</v>
      </c>
      <c r="H211" s="241">
        <f t="shared" si="16"/>
        <v>1</v>
      </c>
      <c r="I211" s="241">
        <f t="shared" si="17"/>
        <v>1.0201544995620464</v>
      </c>
      <c r="J211" s="241">
        <f t="shared" si="18"/>
        <v>1.018485328242454</v>
      </c>
      <c r="K211" s="241">
        <f t="shared" si="19"/>
        <v>1.0172473891683997</v>
      </c>
      <c r="L211" s="241">
        <f t="shared" si="20"/>
        <v>1.0151656839311263</v>
      </c>
    </row>
    <row r="212" spans="1:12" ht="12.75">
      <c r="A212" t="s">
        <v>346</v>
      </c>
      <c r="B212" s="109">
        <v>8255374.020881041</v>
      </c>
      <c r="C212" s="109">
        <v>8340088.220435458</v>
      </c>
      <c r="D212" s="109">
        <v>8502321.653298697</v>
      </c>
      <c r="E212" s="109">
        <v>8632518.305301845</v>
      </c>
      <c r="F212" s="109">
        <v>8728627.130865727</v>
      </c>
      <c r="H212" s="241">
        <f t="shared" si="16"/>
        <v>1</v>
      </c>
      <c r="I212" s="241">
        <f t="shared" si="17"/>
        <v>1.0102617033874106</v>
      </c>
      <c r="J212" s="241">
        <f t="shared" si="18"/>
        <v>1.0194522442179597</v>
      </c>
      <c r="K212" s="241">
        <f t="shared" si="19"/>
        <v>1.0153130706308477</v>
      </c>
      <c r="L212" s="241">
        <f t="shared" si="20"/>
        <v>1.011133347438702</v>
      </c>
    </row>
    <row r="213" spans="1:12" ht="12.75">
      <c r="A213" t="s">
        <v>347</v>
      </c>
      <c r="B213" s="109">
        <v>10836721.784080897</v>
      </c>
      <c r="C213" s="109">
        <v>11004090.529999964</v>
      </c>
      <c r="D213" s="109">
        <v>11174754.653701227</v>
      </c>
      <c r="E213" s="109">
        <v>11299258.33736495</v>
      </c>
      <c r="F213" s="109">
        <v>11536891.115616115</v>
      </c>
      <c r="H213" s="241">
        <f t="shared" si="16"/>
        <v>1</v>
      </c>
      <c r="I213" s="241">
        <f t="shared" si="17"/>
        <v>1.0154445919396888</v>
      </c>
      <c r="J213" s="241">
        <f t="shared" si="18"/>
        <v>1.0155091530041478</v>
      </c>
      <c r="K213" s="241">
        <f t="shared" si="19"/>
        <v>1.0111415138427657</v>
      </c>
      <c r="L213" s="241">
        <f t="shared" si="20"/>
        <v>1.0210308297373245</v>
      </c>
    </row>
    <row r="214" spans="1:12" ht="12.75">
      <c r="A214" t="s">
        <v>348</v>
      </c>
      <c r="B214" s="109">
        <v>70125426.1916233</v>
      </c>
      <c r="C214" s="109">
        <v>71547279.78603898</v>
      </c>
      <c r="D214" s="109">
        <v>72752313.30359803</v>
      </c>
      <c r="E214" s="109">
        <v>74080374.66113208</v>
      </c>
      <c r="F214" s="109">
        <v>75641253.12719019</v>
      </c>
      <c r="H214" s="241">
        <f t="shared" si="16"/>
        <v>1</v>
      </c>
      <c r="I214" s="241">
        <f t="shared" si="17"/>
        <v>1.0202758638575735</v>
      </c>
      <c r="J214" s="241">
        <f t="shared" si="18"/>
        <v>1.0168424784445012</v>
      </c>
      <c r="K214" s="241">
        <f t="shared" si="19"/>
        <v>1.0182545584769518</v>
      </c>
      <c r="L214" s="241">
        <f t="shared" si="20"/>
        <v>1.02107006711559</v>
      </c>
    </row>
    <row r="215" spans="1:12" ht="12.75">
      <c r="A215" t="s">
        <v>349</v>
      </c>
      <c r="B215" s="109">
        <v>7975203.458822282</v>
      </c>
      <c r="C215" s="109">
        <v>8005797.754210356</v>
      </c>
      <c r="D215" s="109">
        <v>8199689.019545512</v>
      </c>
      <c r="E215" s="109">
        <v>8334409.206066587</v>
      </c>
      <c r="F215" s="109">
        <v>8471254.837453097</v>
      </c>
      <c r="H215" s="241">
        <f t="shared" si="16"/>
        <v>1</v>
      </c>
      <c r="I215" s="241">
        <f t="shared" si="17"/>
        <v>1.0038361774149134</v>
      </c>
      <c r="J215" s="241">
        <f t="shared" si="18"/>
        <v>1.024218856294888</v>
      </c>
      <c r="K215" s="241">
        <f t="shared" si="19"/>
        <v>1.0164299141345414</v>
      </c>
      <c r="L215" s="241">
        <f t="shared" si="20"/>
        <v>1.0164193559498975</v>
      </c>
    </row>
    <row r="216" spans="1:12" ht="12.75">
      <c r="A216" t="s">
        <v>350</v>
      </c>
      <c r="B216" s="109">
        <v>4930380.240550798</v>
      </c>
      <c r="C216" s="109">
        <v>4989289.347903458</v>
      </c>
      <c r="D216" s="109">
        <v>5050345.371398532</v>
      </c>
      <c r="E216" s="109">
        <v>5113646.119548314</v>
      </c>
      <c r="F216" s="109">
        <v>5177469.1491429005</v>
      </c>
      <c r="H216" s="241">
        <f t="shared" si="16"/>
        <v>1</v>
      </c>
      <c r="I216" s="241">
        <f t="shared" si="17"/>
        <v>1.0119481874578662</v>
      </c>
      <c r="J216" s="241">
        <f t="shared" si="18"/>
        <v>1.012237418846179</v>
      </c>
      <c r="K216" s="241">
        <f t="shared" si="19"/>
        <v>1.0125339444126478</v>
      </c>
      <c r="L216" s="241">
        <f t="shared" si="20"/>
        <v>1.0124809241982164</v>
      </c>
    </row>
    <row r="217" spans="1:12" ht="12.75">
      <c r="A217" t="s">
        <v>351</v>
      </c>
      <c r="B217" s="109">
        <v>7055417.086653746</v>
      </c>
      <c r="C217" s="109">
        <v>7124474.662886524</v>
      </c>
      <c r="D217" s="109">
        <v>7229806.145618409</v>
      </c>
      <c r="E217" s="109">
        <v>7338822.144402626</v>
      </c>
      <c r="F217" s="109">
        <v>7450891.4558450915</v>
      </c>
      <c r="H217" s="241">
        <f t="shared" si="16"/>
        <v>1</v>
      </c>
      <c r="I217" s="241">
        <f t="shared" si="17"/>
        <v>1.0097878800621738</v>
      </c>
      <c r="J217" s="241">
        <f t="shared" si="18"/>
        <v>1.014784456077946</v>
      </c>
      <c r="K217" s="241">
        <f t="shared" si="19"/>
        <v>1.015078689053134</v>
      </c>
      <c r="L217" s="241">
        <f t="shared" si="20"/>
        <v>1.0152707490708086</v>
      </c>
    </row>
    <row r="218" spans="1:12" ht="12.75">
      <c r="A218" t="s">
        <v>352</v>
      </c>
      <c r="B218" s="109">
        <v>6983102.101744325</v>
      </c>
      <c r="C218" s="109">
        <v>7176383.452457533</v>
      </c>
      <c r="D218" s="109">
        <v>7294048.140574085</v>
      </c>
      <c r="E218" s="109">
        <v>7414697.7362242</v>
      </c>
      <c r="F218" s="109">
        <v>7539583.6814925205</v>
      </c>
      <c r="H218" s="241">
        <f t="shared" si="16"/>
        <v>1</v>
      </c>
      <c r="I218" s="241">
        <f t="shared" si="17"/>
        <v>1.0276784368747707</v>
      </c>
      <c r="J218" s="241">
        <f t="shared" si="18"/>
        <v>1.0163960982430862</v>
      </c>
      <c r="K218" s="241">
        <f t="shared" si="19"/>
        <v>1.0165408279908363</v>
      </c>
      <c r="L218" s="241">
        <f t="shared" si="20"/>
        <v>1.016843025799716</v>
      </c>
    </row>
    <row r="219" spans="1:12" ht="12.75">
      <c r="A219" t="s">
        <v>353</v>
      </c>
      <c r="B219" s="109">
        <v>56311413.11709739</v>
      </c>
      <c r="C219" s="109">
        <v>57338129.52277717</v>
      </c>
      <c r="D219" s="109">
        <v>58298382.112173885</v>
      </c>
      <c r="E219" s="109">
        <v>59271108.271099575</v>
      </c>
      <c r="F219" s="109">
        <v>60198171.75867785</v>
      </c>
      <c r="H219" s="241">
        <f t="shared" si="16"/>
        <v>1</v>
      </c>
      <c r="I219" s="241">
        <f t="shared" si="17"/>
        <v>1.018232829702653</v>
      </c>
      <c r="J219" s="241">
        <f t="shared" si="18"/>
        <v>1.0167471906982117</v>
      </c>
      <c r="K219" s="241">
        <f t="shared" si="19"/>
        <v>1.0166853028108744</v>
      </c>
      <c r="L219" s="241">
        <f t="shared" si="20"/>
        <v>1.015641068888707</v>
      </c>
    </row>
    <row r="220" spans="1:12" ht="12.75">
      <c r="A220" t="s">
        <v>354</v>
      </c>
      <c r="B220" s="109">
        <v>3603413.088287357</v>
      </c>
      <c r="C220" s="109">
        <v>3653209.4583846945</v>
      </c>
      <c r="D220" s="109">
        <v>3705175.779850277</v>
      </c>
      <c r="E220" s="109">
        <v>3761056.1760690412</v>
      </c>
      <c r="F220" s="109">
        <v>3821051.6706813276</v>
      </c>
      <c r="H220" s="241">
        <f t="shared" si="16"/>
        <v>1</v>
      </c>
      <c r="I220" s="241">
        <f t="shared" si="17"/>
        <v>1.013819223296712</v>
      </c>
      <c r="J220" s="241">
        <f t="shared" si="18"/>
        <v>1.0142248403924148</v>
      </c>
      <c r="K220" s="241">
        <f t="shared" si="19"/>
        <v>1.0150817125931397</v>
      </c>
      <c r="L220" s="241">
        <f t="shared" si="20"/>
        <v>1.0159517677491836</v>
      </c>
    </row>
    <row r="221" spans="1:12" ht="12.75">
      <c r="A221" t="s">
        <v>355</v>
      </c>
      <c r="B221" s="109">
        <v>152313186.08529204</v>
      </c>
      <c r="C221" s="109">
        <v>156391591.12931973</v>
      </c>
      <c r="D221" s="109">
        <v>160066486.6518703</v>
      </c>
      <c r="E221" s="109">
        <v>163594674.92911747</v>
      </c>
      <c r="F221" s="109">
        <v>166618783.83127412</v>
      </c>
      <c r="H221" s="241">
        <f t="shared" si="16"/>
        <v>1</v>
      </c>
      <c r="I221" s="241">
        <f t="shared" si="17"/>
        <v>1.026776441021619</v>
      </c>
      <c r="J221" s="241">
        <f t="shared" si="18"/>
        <v>1.0234980378165717</v>
      </c>
      <c r="K221" s="241">
        <f t="shared" si="19"/>
        <v>1.0220420173582034</v>
      </c>
      <c r="L221" s="241">
        <f t="shared" si="20"/>
        <v>1.018485374927191</v>
      </c>
    </row>
    <row r="222" spans="1:12" ht="12.75">
      <c r="A222" t="s">
        <v>356</v>
      </c>
      <c r="B222" s="109">
        <v>9838922.043566091</v>
      </c>
      <c r="C222" s="109">
        <v>9874408.175970662</v>
      </c>
      <c r="D222" s="109">
        <v>9872653.221585495</v>
      </c>
      <c r="E222" s="109">
        <v>9935869.091020968</v>
      </c>
      <c r="F222" s="109">
        <v>9955176.571923628</v>
      </c>
      <c r="H222" s="241">
        <f t="shared" si="16"/>
        <v>1</v>
      </c>
      <c r="I222" s="241">
        <f t="shared" si="17"/>
        <v>1.003606709378064</v>
      </c>
      <c r="J222" s="241">
        <f t="shared" si="18"/>
        <v>0.9998222724487491</v>
      </c>
      <c r="K222" s="241">
        <f t="shared" si="19"/>
        <v>1.006403128725038</v>
      </c>
      <c r="L222" s="241">
        <f t="shared" si="20"/>
        <v>1.0019432100730985</v>
      </c>
    </row>
    <row r="223" spans="1:12" ht="12.75">
      <c r="A223" t="s">
        <v>357</v>
      </c>
      <c r="B223" s="109">
        <v>8055592.566974252</v>
      </c>
      <c r="C223" s="109">
        <v>8090549.32577235</v>
      </c>
      <c r="D223" s="109">
        <v>8220817.598117622</v>
      </c>
      <c r="E223" s="109">
        <v>8316476.532766262</v>
      </c>
      <c r="F223" s="109">
        <v>8448332.650363212</v>
      </c>
      <c r="H223" s="241">
        <f t="shared" si="16"/>
        <v>1</v>
      </c>
      <c r="I223" s="241">
        <f t="shared" si="17"/>
        <v>1.0043394397752203</v>
      </c>
      <c r="J223" s="241">
        <f t="shared" si="18"/>
        <v>1.0161012889360064</v>
      </c>
      <c r="K223" s="241">
        <f t="shared" si="19"/>
        <v>1.0116361825946052</v>
      </c>
      <c r="L223" s="241">
        <f t="shared" si="20"/>
        <v>1.0158548054668883</v>
      </c>
    </row>
    <row r="224" spans="1:12" ht="12.75">
      <c r="A224" t="s">
        <v>358</v>
      </c>
      <c r="B224" s="109">
        <v>12307821.364641918</v>
      </c>
      <c r="C224" s="109">
        <v>12581585.718872346</v>
      </c>
      <c r="D224" s="109">
        <v>12953627.198670492</v>
      </c>
      <c r="E224" s="109">
        <v>13216776.11363589</v>
      </c>
      <c r="F224" s="109">
        <v>13480822.795595037</v>
      </c>
      <c r="H224" s="241">
        <f t="shared" si="16"/>
        <v>1</v>
      </c>
      <c r="I224" s="241">
        <f t="shared" si="17"/>
        <v>1.0222431205425928</v>
      </c>
      <c r="J224" s="241">
        <f t="shared" si="18"/>
        <v>1.0295703171373767</v>
      </c>
      <c r="K224" s="241">
        <f t="shared" si="19"/>
        <v>1.0203146895405797</v>
      </c>
      <c r="L224" s="241">
        <f t="shared" si="20"/>
        <v>1.0199781459327837</v>
      </c>
    </row>
    <row r="225" spans="1:12" ht="12.75">
      <c r="A225" t="s">
        <v>359</v>
      </c>
      <c r="B225" s="109">
        <v>4496395.597994776</v>
      </c>
      <c r="C225" s="109">
        <v>4529443.065491692</v>
      </c>
      <c r="D225" s="109">
        <v>4598148.974163805</v>
      </c>
      <c r="E225" s="109">
        <v>4669811.448956495</v>
      </c>
      <c r="F225" s="109">
        <v>4746608.644175491</v>
      </c>
      <c r="H225" s="241">
        <f t="shared" si="16"/>
        <v>1</v>
      </c>
      <c r="I225" s="241">
        <f t="shared" si="17"/>
        <v>1.0073497686706334</v>
      </c>
      <c r="J225" s="241">
        <f t="shared" si="18"/>
        <v>1.0151687321550766</v>
      </c>
      <c r="K225" s="241">
        <f t="shared" si="19"/>
        <v>1.0155850702522577</v>
      </c>
      <c r="L225" s="241">
        <f t="shared" si="20"/>
        <v>1.0164454595348078</v>
      </c>
    </row>
    <row r="226" spans="1:12" ht="12.75">
      <c r="A226" t="s">
        <v>134</v>
      </c>
      <c r="B226" s="109">
        <v>63430447.92972063</v>
      </c>
      <c r="C226" s="109">
        <v>63855702.26740243</v>
      </c>
      <c r="D226" s="109">
        <v>64731196.26885114</v>
      </c>
      <c r="E226" s="109">
        <v>65407984.25759126</v>
      </c>
      <c r="F226" s="109">
        <v>66195713.059987806</v>
      </c>
      <c r="H226" s="241">
        <f t="shared" si="16"/>
        <v>1</v>
      </c>
      <c r="I226" s="241">
        <f t="shared" si="17"/>
        <v>1.0067042619366802</v>
      </c>
      <c r="J226" s="241">
        <f t="shared" si="18"/>
        <v>1.0137105061938319</v>
      </c>
      <c r="K226" s="241">
        <f t="shared" si="19"/>
        <v>1.0104553604405702</v>
      </c>
      <c r="L226" s="241">
        <f t="shared" si="20"/>
        <v>1.0120433126221149</v>
      </c>
    </row>
    <row r="227" spans="1:12" ht="12.75">
      <c r="A227" t="s">
        <v>360</v>
      </c>
      <c r="B227" s="109">
        <v>18121603.589114208</v>
      </c>
      <c r="C227" s="109">
        <v>18269054.384653725</v>
      </c>
      <c r="D227" s="109">
        <v>18299221.12007376</v>
      </c>
      <c r="E227" s="109">
        <v>18438202.605731912</v>
      </c>
      <c r="F227" s="109">
        <v>18508183.689951375</v>
      </c>
      <c r="H227" s="241">
        <f t="shared" si="16"/>
        <v>1</v>
      </c>
      <c r="I227" s="241">
        <f t="shared" si="17"/>
        <v>1.0081367410347775</v>
      </c>
      <c r="J227" s="241">
        <f t="shared" si="18"/>
        <v>1.001651247775877</v>
      </c>
      <c r="K227" s="241">
        <f t="shared" si="19"/>
        <v>1.0075949399565258</v>
      </c>
      <c r="L227" s="241">
        <f t="shared" si="20"/>
        <v>1.0037954395944053</v>
      </c>
    </row>
    <row r="228" spans="1:12" ht="12.75">
      <c r="A228" t="s">
        <v>361</v>
      </c>
      <c r="B228" s="109">
        <v>9249447.848886834</v>
      </c>
      <c r="C228" s="109">
        <v>9376746.60493938</v>
      </c>
      <c r="D228" s="109">
        <v>9478113.993221825</v>
      </c>
      <c r="E228" s="109">
        <v>9581429.958503265</v>
      </c>
      <c r="F228" s="109">
        <v>9650045.109370904</v>
      </c>
      <c r="H228" s="241">
        <f t="shared" si="16"/>
        <v>1</v>
      </c>
      <c r="I228" s="241">
        <f t="shared" si="17"/>
        <v>1.01376284921352</v>
      </c>
      <c r="J228" s="241">
        <f t="shared" si="18"/>
        <v>1.0108105073703333</v>
      </c>
      <c r="K228" s="241">
        <f t="shared" si="19"/>
        <v>1.0109004771788275</v>
      </c>
      <c r="L228" s="241">
        <f t="shared" si="20"/>
        <v>1.0071612641500076</v>
      </c>
    </row>
    <row r="229" spans="1:12" ht="12.75">
      <c r="A229" t="s">
        <v>362</v>
      </c>
      <c r="B229" s="109">
        <v>107332250.38611865</v>
      </c>
      <c r="C229" s="109">
        <v>108313781.96743466</v>
      </c>
      <c r="D229" s="109">
        <v>109207649.8609063</v>
      </c>
      <c r="E229" s="109">
        <v>109709343.28400402</v>
      </c>
      <c r="F229" s="109">
        <v>110588837.13464622</v>
      </c>
      <c r="H229" s="241">
        <f t="shared" si="16"/>
        <v>1</v>
      </c>
      <c r="I229" s="241">
        <f t="shared" si="17"/>
        <v>1.0091447964408184</v>
      </c>
      <c r="J229" s="241">
        <f t="shared" si="18"/>
        <v>1.0082525776243358</v>
      </c>
      <c r="K229" s="241">
        <f t="shared" si="19"/>
        <v>1.0045939402938961</v>
      </c>
      <c r="L229" s="241">
        <f t="shared" si="20"/>
        <v>1.0080165811253237</v>
      </c>
    </row>
    <row r="230" spans="1:12" ht="12.75">
      <c r="A230" t="s">
        <v>363</v>
      </c>
      <c r="B230" s="109">
        <v>6627862.055227017</v>
      </c>
      <c r="C230" s="109">
        <v>6761081.115489446</v>
      </c>
      <c r="D230" s="109">
        <v>6896729.956435841</v>
      </c>
      <c r="E230" s="109">
        <v>6973207.304610796</v>
      </c>
      <c r="F230" s="109">
        <v>7176280.695275355</v>
      </c>
      <c r="H230" s="241">
        <f t="shared" si="16"/>
        <v>1</v>
      </c>
      <c r="I230" s="241">
        <f t="shared" si="17"/>
        <v>1.0200998540935786</v>
      </c>
      <c r="J230" s="241">
        <f t="shared" si="18"/>
        <v>1.0200631879176287</v>
      </c>
      <c r="K230" s="241">
        <f t="shared" si="19"/>
        <v>1.011088928906603</v>
      </c>
      <c r="L230" s="241">
        <f t="shared" si="20"/>
        <v>1.029121949455064</v>
      </c>
    </row>
    <row r="231" spans="1:12" ht="12.75">
      <c r="A231" t="s">
        <v>364</v>
      </c>
      <c r="B231" s="109">
        <v>8113007.288345377</v>
      </c>
      <c r="C231" s="109">
        <v>8231947.706605177</v>
      </c>
      <c r="D231" s="109">
        <v>8312217.959217575</v>
      </c>
      <c r="E231" s="109">
        <v>8396837.69730751</v>
      </c>
      <c r="F231" s="109">
        <v>8526005.142199745</v>
      </c>
      <c r="H231" s="241">
        <f t="shared" si="16"/>
        <v>1</v>
      </c>
      <c r="I231" s="241">
        <f t="shared" si="17"/>
        <v>1.0146604599296567</v>
      </c>
      <c r="J231" s="241">
        <f t="shared" si="18"/>
        <v>1.0097510644471162</v>
      </c>
      <c r="K231" s="241">
        <f t="shared" si="19"/>
        <v>1.010180163526162</v>
      </c>
      <c r="L231" s="241">
        <f t="shared" si="20"/>
        <v>1.0153828678781838</v>
      </c>
    </row>
    <row r="232" spans="1:12" ht="12.75">
      <c r="A232" t="s">
        <v>365</v>
      </c>
      <c r="B232" s="109">
        <v>64704025.07104672</v>
      </c>
      <c r="C232" s="109">
        <v>65442046.09245076</v>
      </c>
      <c r="D232" s="109">
        <v>66091588.02987155</v>
      </c>
      <c r="E232" s="109">
        <v>66839191.69987956</v>
      </c>
      <c r="F232" s="109">
        <v>67563970.89549012</v>
      </c>
      <c r="H232" s="241">
        <f t="shared" si="16"/>
        <v>1</v>
      </c>
      <c r="I232" s="241">
        <f t="shared" si="17"/>
        <v>1.0114061068162865</v>
      </c>
      <c r="J232" s="241">
        <f t="shared" si="18"/>
        <v>1.0099254527663022</v>
      </c>
      <c r="K232" s="241">
        <f t="shared" si="19"/>
        <v>1.0113116312119799</v>
      </c>
      <c r="L232" s="241">
        <f t="shared" si="20"/>
        <v>1.010843625980173</v>
      </c>
    </row>
    <row r="233" spans="1:12" ht="12.75">
      <c r="A233" t="s">
        <v>366</v>
      </c>
      <c r="B233" s="109">
        <v>3116364.3628878705</v>
      </c>
      <c r="C233" s="109">
        <v>3208280.8159900135</v>
      </c>
      <c r="D233" s="109">
        <v>3260151.8514626278</v>
      </c>
      <c r="E233" s="109">
        <v>3310057.303172174</v>
      </c>
      <c r="F233" s="109">
        <v>3364887.3680773173</v>
      </c>
      <c r="H233" s="241">
        <f t="shared" si="16"/>
        <v>1</v>
      </c>
      <c r="I233" s="241">
        <f t="shared" si="17"/>
        <v>1.0294947709570668</v>
      </c>
      <c r="J233" s="241">
        <f t="shared" si="18"/>
        <v>1.0161678601243662</v>
      </c>
      <c r="K233" s="241">
        <f t="shared" si="19"/>
        <v>1.0153077077336619</v>
      </c>
      <c r="L233" s="241">
        <f t="shared" si="20"/>
        <v>1.016564687521451</v>
      </c>
    </row>
    <row r="234" spans="1:12" ht="12.75">
      <c r="A234" t="s">
        <v>367</v>
      </c>
      <c r="B234" s="109">
        <v>149247945.68321574</v>
      </c>
      <c r="C234" s="109">
        <v>153383673.0631969</v>
      </c>
      <c r="D234" s="109">
        <v>157688616.0187184</v>
      </c>
      <c r="E234" s="109">
        <v>162378874.2128996</v>
      </c>
      <c r="F234" s="109">
        <v>166454076.48823783</v>
      </c>
      <c r="H234" s="241">
        <f t="shared" si="16"/>
        <v>1</v>
      </c>
      <c r="I234" s="241">
        <f t="shared" si="17"/>
        <v>1.0277104476115162</v>
      </c>
      <c r="J234" s="241">
        <f t="shared" si="18"/>
        <v>1.0280665006225778</v>
      </c>
      <c r="K234" s="241">
        <f t="shared" si="19"/>
        <v>1.0297437970641106</v>
      </c>
      <c r="L234" s="241">
        <f t="shared" si="20"/>
        <v>1.0250968747941627</v>
      </c>
    </row>
    <row r="235" spans="1:12" ht="12.75">
      <c r="A235" t="s">
        <v>368</v>
      </c>
      <c r="B235" s="109">
        <v>14099054.021852382</v>
      </c>
      <c r="C235" s="109">
        <v>14188635.53852105</v>
      </c>
      <c r="D235" s="109">
        <v>14329003.256367054</v>
      </c>
      <c r="E235" s="109">
        <v>14416118.6402299</v>
      </c>
      <c r="F235" s="109">
        <v>14387602.27304675</v>
      </c>
      <c r="H235" s="241">
        <f t="shared" si="16"/>
        <v>1</v>
      </c>
      <c r="I235" s="241">
        <f t="shared" si="17"/>
        <v>1.0063537253300698</v>
      </c>
      <c r="J235" s="241">
        <f t="shared" si="18"/>
        <v>1.009892968035222</v>
      </c>
      <c r="K235" s="241">
        <f t="shared" si="19"/>
        <v>1.0060796541325465</v>
      </c>
      <c r="L235" s="241">
        <f t="shared" si="20"/>
        <v>0.998021910897461</v>
      </c>
    </row>
    <row r="236" spans="1:12" ht="12.75">
      <c r="A236" t="s">
        <v>369</v>
      </c>
      <c r="B236" s="109">
        <v>3278515.485617051</v>
      </c>
      <c r="C236" s="109">
        <v>3335240.617492182</v>
      </c>
      <c r="D236" s="109">
        <v>3390271.069740174</v>
      </c>
      <c r="E236" s="109">
        <v>3448888.255507521</v>
      </c>
      <c r="F236" s="109">
        <v>3509423.3083277433</v>
      </c>
      <c r="H236" s="241">
        <f t="shared" si="16"/>
        <v>1</v>
      </c>
      <c r="I236" s="241">
        <f t="shared" si="17"/>
        <v>1.0173020783717466</v>
      </c>
      <c r="J236" s="241">
        <f t="shared" si="18"/>
        <v>1.0164996947924465</v>
      </c>
      <c r="K236" s="241">
        <f t="shared" si="19"/>
        <v>1.0172898227196445</v>
      </c>
      <c r="L236" s="241">
        <f t="shared" si="20"/>
        <v>1.0175520481777147</v>
      </c>
    </row>
    <row r="237" spans="1:12" ht="12.75">
      <c r="A237" t="s">
        <v>370</v>
      </c>
      <c r="B237" s="109">
        <v>15472923.016545534</v>
      </c>
      <c r="C237" s="109">
        <v>15710939.744775523</v>
      </c>
      <c r="D237" s="109">
        <v>15860361.143999135</v>
      </c>
      <c r="E237" s="109">
        <v>16149980.468579121</v>
      </c>
      <c r="F237" s="109">
        <v>16374382.134478213</v>
      </c>
      <c r="H237" s="241">
        <f t="shared" si="16"/>
        <v>1</v>
      </c>
      <c r="I237" s="241">
        <f t="shared" si="17"/>
        <v>1.0153827901796881</v>
      </c>
      <c r="J237" s="241">
        <f t="shared" si="18"/>
        <v>1.009510659556396</v>
      </c>
      <c r="K237" s="241">
        <f t="shared" si="19"/>
        <v>1.0182605756546448</v>
      </c>
      <c r="L237" s="241">
        <f t="shared" si="20"/>
        <v>1.013894856797857</v>
      </c>
    </row>
    <row r="238" spans="1:12" ht="12.75">
      <c r="A238" t="s">
        <v>371</v>
      </c>
      <c r="B238" s="109">
        <v>47646448.563842356</v>
      </c>
      <c r="C238" s="109">
        <v>48668247.12328612</v>
      </c>
      <c r="D238" s="109">
        <v>49691344.53899532</v>
      </c>
      <c r="E238" s="109">
        <v>50657520.31151833</v>
      </c>
      <c r="F238" s="109">
        <v>51704797.04499433</v>
      </c>
      <c r="H238" s="241">
        <f t="shared" si="16"/>
        <v>1</v>
      </c>
      <c r="I238" s="241">
        <f t="shared" si="17"/>
        <v>1.021445429622622</v>
      </c>
      <c r="J238" s="241">
        <f t="shared" si="18"/>
        <v>1.0210218669498716</v>
      </c>
      <c r="K238" s="241">
        <f t="shared" si="19"/>
        <v>1.019443542562323</v>
      </c>
      <c r="L238" s="241">
        <f t="shared" si="20"/>
        <v>1.0206736675430574</v>
      </c>
    </row>
    <row r="239" spans="1:12" ht="12.75">
      <c r="A239" t="s">
        <v>372</v>
      </c>
      <c r="B239" s="109">
        <v>7382545.649043491</v>
      </c>
      <c r="C239" s="109">
        <v>7632868.139713205</v>
      </c>
      <c r="D239" s="109">
        <v>7753226.061334863</v>
      </c>
      <c r="E239" s="109">
        <v>7875362.694418526</v>
      </c>
      <c r="F239" s="109">
        <v>8002520.283328086</v>
      </c>
      <c r="H239" s="241">
        <f t="shared" si="16"/>
        <v>1</v>
      </c>
      <c r="I239" s="241">
        <f t="shared" si="17"/>
        <v>1.0339073407154817</v>
      </c>
      <c r="J239" s="241">
        <f t="shared" si="18"/>
        <v>1.0157683742753847</v>
      </c>
      <c r="K239" s="241">
        <f t="shared" si="19"/>
        <v>1.0157530081178407</v>
      </c>
      <c r="L239" s="241">
        <f t="shared" si="20"/>
        <v>1.016146251778306</v>
      </c>
    </row>
    <row r="240" spans="1:12" ht="12.75">
      <c r="A240" t="s">
        <v>373</v>
      </c>
      <c r="B240" s="109">
        <v>46893405.56512614</v>
      </c>
      <c r="C240" s="109">
        <v>48198186.092369124</v>
      </c>
      <c r="D240" s="109">
        <v>49232353.92078791</v>
      </c>
      <c r="E240" s="109">
        <v>50042479.213552274</v>
      </c>
      <c r="F240" s="109">
        <v>50953082.85368966</v>
      </c>
      <c r="H240" s="241">
        <f t="shared" si="16"/>
        <v>1</v>
      </c>
      <c r="I240" s="241">
        <f t="shared" si="17"/>
        <v>1.0278243926095512</v>
      </c>
      <c r="J240" s="241">
        <f t="shared" si="18"/>
        <v>1.021456571548914</v>
      </c>
      <c r="K240" s="241">
        <f t="shared" si="19"/>
        <v>1.0164551403345006</v>
      </c>
      <c r="L240" s="241">
        <f t="shared" si="20"/>
        <v>1.0181966132463474</v>
      </c>
    </row>
    <row r="241" spans="1:12" ht="12.75">
      <c r="A241" t="s">
        <v>374</v>
      </c>
      <c r="B241" s="109">
        <v>15415028.098385911</v>
      </c>
      <c r="C241" s="109">
        <v>15581509.492984517</v>
      </c>
      <c r="D241" s="109">
        <v>15667559.681444358</v>
      </c>
      <c r="E241" s="109">
        <v>15875762.295818958</v>
      </c>
      <c r="F241" s="109">
        <v>16073207.589657865</v>
      </c>
      <c r="H241" s="241">
        <f t="shared" si="16"/>
        <v>1</v>
      </c>
      <c r="I241" s="241">
        <f t="shared" si="17"/>
        <v>1.0107999410403954</v>
      </c>
      <c r="J241" s="241">
        <f t="shared" si="18"/>
        <v>1.0055225835788622</v>
      </c>
      <c r="K241" s="241">
        <f t="shared" si="19"/>
        <v>1.0132887711046146</v>
      </c>
      <c r="L241" s="241">
        <f t="shared" si="20"/>
        <v>1.0124369016214678</v>
      </c>
    </row>
    <row r="242" spans="1:12" ht="12.75">
      <c r="A242" t="s">
        <v>375</v>
      </c>
      <c r="B242" s="109">
        <v>24157552.770948768</v>
      </c>
      <c r="C242" s="109">
        <v>24740496.47739395</v>
      </c>
      <c r="D242" s="109">
        <v>25473902.25480407</v>
      </c>
      <c r="E242" s="109">
        <v>26046483.15854082</v>
      </c>
      <c r="F242" s="109">
        <v>26552807.0167982</v>
      </c>
      <c r="H242" s="241">
        <f t="shared" si="16"/>
        <v>1</v>
      </c>
      <c r="I242" s="241">
        <f t="shared" si="17"/>
        <v>1.0241309089530881</v>
      </c>
      <c r="J242" s="241">
        <f t="shared" si="18"/>
        <v>1.0296439393639596</v>
      </c>
      <c r="K242" s="241">
        <f t="shared" si="19"/>
        <v>1.0224771571316196</v>
      </c>
      <c r="L242" s="241">
        <f t="shared" si="20"/>
        <v>1.0194392408055808</v>
      </c>
    </row>
    <row r="243" spans="1:12" ht="12.75">
      <c r="A243" t="s">
        <v>376</v>
      </c>
      <c r="B243" s="109">
        <v>5260434.503959414</v>
      </c>
      <c r="C243" s="109">
        <v>5347361.16854999</v>
      </c>
      <c r="D243" s="109">
        <v>5437346.13408407</v>
      </c>
      <c r="E243" s="109">
        <v>5531364.632590732</v>
      </c>
      <c r="F243" s="109">
        <v>5629592.446029871</v>
      </c>
      <c r="H243" s="241">
        <f t="shared" si="16"/>
        <v>1</v>
      </c>
      <c r="I243" s="241">
        <f t="shared" si="17"/>
        <v>1.0165246168401392</v>
      </c>
      <c r="J243" s="241">
        <f t="shared" si="18"/>
        <v>1.0168279199211974</v>
      </c>
      <c r="K243" s="241">
        <f t="shared" si="19"/>
        <v>1.0172912476395986</v>
      </c>
      <c r="L243" s="241">
        <f t="shared" si="20"/>
        <v>1.0177583327015511</v>
      </c>
    </row>
    <row r="244" spans="1:12" ht="12.75">
      <c r="A244" t="s">
        <v>377</v>
      </c>
      <c r="B244" s="109">
        <v>17435398.20191031</v>
      </c>
      <c r="C244" s="109">
        <v>17574727.06822095</v>
      </c>
      <c r="D244" s="109">
        <v>17660101.049522668</v>
      </c>
      <c r="E244" s="109">
        <v>17786470.89605276</v>
      </c>
      <c r="F244" s="109">
        <v>17878878.061193574</v>
      </c>
      <c r="H244" s="241">
        <f t="shared" si="16"/>
        <v>1</v>
      </c>
      <c r="I244" s="241">
        <f t="shared" si="17"/>
        <v>1.0079911490805742</v>
      </c>
      <c r="J244" s="241">
        <f t="shared" si="18"/>
        <v>1.0048577699653778</v>
      </c>
      <c r="K244" s="241">
        <f t="shared" si="19"/>
        <v>1.0071556695047057</v>
      </c>
      <c r="L244" s="241">
        <f t="shared" si="20"/>
        <v>1.0051953625697228</v>
      </c>
    </row>
    <row r="245" spans="1:12" ht="12.75">
      <c r="A245" t="s">
        <v>378</v>
      </c>
      <c r="B245" s="109">
        <v>8572519.442939358</v>
      </c>
      <c r="C245" s="109">
        <v>8817356.796516111</v>
      </c>
      <c r="D245" s="109">
        <v>8880627.661702631</v>
      </c>
      <c r="E245" s="109">
        <v>8964542.04303181</v>
      </c>
      <c r="F245" s="109">
        <v>9145862.547637638</v>
      </c>
      <c r="H245" s="241">
        <f t="shared" si="16"/>
        <v>1</v>
      </c>
      <c r="I245" s="241">
        <f t="shared" si="17"/>
        <v>1.0285607230413936</v>
      </c>
      <c r="J245" s="241">
        <f t="shared" si="18"/>
        <v>1.00717571792167</v>
      </c>
      <c r="K245" s="241">
        <f t="shared" si="19"/>
        <v>1.0094491498265439</v>
      </c>
      <c r="L245" s="241">
        <f t="shared" si="20"/>
        <v>1.020226410198697</v>
      </c>
    </row>
    <row r="246" spans="1:12" ht="12.75">
      <c r="A246" t="s">
        <v>379</v>
      </c>
      <c r="B246" s="109">
        <v>26239197.296570048</v>
      </c>
      <c r="C246" s="109">
        <v>26494663.997640032</v>
      </c>
      <c r="D246" s="109">
        <v>26973910.10710534</v>
      </c>
      <c r="E246" s="109">
        <v>27424196.070736587</v>
      </c>
      <c r="F246" s="109">
        <v>27833041.24584284</v>
      </c>
      <c r="H246" s="241">
        <f t="shared" si="16"/>
        <v>1</v>
      </c>
      <c r="I246" s="241">
        <f t="shared" si="17"/>
        <v>1.0097360715033528</v>
      </c>
      <c r="J246" s="241">
        <f t="shared" si="18"/>
        <v>1.018088401102501</v>
      </c>
      <c r="K246" s="241">
        <f t="shared" si="19"/>
        <v>1.0166933886056302</v>
      </c>
      <c r="L246" s="241">
        <f t="shared" si="20"/>
        <v>1.0149081918044818</v>
      </c>
    </row>
    <row r="247" spans="1:12" ht="12.75">
      <c r="A247" t="s">
        <v>380</v>
      </c>
      <c r="B247" s="109">
        <v>6577579.252040175</v>
      </c>
      <c r="C247" s="109">
        <v>6667022.903471043</v>
      </c>
      <c r="D247" s="109">
        <v>6762600.078861228</v>
      </c>
      <c r="E247" s="109">
        <v>6858029.97850266</v>
      </c>
      <c r="F247" s="109">
        <v>6957277.62284838</v>
      </c>
      <c r="H247" s="241">
        <f t="shared" si="16"/>
        <v>1</v>
      </c>
      <c r="I247" s="241">
        <f t="shared" si="17"/>
        <v>1.0135982628264228</v>
      </c>
      <c r="J247" s="241">
        <f t="shared" si="18"/>
        <v>1.0143358102670421</v>
      </c>
      <c r="K247" s="241">
        <f t="shared" si="19"/>
        <v>1.0141114214249827</v>
      </c>
      <c r="L247" s="241">
        <f t="shared" si="20"/>
        <v>1.0144717425640926</v>
      </c>
    </row>
    <row r="248" spans="1:12" ht="12.75">
      <c r="A248" t="s">
        <v>381</v>
      </c>
      <c r="B248" s="109">
        <v>18755270.860687144</v>
      </c>
      <c r="C248" s="109">
        <v>18624222.23546186</v>
      </c>
      <c r="D248" s="109">
        <v>18610713.224889707</v>
      </c>
      <c r="E248" s="109">
        <v>18579478.278407324</v>
      </c>
      <c r="F248" s="109">
        <v>18662250.83271816</v>
      </c>
      <c r="H248" s="241">
        <f t="shared" si="16"/>
        <v>1</v>
      </c>
      <c r="I248" s="241">
        <f t="shared" si="17"/>
        <v>0.9930127042046631</v>
      </c>
      <c r="J248" s="241">
        <f t="shared" si="18"/>
        <v>0.9992746537062669</v>
      </c>
      <c r="K248" s="241">
        <f t="shared" si="19"/>
        <v>0.9983216684871266</v>
      </c>
      <c r="L248" s="241">
        <f t="shared" si="20"/>
        <v>1.0044550526699683</v>
      </c>
    </row>
    <row r="249" spans="1:12" ht="12.75">
      <c r="A249" t="s">
        <v>382</v>
      </c>
      <c r="B249" s="109">
        <v>14800638.277025428</v>
      </c>
      <c r="C249" s="109">
        <v>15062649.607432147</v>
      </c>
      <c r="D249" s="109">
        <v>15360292.71133961</v>
      </c>
      <c r="E249" s="109">
        <v>15623846.75400135</v>
      </c>
      <c r="F249" s="109">
        <v>15800858.493037952</v>
      </c>
      <c r="H249" s="241">
        <f t="shared" si="16"/>
        <v>1</v>
      </c>
      <c r="I249" s="241">
        <f t="shared" si="17"/>
        <v>1.0177027048092535</v>
      </c>
      <c r="J249" s="241">
        <f t="shared" si="18"/>
        <v>1.019760341750272</v>
      </c>
      <c r="K249" s="241">
        <f t="shared" si="19"/>
        <v>1.017158139341132</v>
      </c>
      <c r="L249" s="241">
        <f t="shared" si="20"/>
        <v>1.0113295875096362</v>
      </c>
    </row>
    <row r="250" spans="1:12" ht="12.75">
      <c r="A250" t="s">
        <v>383</v>
      </c>
      <c r="B250" s="109">
        <v>8655124.466764903</v>
      </c>
      <c r="C250" s="109">
        <v>8848561.13222351</v>
      </c>
      <c r="D250" s="109">
        <v>8945630.612788659</v>
      </c>
      <c r="E250" s="109">
        <v>9023188.866382923</v>
      </c>
      <c r="F250" s="109">
        <v>9233819.199808266</v>
      </c>
      <c r="H250" s="241">
        <f t="shared" si="16"/>
        <v>1</v>
      </c>
      <c r="I250" s="241">
        <f t="shared" si="17"/>
        <v>1.022349379977306</v>
      </c>
      <c r="J250" s="241">
        <f t="shared" si="18"/>
        <v>1.0109700864484796</v>
      </c>
      <c r="K250" s="241">
        <f t="shared" si="19"/>
        <v>1.0086699593300206</v>
      </c>
      <c r="L250" s="241">
        <f t="shared" si="20"/>
        <v>1.0233432256095263</v>
      </c>
    </row>
    <row r="251" spans="1:12" ht="12.75">
      <c r="A251" t="s">
        <v>384</v>
      </c>
      <c r="B251" s="109">
        <v>11578255.554213908</v>
      </c>
      <c r="C251" s="109">
        <v>11584414.997418042</v>
      </c>
      <c r="D251" s="109">
        <v>11799984.39769098</v>
      </c>
      <c r="E251" s="109">
        <v>11945816.887836378</v>
      </c>
      <c r="F251" s="109">
        <v>12013630.544287302</v>
      </c>
      <c r="H251" s="241">
        <f t="shared" si="16"/>
        <v>1</v>
      </c>
      <c r="I251" s="241">
        <f t="shared" si="17"/>
        <v>1.0005319836978286</v>
      </c>
      <c r="J251" s="241">
        <f t="shared" si="18"/>
        <v>1.0186085702489927</v>
      </c>
      <c r="K251" s="241">
        <f t="shared" si="19"/>
        <v>1.0123587019465834</v>
      </c>
      <c r="L251" s="241">
        <f t="shared" si="20"/>
        <v>1.0056767701269533</v>
      </c>
    </row>
    <row r="252" spans="1:12" ht="12.75">
      <c r="A252" t="s">
        <v>408</v>
      </c>
      <c r="B252" s="109">
        <v>9664346.427955478</v>
      </c>
      <c r="C252" s="109">
        <v>9756991.332219323</v>
      </c>
      <c r="D252" s="109">
        <v>9894157.979776243</v>
      </c>
      <c r="E252" s="109">
        <v>10036287.596722677</v>
      </c>
      <c r="F252" s="109">
        <v>10137122.13575969</v>
      </c>
      <c r="H252" s="241">
        <f t="shared" si="16"/>
        <v>1</v>
      </c>
      <c r="I252" s="241">
        <f t="shared" si="17"/>
        <v>1.0095862565517992</v>
      </c>
      <c r="J252" s="241">
        <f t="shared" si="18"/>
        <v>1.014058293472494</v>
      </c>
      <c r="K252" s="241">
        <f t="shared" si="19"/>
        <v>1.0143650037968819</v>
      </c>
      <c r="L252" s="241">
        <f t="shared" si="20"/>
        <v>1.0100469957706215</v>
      </c>
    </row>
    <row r="253" spans="1:12" ht="12.75">
      <c r="A253" t="s">
        <v>135</v>
      </c>
      <c r="B253" s="109">
        <v>46658015.78124044</v>
      </c>
      <c r="C253" s="109">
        <v>47478988.0114467</v>
      </c>
      <c r="D253" s="109">
        <v>48023219.17258425</v>
      </c>
      <c r="E253" s="109">
        <v>48610568.135069996</v>
      </c>
      <c r="F253" s="109">
        <v>49310508.042216435</v>
      </c>
      <c r="H253" s="241">
        <f t="shared" si="16"/>
        <v>1</v>
      </c>
      <c r="I253" s="241">
        <f t="shared" si="17"/>
        <v>1.0175955238657264</v>
      </c>
      <c r="J253" s="241">
        <f t="shared" si="18"/>
        <v>1.0114625686842007</v>
      </c>
      <c r="K253" s="241">
        <f t="shared" si="19"/>
        <v>1.01223052041503</v>
      </c>
      <c r="L253" s="241">
        <f t="shared" si="20"/>
        <v>1.0143989246371607</v>
      </c>
    </row>
    <row r="254" spans="1:12" ht="12.75">
      <c r="A254" t="s">
        <v>136</v>
      </c>
      <c r="B254" s="109">
        <v>12196044.510802662</v>
      </c>
      <c r="C254" s="109">
        <v>12256412.470098387</v>
      </c>
      <c r="D254" s="109">
        <v>12239151.552249016</v>
      </c>
      <c r="E254" s="109">
        <v>12353632.666261122</v>
      </c>
      <c r="F254" s="109">
        <v>12361591.467112385</v>
      </c>
      <c r="H254" s="241">
        <f t="shared" si="16"/>
        <v>1</v>
      </c>
      <c r="I254" s="241">
        <f t="shared" si="17"/>
        <v>1.00494979821058</v>
      </c>
      <c r="J254" s="241">
        <f t="shared" si="18"/>
        <v>0.9985916826892468</v>
      </c>
      <c r="K254" s="241">
        <f t="shared" si="19"/>
        <v>1.0093536805654693</v>
      </c>
      <c r="L254" s="241">
        <f t="shared" si="20"/>
        <v>1.0006442478148958</v>
      </c>
    </row>
    <row r="255" spans="1:12" ht="12.75">
      <c r="A255" t="s">
        <v>385</v>
      </c>
      <c r="B255" s="109">
        <v>11174748.416306239</v>
      </c>
      <c r="C255" s="109">
        <v>11269506.505969774</v>
      </c>
      <c r="D255" s="109">
        <v>11485573.524676938</v>
      </c>
      <c r="E255" s="109">
        <v>11646158.995067462</v>
      </c>
      <c r="F255" s="109">
        <v>11808594.652253218</v>
      </c>
      <c r="H255" s="241">
        <f t="shared" si="16"/>
        <v>1</v>
      </c>
      <c r="I255" s="241">
        <f t="shared" si="17"/>
        <v>1.008479662014159</v>
      </c>
      <c r="J255" s="241">
        <f t="shared" si="18"/>
        <v>1.0191727134273987</v>
      </c>
      <c r="K255" s="241">
        <f t="shared" si="19"/>
        <v>1.0139814933965208</v>
      </c>
      <c r="L255" s="241">
        <f t="shared" si="20"/>
        <v>1.013947573380593</v>
      </c>
    </row>
    <row r="256" spans="1:12" ht="12.75">
      <c r="A256" t="s">
        <v>386</v>
      </c>
      <c r="B256" s="109">
        <v>12560864.763456538</v>
      </c>
      <c r="C256" s="109">
        <v>12830199.686042596</v>
      </c>
      <c r="D256" s="109">
        <v>13017536.893826794</v>
      </c>
      <c r="E256" s="109">
        <v>13210602.756176427</v>
      </c>
      <c r="F256" s="109">
        <v>13459837.900686013</v>
      </c>
      <c r="H256" s="241">
        <f t="shared" si="16"/>
        <v>1</v>
      </c>
      <c r="I256" s="241">
        <f t="shared" si="17"/>
        <v>1.0214423869421503</v>
      </c>
      <c r="J256" s="241">
        <f t="shared" si="18"/>
        <v>1.0146012698452382</v>
      </c>
      <c r="K256" s="241">
        <f t="shared" si="19"/>
        <v>1.014831212995539</v>
      </c>
      <c r="L256" s="241">
        <f t="shared" si="20"/>
        <v>1.0188662961947788</v>
      </c>
    </row>
    <row r="257" spans="1:12" ht="12.75">
      <c r="A257" t="s">
        <v>387</v>
      </c>
      <c r="B257" s="109">
        <v>4010884.9015585724</v>
      </c>
      <c r="C257" s="109">
        <v>4087722.152018193</v>
      </c>
      <c r="D257" s="109">
        <v>4164943.5494387387</v>
      </c>
      <c r="E257" s="109">
        <v>4207382.3221268505</v>
      </c>
      <c r="F257" s="109">
        <v>4286827.490996992</v>
      </c>
      <c r="H257" s="241">
        <f t="shared" si="16"/>
        <v>1</v>
      </c>
      <c r="I257" s="241">
        <f t="shared" si="17"/>
        <v>1.019157181605925</v>
      </c>
      <c r="J257" s="241">
        <f t="shared" si="18"/>
        <v>1.0188910582835038</v>
      </c>
      <c r="K257" s="241">
        <f t="shared" si="19"/>
        <v>1.0101895193018475</v>
      </c>
      <c r="L257" s="241">
        <f t="shared" si="20"/>
        <v>1.0188823270118181</v>
      </c>
    </row>
    <row r="258" spans="1:12" ht="12.75">
      <c r="A258" t="s">
        <v>388</v>
      </c>
      <c r="B258" s="109">
        <v>13188066.1002463</v>
      </c>
      <c r="C258" s="109">
        <v>13226460.51152738</v>
      </c>
      <c r="D258" s="109">
        <v>13135717.719619688</v>
      </c>
      <c r="E258" s="109">
        <v>13226408.067702634</v>
      </c>
      <c r="F258" s="109">
        <v>13405208.608675959</v>
      </c>
      <c r="H258" s="241">
        <f t="shared" si="16"/>
        <v>1</v>
      </c>
      <c r="I258" s="241">
        <f t="shared" si="17"/>
        <v>1.0029112995786669</v>
      </c>
      <c r="J258" s="241">
        <f t="shared" si="18"/>
        <v>0.9931392989206291</v>
      </c>
      <c r="K258" s="241">
        <f t="shared" si="19"/>
        <v>1.006904102997546</v>
      </c>
      <c r="L258" s="241">
        <f t="shared" si="20"/>
        <v>1.0135184503652155</v>
      </c>
    </row>
    <row r="259" spans="1:12" ht="12.75">
      <c r="A259" t="s">
        <v>389</v>
      </c>
      <c r="B259" s="109">
        <v>454947124.59900004</v>
      </c>
      <c r="C259" s="109">
        <v>468303519.58395755</v>
      </c>
      <c r="D259" s="109">
        <v>481566592.495762</v>
      </c>
      <c r="E259" s="109">
        <v>494853471.17613035</v>
      </c>
      <c r="F259" s="109">
        <v>507574125.25103176</v>
      </c>
      <c r="H259" s="241">
        <f t="shared" si="16"/>
        <v>1</v>
      </c>
      <c r="I259" s="241">
        <f t="shared" si="17"/>
        <v>1.0293581259508566</v>
      </c>
      <c r="J259" s="241">
        <f t="shared" si="18"/>
        <v>1.0283215315648009</v>
      </c>
      <c r="K259" s="241">
        <f t="shared" si="19"/>
        <v>1.0275909477264773</v>
      </c>
      <c r="L259" s="241">
        <f t="shared" si="20"/>
        <v>1.0257059004651778</v>
      </c>
    </row>
    <row r="260" spans="1:12" ht="12.75">
      <c r="A260" t="s">
        <v>390</v>
      </c>
      <c r="B260" s="109">
        <v>3102968.2892573453</v>
      </c>
      <c r="C260" s="109">
        <v>3115023.9621720943</v>
      </c>
      <c r="D260" s="109">
        <v>3162631.899788055</v>
      </c>
      <c r="E260" s="109">
        <v>3212882.9249240593</v>
      </c>
      <c r="F260" s="109">
        <v>3264895.0624796664</v>
      </c>
      <c r="H260" s="241">
        <f t="shared" si="16"/>
        <v>1</v>
      </c>
      <c r="I260" s="241">
        <f t="shared" si="17"/>
        <v>1.003885206612161</v>
      </c>
      <c r="J260" s="241">
        <f t="shared" si="18"/>
        <v>1.0152833295005423</v>
      </c>
      <c r="K260" s="241">
        <f t="shared" si="19"/>
        <v>1.0158889895277954</v>
      </c>
      <c r="L260" s="241">
        <f t="shared" si="20"/>
        <v>1.0161886189976364</v>
      </c>
    </row>
    <row r="261" spans="1:12" ht="12.75">
      <c r="A261" t="s">
        <v>391</v>
      </c>
      <c r="B261" s="109">
        <v>10063852.07133564</v>
      </c>
      <c r="C261" s="109">
        <v>10230209.339745259</v>
      </c>
      <c r="D261" s="109">
        <v>10397675.135407379</v>
      </c>
      <c r="E261" s="109">
        <v>10570893.139272196</v>
      </c>
      <c r="F261" s="109">
        <v>10748492.548347259</v>
      </c>
      <c r="H261" s="241">
        <f t="shared" si="16"/>
        <v>1</v>
      </c>
      <c r="I261" s="241">
        <f t="shared" si="17"/>
        <v>1.0165301782290148</v>
      </c>
      <c r="J261" s="241">
        <f t="shared" si="18"/>
        <v>1.0163697330231065</v>
      </c>
      <c r="K261" s="241">
        <f t="shared" si="19"/>
        <v>1.0166593013927656</v>
      </c>
      <c r="L261" s="241">
        <f t="shared" si="20"/>
        <v>1.0168007950449578</v>
      </c>
    </row>
    <row r="262" spans="1:12" ht="12.75">
      <c r="A262" t="s">
        <v>392</v>
      </c>
      <c r="B262" s="109">
        <v>11491913.843876887</v>
      </c>
      <c r="C262" s="109">
        <v>11649035.086345265</v>
      </c>
      <c r="D262" s="109">
        <v>11769033.12866726</v>
      </c>
      <c r="E262" s="109">
        <v>11889174.47259867</v>
      </c>
      <c r="F262" s="109">
        <v>11910144.304900086</v>
      </c>
      <c r="H262" s="241">
        <f aca="true" t="shared" si="21" ref="H262:H299">B262/B262</f>
        <v>1</v>
      </c>
      <c r="I262" s="241">
        <f aca="true" t="shared" si="22" ref="I262:I299">C262/B262</f>
        <v>1.013672330353581</v>
      </c>
      <c r="J262" s="241">
        <f aca="true" t="shared" si="23" ref="J262:J299">D262/C262</f>
        <v>1.0103011143354401</v>
      </c>
      <c r="K262" s="241">
        <f aca="true" t="shared" si="24" ref="K262:K299">E262/D262</f>
        <v>1.0102082594736492</v>
      </c>
      <c r="L262" s="241">
        <f aca="true" t="shared" si="25" ref="L262:L299">F262/E262</f>
        <v>1.0017637753024606</v>
      </c>
    </row>
    <row r="263" spans="1:12" ht="12.75">
      <c r="A263" t="s">
        <v>393</v>
      </c>
      <c r="B263" s="109">
        <v>10957517.279537523</v>
      </c>
      <c r="C263" s="109">
        <v>11026842.790659156</v>
      </c>
      <c r="D263" s="109">
        <v>11202953.17555998</v>
      </c>
      <c r="E263" s="109">
        <v>11448506.05344757</v>
      </c>
      <c r="F263" s="109">
        <v>11634733.983148245</v>
      </c>
      <c r="H263" s="241">
        <f t="shared" si="21"/>
        <v>1</v>
      </c>
      <c r="I263" s="241">
        <f t="shared" si="22"/>
        <v>1.006326753529387</v>
      </c>
      <c r="J263" s="241">
        <f t="shared" si="23"/>
        <v>1.0159710615490054</v>
      </c>
      <c r="K263" s="241">
        <f t="shared" si="24"/>
        <v>1.0219185846838386</v>
      </c>
      <c r="L263" s="241">
        <f t="shared" si="25"/>
        <v>1.0162665704006502</v>
      </c>
    </row>
    <row r="264" spans="1:12" ht="12.75">
      <c r="A264" t="s">
        <v>394</v>
      </c>
      <c r="B264" s="109">
        <v>8043015.397260188</v>
      </c>
      <c r="C264" s="109">
        <v>8291020.090847178</v>
      </c>
      <c r="D264" s="109">
        <v>8379172.419358969</v>
      </c>
      <c r="E264" s="109">
        <v>8589326.603046792</v>
      </c>
      <c r="F264" s="109">
        <v>8741920.287810076</v>
      </c>
      <c r="H264" s="241">
        <f t="shared" si="21"/>
        <v>1</v>
      </c>
      <c r="I264" s="241">
        <f t="shared" si="22"/>
        <v>1.0308347903538109</v>
      </c>
      <c r="J264" s="241">
        <f t="shared" si="23"/>
        <v>1.0106322656978126</v>
      </c>
      <c r="K264" s="241">
        <f t="shared" si="24"/>
        <v>1.0250805417492412</v>
      </c>
      <c r="L264" s="241">
        <f t="shared" si="25"/>
        <v>1.0177655003489048</v>
      </c>
    </row>
    <row r="265" spans="1:12" ht="12.75">
      <c r="A265" t="s">
        <v>395</v>
      </c>
      <c r="B265" s="109">
        <v>5673835.290465688</v>
      </c>
      <c r="C265" s="109">
        <v>5762435.132932769</v>
      </c>
      <c r="D265" s="109">
        <v>5885151.501215846</v>
      </c>
      <c r="E265" s="109">
        <v>6007240.02089302</v>
      </c>
      <c r="F265" s="109">
        <v>6132692.193803749</v>
      </c>
      <c r="H265" s="241">
        <f t="shared" si="21"/>
        <v>1</v>
      </c>
      <c r="I265" s="241">
        <f t="shared" si="22"/>
        <v>1.0156155118947432</v>
      </c>
      <c r="J265" s="241">
        <f t="shared" si="23"/>
        <v>1.0212959218545894</v>
      </c>
      <c r="K265" s="241">
        <f t="shared" si="24"/>
        <v>1.0207451787183304</v>
      </c>
      <c r="L265" s="241">
        <f t="shared" si="25"/>
        <v>1.0208834959939024</v>
      </c>
    </row>
    <row r="266" spans="1:12" ht="12.75">
      <c r="A266" t="s">
        <v>396</v>
      </c>
      <c r="B266" s="109">
        <v>45391351.56023596</v>
      </c>
      <c r="C266" s="109">
        <v>46019788.48270099</v>
      </c>
      <c r="D266" s="109">
        <v>46750448.23015943</v>
      </c>
      <c r="E266" s="109">
        <v>47437967.378794335</v>
      </c>
      <c r="F266" s="109">
        <v>48075900.63929854</v>
      </c>
      <c r="H266" s="241">
        <f t="shared" si="21"/>
        <v>1</v>
      </c>
      <c r="I266" s="241">
        <f t="shared" si="22"/>
        <v>1.0138448603283177</v>
      </c>
      <c r="J266" s="241">
        <f t="shared" si="23"/>
        <v>1.01587707748229</v>
      </c>
      <c r="K266" s="241">
        <f t="shared" si="24"/>
        <v>1.0147061509496154</v>
      </c>
      <c r="L266" s="241">
        <f t="shared" si="25"/>
        <v>1.0134477359750742</v>
      </c>
    </row>
    <row r="267" spans="1:12" ht="12.75">
      <c r="A267" t="s">
        <v>397</v>
      </c>
      <c r="B267" s="109">
        <v>410389703.1604271</v>
      </c>
      <c r="C267" s="109">
        <v>421436545.5837272</v>
      </c>
      <c r="D267" s="109">
        <v>432342376.46850294</v>
      </c>
      <c r="E267" s="109">
        <v>443478564.5525048</v>
      </c>
      <c r="F267" s="109">
        <v>454243452.0445761</v>
      </c>
      <c r="H267" s="241">
        <f t="shared" si="21"/>
        <v>1</v>
      </c>
      <c r="I267" s="241">
        <f t="shared" si="22"/>
        <v>1.0269179327313231</v>
      </c>
      <c r="J267" s="241">
        <f t="shared" si="23"/>
        <v>1.025877753125729</v>
      </c>
      <c r="K267" s="241">
        <f t="shared" si="24"/>
        <v>1.0257577991196825</v>
      </c>
      <c r="L267" s="241">
        <f t="shared" si="25"/>
        <v>1.0242737492914313</v>
      </c>
    </row>
    <row r="268" spans="1:12" ht="12.75">
      <c r="A268" t="s">
        <v>319</v>
      </c>
      <c r="B268" s="109">
        <v>7874748.951030199</v>
      </c>
      <c r="C268" s="109">
        <v>7975311.455142082</v>
      </c>
      <c r="D268" s="109">
        <v>8080300.12955712</v>
      </c>
      <c r="E268" s="109">
        <v>8185119.154478352</v>
      </c>
      <c r="F268" s="109">
        <v>8298270.379286002</v>
      </c>
      <c r="H268" s="241">
        <f t="shared" si="21"/>
        <v>1</v>
      </c>
      <c r="I268" s="241">
        <f t="shared" si="22"/>
        <v>1.0127702488977413</v>
      </c>
      <c r="J268" s="241">
        <f t="shared" si="23"/>
        <v>1.0131642099503646</v>
      </c>
      <c r="K268" s="241">
        <f t="shared" si="24"/>
        <v>1.0129721697511966</v>
      </c>
      <c r="L268" s="241">
        <f t="shared" si="25"/>
        <v>1.0138240168129675</v>
      </c>
    </row>
    <row r="269" spans="1:12" ht="12.75">
      <c r="A269" t="s">
        <v>398</v>
      </c>
      <c r="B269" s="109">
        <v>6280180.173997006</v>
      </c>
      <c r="C269" s="109">
        <v>6390802.301975151</v>
      </c>
      <c r="D269" s="109">
        <v>6505490.558275366</v>
      </c>
      <c r="E269" s="109">
        <v>6621129.490345629</v>
      </c>
      <c r="F269" s="109">
        <v>6694738.124824848</v>
      </c>
      <c r="H269" s="241">
        <f t="shared" si="21"/>
        <v>1</v>
      </c>
      <c r="I269" s="241">
        <f t="shared" si="22"/>
        <v>1.017614483169794</v>
      </c>
      <c r="J269" s="241">
        <f t="shared" si="23"/>
        <v>1.0179458307237528</v>
      </c>
      <c r="K269" s="241">
        <f t="shared" si="24"/>
        <v>1.0177755898704923</v>
      </c>
      <c r="L269" s="241">
        <f t="shared" si="25"/>
        <v>1.0111172322768418</v>
      </c>
    </row>
    <row r="270" spans="1:12" ht="12.75">
      <c r="A270" t="s">
        <v>399</v>
      </c>
      <c r="B270" s="109">
        <v>79806825.47039367</v>
      </c>
      <c r="C270" s="109">
        <v>81403198.59328918</v>
      </c>
      <c r="D270" s="109">
        <v>82939196.12608835</v>
      </c>
      <c r="E270" s="109">
        <v>84606478.16315874</v>
      </c>
      <c r="F270" s="109">
        <v>86295717.15838985</v>
      </c>
      <c r="H270" s="241">
        <f t="shared" si="21"/>
        <v>1</v>
      </c>
      <c r="I270" s="241">
        <f t="shared" si="22"/>
        <v>1.0200029648277105</v>
      </c>
      <c r="J270" s="241">
        <f t="shared" si="23"/>
        <v>1.0188690071071211</v>
      </c>
      <c r="K270" s="241">
        <f t="shared" si="24"/>
        <v>1.020102461983544</v>
      </c>
      <c r="L270" s="241">
        <f t="shared" si="25"/>
        <v>1.0199658351453125</v>
      </c>
    </row>
    <row r="271" spans="1:12" ht="12.75">
      <c r="A271" t="s">
        <v>400</v>
      </c>
      <c r="B271" s="109">
        <v>18682901.386515696</v>
      </c>
      <c r="C271" s="109">
        <v>19071437.60589123</v>
      </c>
      <c r="D271" s="109">
        <v>19287873.05392154</v>
      </c>
      <c r="E271" s="109">
        <v>19586869.425409302</v>
      </c>
      <c r="F271" s="109">
        <v>19642827.292654406</v>
      </c>
      <c r="H271" s="241">
        <f t="shared" si="21"/>
        <v>1</v>
      </c>
      <c r="I271" s="241">
        <f t="shared" si="22"/>
        <v>1.0207963533788151</v>
      </c>
      <c r="J271" s="241">
        <f t="shared" si="23"/>
        <v>1.0113486698015597</v>
      </c>
      <c r="K271" s="241">
        <f t="shared" si="24"/>
        <v>1.0155017803493358</v>
      </c>
      <c r="L271" s="241">
        <f t="shared" si="25"/>
        <v>1.002856907146811</v>
      </c>
    </row>
    <row r="272" spans="1:12" ht="12.75">
      <c r="A272" t="s">
        <v>401</v>
      </c>
      <c r="B272" s="109">
        <v>26388694.24628226</v>
      </c>
      <c r="C272" s="109">
        <v>26715188.407788</v>
      </c>
      <c r="D272" s="109">
        <v>27138338.11655755</v>
      </c>
      <c r="E272" s="109">
        <v>27617074.803399157</v>
      </c>
      <c r="F272" s="109">
        <v>27979801.257355995</v>
      </c>
      <c r="H272" s="241">
        <f t="shared" si="21"/>
        <v>1</v>
      </c>
      <c r="I272" s="241">
        <f t="shared" si="22"/>
        <v>1.0123725015894538</v>
      </c>
      <c r="J272" s="241">
        <f t="shared" si="23"/>
        <v>1.0158392934502454</v>
      </c>
      <c r="K272" s="241">
        <f t="shared" si="24"/>
        <v>1.0176406044019888</v>
      </c>
      <c r="L272" s="241">
        <f t="shared" si="25"/>
        <v>1.0131341373602751</v>
      </c>
    </row>
    <row r="273" spans="1:12" ht="12.75">
      <c r="A273" t="s">
        <v>402</v>
      </c>
      <c r="B273" s="109">
        <v>9333913.529181376</v>
      </c>
      <c r="C273" s="109">
        <v>9474109.026675299</v>
      </c>
      <c r="D273" s="109">
        <v>9584761.131267205</v>
      </c>
      <c r="E273" s="109">
        <v>9735508.248832583</v>
      </c>
      <c r="F273" s="109">
        <v>9852948.306086926</v>
      </c>
      <c r="H273" s="241">
        <f t="shared" si="21"/>
        <v>1</v>
      </c>
      <c r="I273" s="241">
        <f t="shared" si="22"/>
        <v>1.015020012458399</v>
      </c>
      <c r="J273" s="241">
        <f t="shared" si="23"/>
        <v>1.0116794206484594</v>
      </c>
      <c r="K273" s="241">
        <f t="shared" si="24"/>
        <v>1.0157277907608584</v>
      </c>
      <c r="L273" s="241">
        <f t="shared" si="25"/>
        <v>1.0120630638126598</v>
      </c>
    </row>
    <row r="274" spans="1:12" ht="12.75">
      <c r="A274" t="s">
        <v>403</v>
      </c>
      <c r="B274" s="109">
        <v>9602392.406810971</v>
      </c>
      <c r="C274" s="109">
        <v>9723388.610619854</v>
      </c>
      <c r="D274" s="109">
        <v>9935042.860286023</v>
      </c>
      <c r="E274" s="109">
        <v>10059848.951926704</v>
      </c>
      <c r="F274" s="109">
        <v>10222716.531349692</v>
      </c>
      <c r="H274" s="241">
        <f t="shared" si="21"/>
        <v>1</v>
      </c>
      <c r="I274" s="241">
        <f t="shared" si="22"/>
        <v>1.012600631038892</v>
      </c>
      <c r="J274" s="241">
        <f t="shared" si="23"/>
        <v>1.0217675399124746</v>
      </c>
      <c r="K274" s="241">
        <f t="shared" si="24"/>
        <v>1.0125622096850309</v>
      </c>
      <c r="L274" s="241">
        <f t="shared" si="25"/>
        <v>1.0161898633072215</v>
      </c>
    </row>
    <row r="275" spans="1:12" ht="12.75">
      <c r="A275" t="s">
        <v>404</v>
      </c>
      <c r="B275" s="109">
        <v>4683564.121143634</v>
      </c>
      <c r="C275" s="109">
        <v>4773928.816633066</v>
      </c>
      <c r="D275" s="109">
        <v>4906089.497874152</v>
      </c>
      <c r="E275" s="109">
        <v>4997478.46690718</v>
      </c>
      <c r="F275" s="109">
        <v>5050581.382831457</v>
      </c>
      <c r="H275" s="241">
        <f t="shared" si="21"/>
        <v>1</v>
      </c>
      <c r="I275" s="241">
        <f t="shared" si="22"/>
        <v>1.0192940019933723</v>
      </c>
      <c r="J275" s="241">
        <f t="shared" si="23"/>
        <v>1.027683839939259</v>
      </c>
      <c r="K275" s="241">
        <f t="shared" si="24"/>
        <v>1.0186276603948272</v>
      </c>
      <c r="L275" s="241">
        <f t="shared" si="25"/>
        <v>1.010625941917693</v>
      </c>
    </row>
    <row r="276" spans="1:12" ht="12.75">
      <c r="A276" t="s">
        <v>405</v>
      </c>
      <c r="B276" s="109">
        <v>9094361.729269013</v>
      </c>
      <c r="C276" s="109">
        <v>9350711.831285058</v>
      </c>
      <c r="D276" s="109">
        <v>9518865.430888707</v>
      </c>
      <c r="E276" s="109">
        <v>9669157.61709183</v>
      </c>
      <c r="F276" s="109">
        <v>9818531.080658177</v>
      </c>
      <c r="H276" s="241">
        <f t="shared" si="21"/>
        <v>1</v>
      </c>
      <c r="I276" s="241">
        <f t="shared" si="22"/>
        <v>1.0281878057688223</v>
      </c>
      <c r="J276" s="241">
        <f t="shared" si="23"/>
        <v>1.017982973129495</v>
      </c>
      <c r="K276" s="241">
        <f t="shared" si="24"/>
        <v>1.0157888760266982</v>
      </c>
      <c r="L276" s="241">
        <f t="shared" si="25"/>
        <v>1.0154484464398743</v>
      </c>
    </row>
    <row r="277" spans="1:12" ht="12.75">
      <c r="A277" t="s">
        <v>406</v>
      </c>
      <c r="B277" s="109">
        <v>17861289.312531378</v>
      </c>
      <c r="C277" s="109">
        <v>18342785.284033194</v>
      </c>
      <c r="D277" s="109">
        <v>18672134.88444907</v>
      </c>
      <c r="E277" s="109">
        <v>18903367.28653984</v>
      </c>
      <c r="F277" s="109">
        <v>19053202.812822826</v>
      </c>
      <c r="H277" s="241">
        <f t="shared" si="21"/>
        <v>1</v>
      </c>
      <c r="I277" s="241">
        <f t="shared" si="22"/>
        <v>1.026957514828675</v>
      </c>
      <c r="J277" s="241">
        <f t="shared" si="23"/>
        <v>1.0179552666247782</v>
      </c>
      <c r="K277" s="241">
        <f t="shared" si="24"/>
        <v>1.0123838223921227</v>
      </c>
      <c r="L277" s="241">
        <f t="shared" si="25"/>
        <v>1.0079263934309564</v>
      </c>
    </row>
    <row r="278" spans="1:12" ht="12.75">
      <c r="A278" t="s">
        <v>407</v>
      </c>
      <c r="B278" s="109">
        <v>25497311.44426904</v>
      </c>
      <c r="C278" s="109">
        <v>25899404.96850289</v>
      </c>
      <c r="D278" s="109">
        <v>26207349.56149959</v>
      </c>
      <c r="E278" s="109">
        <v>26610583.493285153</v>
      </c>
      <c r="F278" s="109">
        <v>26957005.969922293</v>
      </c>
      <c r="H278" s="241">
        <f t="shared" si="21"/>
        <v>1</v>
      </c>
      <c r="I278" s="241">
        <f t="shared" si="22"/>
        <v>1.0157700361903932</v>
      </c>
      <c r="J278" s="241">
        <f t="shared" si="23"/>
        <v>1.0118900257890557</v>
      </c>
      <c r="K278" s="241">
        <f t="shared" si="24"/>
        <v>1.0153862919575027</v>
      </c>
      <c r="L278" s="241">
        <f t="shared" si="25"/>
        <v>1.013018221743411</v>
      </c>
    </row>
    <row r="279" spans="1:12" ht="12.75">
      <c r="A279" t="s">
        <v>409</v>
      </c>
      <c r="B279" s="109">
        <v>210644998.6405607</v>
      </c>
      <c r="C279" s="109">
        <v>216017703.97132963</v>
      </c>
      <c r="D279" s="109">
        <v>221567381.83139452</v>
      </c>
      <c r="E279" s="109">
        <v>227110681.97223598</v>
      </c>
      <c r="F279" s="109">
        <v>232699246.93862993</v>
      </c>
      <c r="H279" s="241">
        <f t="shared" si="21"/>
        <v>1</v>
      </c>
      <c r="I279" s="241">
        <f t="shared" si="22"/>
        <v>1.0255059714944232</v>
      </c>
      <c r="J279" s="241">
        <f t="shared" si="23"/>
        <v>1.0256908473612953</v>
      </c>
      <c r="K279" s="241">
        <f t="shared" si="24"/>
        <v>1.0250185749139724</v>
      </c>
      <c r="L279" s="241">
        <f t="shared" si="25"/>
        <v>1.0246072307910077</v>
      </c>
    </row>
    <row r="280" spans="1:12" ht="12.75">
      <c r="A280" t="s">
        <v>410</v>
      </c>
      <c r="B280" s="109">
        <v>39113234.60812651</v>
      </c>
      <c r="C280" s="109">
        <v>39942279.51546858</v>
      </c>
      <c r="D280" s="109">
        <v>40766196.79434953</v>
      </c>
      <c r="E280" s="109">
        <v>41583406.647194356</v>
      </c>
      <c r="F280" s="109">
        <v>42357869.600637585</v>
      </c>
      <c r="H280" s="241">
        <f t="shared" si="21"/>
        <v>1</v>
      </c>
      <c r="I280" s="241">
        <f t="shared" si="22"/>
        <v>1.0211960201105388</v>
      </c>
      <c r="J280" s="241">
        <f t="shared" si="23"/>
        <v>1.0206276979900926</v>
      </c>
      <c r="K280" s="241">
        <f t="shared" si="24"/>
        <v>1.0200462617831962</v>
      </c>
      <c r="L280" s="241">
        <f t="shared" si="25"/>
        <v>1.0186243267660584</v>
      </c>
    </row>
    <row r="281" spans="1:12" ht="12.75">
      <c r="A281" t="s">
        <v>411</v>
      </c>
      <c r="B281" s="109">
        <v>4761125.806041554</v>
      </c>
      <c r="C281" s="109">
        <v>4838892.4308653</v>
      </c>
      <c r="D281" s="109">
        <v>4919827.552644898</v>
      </c>
      <c r="E281" s="109">
        <v>5002075.677056013</v>
      </c>
      <c r="F281" s="109">
        <v>5086672.27247926</v>
      </c>
      <c r="H281" s="241">
        <f t="shared" si="21"/>
        <v>1</v>
      </c>
      <c r="I281" s="241">
        <f t="shared" si="22"/>
        <v>1.0163336630855386</v>
      </c>
      <c r="J281" s="241">
        <f t="shared" si="23"/>
        <v>1.016725960110902</v>
      </c>
      <c r="K281" s="241">
        <f t="shared" si="24"/>
        <v>1.016717684416987</v>
      </c>
      <c r="L281" s="241">
        <f t="shared" si="25"/>
        <v>1.0169122981907857</v>
      </c>
    </row>
    <row r="282" spans="1:12" ht="12.75">
      <c r="A282" t="s">
        <v>413</v>
      </c>
      <c r="B282" s="109">
        <v>41801385.904732704</v>
      </c>
      <c r="C282" s="109">
        <v>42118336.93600085</v>
      </c>
      <c r="D282" s="109">
        <v>42304661.13079462</v>
      </c>
      <c r="E282" s="109">
        <v>42500172.19908619</v>
      </c>
      <c r="F282" s="109">
        <v>42805631.240402035</v>
      </c>
      <c r="H282" s="241">
        <f t="shared" si="21"/>
        <v>1</v>
      </c>
      <c r="I282" s="241">
        <f t="shared" si="22"/>
        <v>1.007582309160526</v>
      </c>
      <c r="J282" s="241">
        <f t="shared" si="23"/>
        <v>1.004423826018508</v>
      </c>
      <c r="K282" s="241">
        <f t="shared" si="24"/>
        <v>1.0046215018171898</v>
      </c>
      <c r="L282" s="241">
        <f t="shared" si="25"/>
        <v>1.007187242439512</v>
      </c>
    </row>
    <row r="283" spans="1:12" ht="12.75">
      <c r="A283" t="s">
        <v>414</v>
      </c>
      <c r="B283" s="109">
        <v>2512046.836961898</v>
      </c>
      <c r="C283" s="109">
        <v>2560136.435677477</v>
      </c>
      <c r="D283" s="109">
        <v>2609749.947602287</v>
      </c>
      <c r="E283" s="109">
        <v>2637473.334841141</v>
      </c>
      <c r="F283" s="109">
        <v>2665997.05625818</v>
      </c>
      <c r="H283" s="241">
        <f t="shared" si="21"/>
        <v>1</v>
      </c>
      <c r="I283" s="241">
        <f t="shared" si="22"/>
        <v>1.0191435915955052</v>
      </c>
      <c r="J283" s="241">
        <f t="shared" si="23"/>
        <v>1.0193792452751373</v>
      </c>
      <c r="K283" s="241">
        <f t="shared" si="24"/>
        <v>1.0106230051903344</v>
      </c>
      <c r="L283" s="241">
        <f t="shared" si="25"/>
        <v>1.0108147904436566</v>
      </c>
    </row>
    <row r="284" spans="1:12" ht="12.75">
      <c r="A284" t="s">
        <v>415</v>
      </c>
      <c r="B284" s="109">
        <v>5026257.914355142</v>
      </c>
      <c r="C284" s="109">
        <v>5138588.200890847</v>
      </c>
      <c r="D284" s="109">
        <v>5266483.304972292</v>
      </c>
      <c r="E284" s="109">
        <v>5346924.735717315</v>
      </c>
      <c r="F284" s="109">
        <v>5376952.462450306</v>
      </c>
      <c r="H284" s="241">
        <f t="shared" si="21"/>
        <v>1</v>
      </c>
      <c r="I284" s="241">
        <f t="shared" si="22"/>
        <v>1.0223486913027058</v>
      </c>
      <c r="J284" s="241">
        <f t="shared" si="23"/>
        <v>1.024889152249887</v>
      </c>
      <c r="K284" s="241">
        <f t="shared" si="24"/>
        <v>1.0152742211617904</v>
      </c>
      <c r="L284" s="241">
        <f t="shared" si="25"/>
        <v>1.0056158873029213</v>
      </c>
    </row>
    <row r="285" spans="1:12" ht="12.75">
      <c r="A285" t="s">
        <v>416</v>
      </c>
      <c r="B285" s="109">
        <v>9817919.57273264</v>
      </c>
      <c r="C285" s="109">
        <v>10098917.197718794</v>
      </c>
      <c r="D285" s="109">
        <v>10284772.604167342</v>
      </c>
      <c r="E285" s="109">
        <v>10490831.170800759</v>
      </c>
      <c r="F285" s="109">
        <v>10575304.155399935</v>
      </c>
      <c r="H285" s="241">
        <f t="shared" si="21"/>
        <v>1</v>
      </c>
      <c r="I285" s="241">
        <f t="shared" si="22"/>
        <v>1.0286208929401468</v>
      </c>
      <c r="J285" s="241">
        <f t="shared" si="23"/>
        <v>1.0184034983959005</v>
      </c>
      <c r="K285" s="241">
        <f t="shared" si="24"/>
        <v>1.0200353060358303</v>
      </c>
      <c r="L285" s="241">
        <f t="shared" si="25"/>
        <v>1.0080520774020547</v>
      </c>
    </row>
    <row r="286" spans="1:12" ht="12.75">
      <c r="A286" t="s">
        <v>417</v>
      </c>
      <c r="B286" s="109">
        <v>7008259.187972106</v>
      </c>
      <c r="C286" s="109">
        <v>7061811.841953506</v>
      </c>
      <c r="D286" s="109">
        <v>7145819.939510553</v>
      </c>
      <c r="E286" s="109">
        <v>7230669.361301142</v>
      </c>
      <c r="F286" s="109">
        <v>7372302.242226953</v>
      </c>
      <c r="H286" s="241">
        <f t="shared" si="21"/>
        <v>1</v>
      </c>
      <c r="I286" s="241">
        <f t="shared" si="22"/>
        <v>1.0076413632180312</v>
      </c>
      <c r="J286" s="241">
        <f t="shared" si="23"/>
        <v>1.0118961110034062</v>
      </c>
      <c r="K286" s="241">
        <f t="shared" si="24"/>
        <v>1.0118739938186017</v>
      </c>
      <c r="L286" s="241">
        <f t="shared" si="25"/>
        <v>1.0195877966269398</v>
      </c>
    </row>
    <row r="287" spans="1:12" ht="12.75">
      <c r="A287" t="s">
        <v>418</v>
      </c>
      <c r="B287" s="109">
        <v>8780521.654104633</v>
      </c>
      <c r="C287" s="109">
        <v>8988496.110421263</v>
      </c>
      <c r="D287" s="109">
        <v>9052512.948301062</v>
      </c>
      <c r="E287" s="109">
        <v>9279537.250711126</v>
      </c>
      <c r="F287" s="109">
        <v>9448942.978613026</v>
      </c>
      <c r="H287" s="241">
        <f t="shared" si="21"/>
        <v>1</v>
      </c>
      <c r="I287" s="241">
        <f t="shared" si="22"/>
        <v>1.0236858884368685</v>
      </c>
      <c r="J287" s="241">
        <f t="shared" si="23"/>
        <v>1.0071220855072271</v>
      </c>
      <c r="K287" s="241">
        <f t="shared" si="24"/>
        <v>1.0250785946075527</v>
      </c>
      <c r="L287" s="241">
        <f t="shared" si="25"/>
        <v>1.0182558379071023</v>
      </c>
    </row>
    <row r="288" spans="1:12" ht="12.75">
      <c r="A288" t="s">
        <v>419</v>
      </c>
      <c r="B288" s="109">
        <v>60042482.26866513</v>
      </c>
      <c r="C288" s="109">
        <v>61383120.90967378</v>
      </c>
      <c r="D288" s="109">
        <v>62270187.68983924</v>
      </c>
      <c r="E288" s="109">
        <v>63387763.74643269</v>
      </c>
      <c r="F288" s="109">
        <v>64283734.72221198</v>
      </c>
      <c r="H288" s="241">
        <f t="shared" si="21"/>
        <v>1</v>
      </c>
      <c r="I288" s="241">
        <f t="shared" si="22"/>
        <v>1.0223281681628327</v>
      </c>
      <c r="J288" s="241">
        <f t="shared" si="23"/>
        <v>1.0144513144170495</v>
      </c>
      <c r="K288" s="241">
        <f t="shared" si="24"/>
        <v>1.0179472087375097</v>
      </c>
      <c r="L288" s="241">
        <f t="shared" si="25"/>
        <v>1.0141347623393593</v>
      </c>
    </row>
    <row r="289" spans="1:12" ht="12.75">
      <c r="A289" t="s">
        <v>420</v>
      </c>
      <c r="B289" s="109">
        <v>14284163.67728097</v>
      </c>
      <c r="C289" s="109">
        <v>14461213.236728203</v>
      </c>
      <c r="D289" s="109">
        <v>14583803.766919939</v>
      </c>
      <c r="E289" s="109">
        <v>14771553.461569857</v>
      </c>
      <c r="F289" s="109">
        <v>14925751.83358425</v>
      </c>
      <c r="H289" s="241">
        <f t="shared" si="21"/>
        <v>1</v>
      </c>
      <c r="I289" s="241">
        <f t="shared" si="22"/>
        <v>1.0123948145265818</v>
      </c>
      <c r="J289" s="241">
        <f t="shared" si="23"/>
        <v>1.0084771953905212</v>
      </c>
      <c r="K289" s="241">
        <f t="shared" si="24"/>
        <v>1.0128738494874558</v>
      </c>
      <c r="L289" s="241">
        <f t="shared" si="25"/>
        <v>1.010438873095884</v>
      </c>
    </row>
    <row r="290" spans="1:12" ht="12.75">
      <c r="A290" t="s">
        <v>421</v>
      </c>
      <c r="B290" s="109">
        <v>5344065.933943247</v>
      </c>
      <c r="C290" s="109">
        <v>5431506.301880183</v>
      </c>
      <c r="D290" s="109">
        <v>5576438.424851073</v>
      </c>
      <c r="E290" s="109">
        <v>5558431.913803078</v>
      </c>
      <c r="F290" s="109">
        <v>5708057.184524512</v>
      </c>
      <c r="H290" s="241">
        <f t="shared" si="21"/>
        <v>1</v>
      </c>
      <c r="I290" s="241">
        <f t="shared" si="22"/>
        <v>1.0163621424244695</v>
      </c>
      <c r="J290" s="241">
        <f t="shared" si="23"/>
        <v>1.0266835965781205</v>
      </c>
      <c r="K290" s="241">
        <f t="shared" si="24"/>
        <v>0.9967709656816527</v>
      </c>
      <c r="L290" s="241">
        <f t="shared" si="25"/>
        <v>1.0269186117670839</v>
      </c>
    </row>
    <row r="291" spans="1:12" ht="12.75">
      <c r="A291" t="s">
        <v>422</v>
      </c>
      <c r="B291" s="109">
        <v>7350044.293667633</v>
      </c>
      <c r="C291" s="109">
        <v>7503132.733703974</v>
      </c>
      <c r="D291" s="109">
        <v>7638686.355274414</v>
      </c>
      <c r="E291" s="109">
        <v>7774749.026251189</v>
      </c>
      <c r="F291" s="109">
        <v>7915179.350030939</v>
      </c>
      <c r="H291" s="241">
        <f t="shared" si="21"/>
        <v>1</v>
      </c>
      <c r="I291" s="241">
        <f t="shared" si="22"/>
        <v>1.0208282336704055</v>
      </c>
      <c r="J291" s="241">
        <f t="shared" si="23"/>
        <v>1.018066269967681</v>
      </c>
      <c r="K291" s="241">
        <f t="shared" si="24"/>
        <v>1.0178123128308345</v>
      </c>
      <c r="L291" s="241">
        <f t="shared" si="25"/>
        <v>1.0180623610235637</v>
      </c>
    </row>
    <row r="292" spans="1:12" ht="12.75">
      <c r="A292" t="s">
        <v>423</v>
      </c>
      <c r="B292" s="109">
        <v>15079057.16151307</v>
      </c>
      <c r="C292" s="109">
        <v>15159301.892107956</v>
      </c>
      <c r="D292" s="109">
        <v>15208788.29955483</v>
      </c>
      <c r="E292" s="109">
        <v>15297983.787949547</v>
      </c>
      <c r="F292" s="109">
        <v>15469705.634783193</v>
      </c>
      <c r="H292" s="241">
        <f t="shared" si="21"/>
        <v>1</v>
      </c>
      <c r="I292" s="241">
        <f t="shared" si="22"/>
        <v>1.00532160132662</v>
      </c>
      <c r="J292" s="241">
        <f t="shared" si="23"/>
        <v>1.003264425222156</v>
      </c>
      <c r="K292" s="241">
        <f t="shared" si="24"/>
        <v>1.0058647333790114</v>
      </c>
      <c r="L292" s="241">
        <f t="shared" si="25"/>
        <v>1.0112251293512884</v>
      </c>
    </row>
    <row r="293" spans="1:12" ht="12.75">
      <c r="A293" t="s">
        <v>137</v>
      </c>
      <c r="B293" s="109">
        <v>17827079.214606382</v>
      </c>
      <c r="C293" s="109">
        <v>18371173.22265894</v>
      </c>
      <c r="D293" s="109">
        <v>18909496.49443543</v>
      </c>
      <c r="E293" s="109">
        <v>19446682.555824</v>
      </c>
      <c r="F293" s="109">
        <v>19857686.979748856</v>
      </c>
      <c r="H293" s="241">
        <f t="shared" si="21"/>
        <v>1</v>
      </c>
      <c r="I293" s="241">
        <f t="shared" si="22"/>
        <v>1.0305206479144806</v>
      </c>
      <c r="J293" s="241">
        <f t="shared" si="23"/>
        <v>1.0293026071471867</v>
      </c>
      <c r="K293" s="241">
        <f t="shared" si="24"/>
        <v>1.0284082689111607</v>
      </c>
      <c r="L293" s="241">
        <f t="shared" si="25"/>
        <v>1.021134937681274</v>
      </c>
    </row>
    <row r="294" spans="1:12" ht="12.75">
      <c r="A294" t="s">
        <v>424</v>
      </c>
      <c r="B294" s="109">
        <v>9172041.474934839</v>
      </c>
      <c r="C294" s="109">
        <v>9388864.356511876</v>
      </c>
      <c r="D294" s="109">
        <v>9456624.6111498</v>
      </c>
      <c r="E294" s="109">
        <v>9642166.498860199</v>
      </c>
      <c r="F294" s="109">
        <v>9778909.874932496</v>
      </c>
      <c r="H294" s="241">
        <f t="shared" si="21"/>
        <v>1</v>
      </c>
      <c r="I294" s="241">
        <f t="shared" si="22"/>
        <v>1.0236395443881896</v>
      </c>
      <c r="J294" s="241">
        <f t="shared" si="23"/>
        <v>1.0072170873989597</v>
      </c>
      <c r="K294" s="241">
        <f t="shared" si="24"/>
        <v>1.019620308021071</v>
      </c>
      <c r="L294" s="241">
        <f t="shared" si="25"/>
        <v>1.01418181029009</v>
      </c>
    </row>
    <row r="295" spans="1:12" ht="12.75">
      <c r="A295" t="s">
        <v>425</v>
      </c>
      <c r="B295" s="109">
        <v>36802430.57622551</v>
      </c>
      <c r="C295" s="109">
        <v>37836693.78031065</v>
      </c>
      <c r="D295" s="109">
        <v>39067059.620914854</v>
      </c>
      <c r="E295" s="109">
        <v>40171302.543374486</v>
      </c>
      <c r="F295" s="109">
        <v>41235491.22770255</v>
      </c>
      <c r="H295" s="241">
        <f t="shared" si="21"/>
        <v>1</v>
      </c>
      <c r="I295" s="241">
        <f t="shared" si="22"/>
        <v>1.0281031222093597</v>
      </c>
      <c r="J295" s="241">
        <f t="shared" si="23"/>
        <v>1.0325177947034172</v>
      </c>
      <c r="K295" s="241">
        <f t="shared" si="24"/>
        <v>1.0282653195089315</v>
      </c>
      <c r="L295" s="241">
        <f t="shared" si="25"/>
        <v>1.0264912665746653</v>
      </c>
    </row>
    <row r="296" spans="1:12" ht="12.75">
      <c r="A296" t="s">
        <v>426</v>
      </c>
      <c r="B296" s="109">
        <v>73943926.54027823</v>
      </c>
      <c r="C296" s="109">
        <v>76157429.17495838</v>
      </c>
      <c r="D296" s="109">
        <v>77935637.5315429</v>
      </c>
      <c r="E296" s="109">
        <v>79772138.57656592</v>
      </c>
      <c r="F296" s="109">
        <v>81557249.719129</v>
      </c>
      <c r="H296" s="241">
        <f t="shared" si="21"/>
        <v>1</v>
      </c>
      <c r="I296" s="241">
        <f t="shared" si="22"/>
        <v>1.0299348809056608</v>
      </c>
      <c r="J296" s="241">
        <f t="shared" si="23"/>
        <v>1.0233491121726206</v>
      </c>
      <c r="K296" s="241">
        <f t="shared" si="24"/>
        <v>1.0235643295312717</v>
      </c>
      <c r="L296" s="241">
        <f t="shared" si="25"/>
        <v>1.0223776267556086</v>
      </c>
    </row>
    <row r="297" spans="1:12" ht="12.75">
      <c r="A297" t="s">
        <v>427</v>
      </c>
      <c r="B297" s="109">
        <v>4869825.156981128</v>
      </c>
      <c r="C297" s="109">
        <v>4956371.409358041</v>
      </c>
      <c r="D297" s="109">
        <v>5045423.958410565</v>
      </c>
      <c r="E297" s="109">
        <v>5136066.679724256</v>
      </c>
      <c r="F297" s="109">
        <v>5231394.651038019</v>
      </c>
      <c r="H297" s="241">
        <f t="shared" si="21"/>
        <v>1</v>
      </c>
      <c r="I297" s="241">
        <f t="shared" si="22"/>
        <v>1.017771942438805</v>
      </c>
      <c r="J297" s="241">
        <f t="shared" si="23"/>
        <v>1.0179672872949725</v>
      </c>
      <c r="K297" s="241">
        <f t="shared" si="24"/>
        <v>1.017965332955339</v>
      </c>
      <c r="L297" s="241">
        <f t="shared" si="25"/>
        <v>1.0185605011107217</v>
      </c>
    </row>
    <row r="298" spans="1:12" ht="12.75">
      <c r="A298" t="s">
        <v>428</v>
      </c>
      <c r="B298" s="109">
        <v>17492907.736309003</v>
      </c>
      <c r="C298" s="109">
        <v>17739040.360567894</v>
      </c>
      <c r="D298" s="109">
        <v>17871319.62471462</v>
      </c>
      <c r="E298" s="109">
        <v>17940926.55516856</v>
      </c>
      <c r="F298" s="109">
        <v>17890497.240670145</v>
      </c>
      <c r="H298" s="241">
        <f t="shared" si="21"/>
        <v>1</v>
      </c>
      <c r="I298" s="241">
        <f t="shared" si="22"/>
        <v>1.0140704237379592</v>
      </c>
      <c r="J298" s="241">
        <f t="shared" si="23"/>
        <v>1.007456957166678</v>
      </c>
      <c r="K298" s="241">
        <f t="shared" si="24"/>
        <v>1.003894895951482</v>
      </c>
      <c r="L298" s="241">
        <f t="shared" si="25"/>
        <v>0.9971891465948903</v>
      </c>
    </row>
    <row r="299" spans="1:12" ht="12.75">
      <c r="A299" t="s">
        <v>429</v>
      </c>
      <c r="B299" s="109">
        <v>46172003.149409205</v>
      </c>
      <c r="C299" s="109">
        <v>46665664.093995765</v>
      </c>
      <c r="D299" s="109">
        <v>47179105.95600413</v>
      </c>
      <c r="E299" s="109">
        <v>47806449.14617261</v>
      </c>
      <c r="F299" s="109">
        <v>48335555.18358593</v>
      </c>
      <c r="H299" s="241">
        <f t="shared" si="21"/>
        <v>1</v>
      </c>
      <c r="I299" s="241">
        <f t="shared" si="22"/>
        <v>1.0106917809692837</v>
      </c>
      <c r="J299" s="241">
        <f t="shared" si="23"/>
        <v>1.011002561990207</v>
      </c>
      <c r="K299" s="241">
        <f t="shared" si="24"/>
        <v>1.0132970554964205</v>
      </c>
      <c r="L299" s="241">
        <f t="shared" si="25"/>
        <v>1.0110676707193944</v>
      </c>
    </row>
  </sheetData>
  <sheetProtection/>
  <hyperlinks>
    <hyperlink ref="N7" r:id="rId1" display="linkki VM sivuille"/>
    <hyperlink ref="N5" r:id="rId2" display="Tarkempi aineistokuvaus"/>
  </hyperlinks>
  <printOptions/>
  <pageMargins left="0.7" right="0.7" top="0.75" bottom="0.75" header="0.3" footer="0.3"/>
  <pageSetup horizontalDpi="600" verticalDpi="600" orientation="portrait" paperSize="9" r:id="rId4"/>
  <drawing r:id="rId3"/>
</worksheet>
</file>

<file path=xl/worksheets/sheet8.xml><?xml version="1.0" encoding="utf-8"?>
<worksheet xmlns="http://schemas.openxmlformats.org/spreadsheetml/2006/main" xmlns:r="http://schemas.openxmlformats.org/officeDocument/2006/relationships">
  <dimension ref="A1:C304"/>
  <sheetViews>
    <sheetView zoomScalePageLayoutView="0" workbookViewId="0" topLeftCell="A1">
      <selection activeCell="D9" sqref="D9"/>
    </sheetView>
  </sheetViews>
  <sheetFormatPr defaultColWidth="9.140625" defaultRowHeight="12.75"/>
  <cols>
    <col min="1" max="1" width="40.7109375" style="125" customWidth="1"/>
    <col min="2" max="2" width="21.7109375" style="125" customWidth="1"/>
    <col min="3" max="3" width="17.421875" style="0" customWidth="1"/>
  </cols>
  <sheetData>
    <row r="1" spans="1:2" ht="18">
      <c r="A1" s="182"/>
      <c r="B1" s="125" t="s">
        <v>494</v>
      </c>
    </row>
    <row r="2" ht="12.75">
      <c r="B2" s="125" t="s">
        <v>642</v>
      </c>
    </row>
    <row r="3" ht="14.25">
      <c r="B3" s="161"/>
    </row>
    <row r="4" ht="14.25">
      <c r="B4" s="161"/>
    </row>
    <row r="5" spans="1:3" ht="14.25">
      <c r="A5" s="161" t="s">
        <v>144</v>
      </c>
      <c r="B5" s="183">
        <v>9700</v>
      </c>
      <c r="C5" s="81"/>
    </row>
    <row r="6" spans="1:3" ht="14.25">
      <c r="A6" s="161" t="s">
        <v>145</v>
      </c>
      <c r="B6" s="183">
        <v>2573</v>
      </c>
      <c r="C6" s="81"/>
    </row>
    <row r="7" spans="1:3" ht="14.25">
      <c r="A7" s="161" t="s">
        <v>146</v>
      </c>
      <c r="B7" s="183">
        <v>11544</v>
      </c>
      <c r="C7" s="81"/>
    </row>
    <row r="8" spans="1:3" ht="14.25">
      <c r="A8" s="161" t="s">
        <v>147</v>
      </c>
      <c r="B8" s="183">
        <v>8149</v>
      </c>
      <c r="C8" s="81"/>
    </row>
    <row r="9" spans="1:3" ht="14.25">
      <c r="A9" s="161" t="s">
        <v>148</v>
      </c>
      <c r="B9" s="183">
        <v>4958</v>
      </c>
      <c r="C9" s="81"/>
    </row>
    <row r="10" spans="1:3" ht="14.25">
      <c r="A10" s="161" t="s">
        <v>149</v>
      </c>
      <c r="B10" s="183">
        <v>3984</v>
      </c>
      <c r="C10" s="81"/>
    </row>
    <row r="11" spans="1:3" ht="14.25">
      <c r="A11" s="161" t="s">
        <v>127</v>
      </c>
      <c r="B11" s="183">
        <v>16611</v>
      </c>
      <c r="C11" s="81"/>
    </row>
    <row r="12" spans="1:3" ht="14.25">
      <c r="A12" s="161" t="s">
        <v>150</v>
      </c>
      <c r="B12" s="183">
        <v>1405</v>
      </c>
      <c r="C12" s="81"/>
    </row>
    <row r="13" spans="1:3" ht="14.25">
      <c r="A13" s="161" t="s">
        <v>151</v>
      </c>
      <c r="B13" s="183">
        <v>1852</v>
      </c>
      <c r="C13" s="81"/>
    </row>
    <row r="14" spans="1:3" ht="14.25">
      <c r="A14" s="161" t="s">
        <v>152</v>
      </c>
      <c r="B14" s="183">
        <v>283632</v>
      </c>
      <c r="C14" s="81"/>
    </row>
    <row r="15" spans="1:3" ht="14.25">
      <c r="A15" s="161" t="s">
        <v>153</v>
      </c>
      <c r="B15" s="183">
        <v>11748</v>
      </c>
      <c r="C15" s="81"/>
    </row>
    <row r="16" spans="1:3" ht="14.25">
      <c r="A16" s="161" t="s">
        <v>154</v>
      </c>
      <c r="B16" s="183">
        <v>9454</v>
      </c>
      <c r="C16" s="81"/>
    </row>
    <row r="17" spans="1:3" ht="14.25">
      <c r="A17" s="161" t="s">
        <v>155</v>
      </c>
      <c r="B17" s="183">
        <v>2473</v>
      </c>
      <c r="C17" s="81"/>
    </row>
    <row r="18" spans="1:3" ht="14.25">
      <c r="A18" s="161" t="s">
        <v>156</v>
      </c>
      <c r="B18" s="183">
        <v>17028</v>
      </c>
      <c r="C18" s="81"/>
    </row>
    <row r="19" spans="1:3" ht="14.25">
      <c r="A19" s="161" t="s">
        <v>157</v>
      </c>
      <c r="B19" s="183">
        <v>7147</v>
      </c>
      <c r="C19" s="81"/>
    </row>
    <row r="20" spans="1:3" ht="14.25">
      <c r="A20" s="161" t="s">
        <v>158</v>
      </c>
      <c r="B20" s="183">
        <v>6854</v>
      </c>
      <c r="C20" s="81"/>
    </row>
    <row r="21" spans="1:3" ht="14.25">
      <c r="A21" s="161" t="s">
        <v>159</v>
      </c>
      <c r="B21" s="183">
        <v>974</v>
      </c>
      <c r="C21" s="81"/>
    </row>
    <row r="22" spans="1:3" ht="14.25">
      <c r="A22" s="161" t="s">
        <v>160</v>
      </c>
      <c r="B22" s="183">
        <v>1165</v>
      </c>
      <c r="C22" s="81"/>
    </row>
    <row r="23" spans="1:3" ht="14.25">
      <c r="A23" s="161" t="s">
        <v>161</v>
      </c>
      <c r="B23" s="183">
        <v>20286</v>
      </c>
      <c r="C23" s="81"/>
    </row>
    <row r="24" spans="1:3" ht="14.25">
      <c r="A24" s="161" t="s">
        <v>162</v>
      </c>
      <c r="B24" s="183">
        <v>4939</v>
      </c>
      <c r="C24" s="81"/>
    </row>
    <row r="25" spans="1:3" ht="14.25">
      <c r="A25" s="161" t="s">
        <v>163</v>
      </c>
      <c r="B25" s="183">
        <v>8379</v>
      </c>
      <c r="C25" s="81"/>
    </row>
    <row r="26" spans="1:3" ht="14.25">
      <c r="A26" s="161" t="s">
        <v>164</v>
      </c>
      <c r="B26" s="183">
        <v>7018</v>
      </c>
      <c r="C26" s="81"/>
    </row>
    <row r="27" spans="1:3" ht="14.25">
      <c r="A27" s="161" t="s">
        <v>165</v>
      </c>
      <c r="B27" s="183">
        <v>2780</v>
      </c>
      <c r="C27" s="81"/>
    </row>
    <row r="28" spans="1:3" ht="14.25">
      <c r="A28" s="161" t="s">
        <v>166</v>
      </c>
      <c r="B28" s="183">
        <v>9475</v>
      </c>
      <c r="C28" s="81"/>
    </row>
    <row r="29" spans="1:3" ht="14.25">
      <c r="A29" s="161" t="s">
        <v>167</v>
      </c>
      <c r="B29" s="183">
        <v>8417</v>
      </c>
      <c r="C29" s="81"/>
    </row>
    <row r="30" spans="1:3" ht="14.25">
      <c r="A30" s="161" t="s">
        <v>169</v>
      </c>
      <c r="B30" s="183">
        <v>3329</v>
      </c>
      <c r="C30" s="81"/>
    </row>
    <row r="31" spans="1:3" ht="14.25">
      <c r="A31" s="161" t="s">
        <v>170</v>
      </c>
      <c r="B31" s="183">
        <v>648042</v>
      </c>
      <c r="C31" s="81"/>
    </row>
    <row r="32" spans="1:3" ht="14.25">
      <c r="A32" s="161" t="s">
        <v>412</v>
      </c>
      <c r="B32" s="183">
        <v>228166</v>
      </c>
      <c r="C32" s="81"/>
    </row>
    <row r="33" spans="1:3" ht="14.25">
      <c r="A33" s="161" t="s">
        <v>171</v>
      </c>
      <c r="B33" s="183">
        <v>2152</v>
      </c>
      <c r="C33" s="81"/>
    </row>
    <row r="34" spans="1:3" ht="14.25">
      <c r="A34" s="161" t="s">
        <v>172</v>
      </c>
      <c r="B34" s="183">
        <v>23602</v>
      </c>
      <c r="C34" s="81"/>
    </row>
    <row r="35" spans="1:3" ht="14.25">
      <c r="A35" s="161" t="s">
        <v>173</v>
      </c>
      <c r="B35" s="183">
        <v>1666</v>
      </c>
      <c r="C35" s="81"/>
    </row>
    <row r="36" spans="1:3" ht="14.25">
      <c r="A36" s="161" t="s">
        <v>174</v>
      </c>
      <c r="B36" s="183">
        <v>10091</v>
      </c>
      <c r="C36" s="81"/>
    </row>
    <row r="37" spans="1:3" ht="14.25">
      <c r="A37" s="161" t="s">
        <v>175</v>
      </c>
      <c r="B37" s="183">
        <v>2235</v>
      </c>
      <c r="C37" s="81"/>
    </row>
    <row r="38" spans="1:3" ht="14.25">
      <c r="A38" s="161" t="s">
        <v>176</v>
      </c>
      <c r="B38" s="183">
        <v>2287</v>
      </c>
      <c r="C38" s="81"/>
    </row>
    <row r="39" spans="1:3" ht="14.25">
      <c r="A39" s="161" t="s">
        <v>177</v>
      </c>
      <c r="B39" s="183">
        <v>46504</v>
      </c>
      <c r="C39" s="81"/>
    </row>
    <row r="40" spans="1:3" ht="14.25">
      <c r="A40" s="161" t="s">
        <v>178</v>
      </c>
      <c r="B40" s="183">
        <v>10510</v>
      </c>
      <c r="C40" s="81"/>
    </row>
    <row r="41" spans="1:3" ht="14.25">
      <c r="A41" s="161" t="s">
        <v>179</v>
      </c>
      <c r="B41" s="183">
        <v>67532</v>
      </c>
      <c r="C41" s="81"/>
    </row>
    <row r="42" spans="1:3" ht="14.25">
      <c r="A42" s="161" t="s">
        <v>168</v>
      </c>
      <c r="B42" s="183">
        <v>18889</v>
      </c>
      <c r="C42" s="81"/>
    </row>
    <row r="43" spans="1:3" ht="14.25">
      <c r="A43" s="161" t="s">
        <v>180</v>
      </c>
      <c r="B43" s="183">
        <v>9862</v>
      </c>
      <c r="C43" s="81"/>
    </row>
    <row r="44" spans="1:3" ht="14.25">
      <c r="A44" s="161" t="s">
        <v>181</v>
      </c>
      <c r="B44" s="183">
        <v>21472</v>
      </c>
      <c r="C44" s="81"/>
    </row>
    <row r="45" spans="1:3" ht="14.25">
      <c r="A45" s="161" t="s">
        <v>182</v>
      </c>
      <c r="B45" s="183">
        <v>6765</v>
      </c>
      <c r="C45" s="81"/>
    </row>
    <row r="46" spans="1:3" ht="14.25">
      <c r="A46" s="161" t="s">
        <v>183</v>
      </c>
      <c r="B46" s="183">
        <v>7003</v>
      </c>
      <c r="C46" s="81"/>
    </row>
    <row r="47" spans="1:3" ht="14.25">
      <c r="A47" s="161" t="s">
        <v>184</v>
      </c>
      <c r="B47" s="183">
        <v>12187</v>
      </c>
      <c r="C47" s="81"/>
    </row>
    <row r="48" spans="1:3" ht="14.25">
      <c r="A48" s="161" t="s">
        <v>185</v>
      </c>
      <c r="B48" s="183">
        <v>4973</v>
      </c>
      <c r="C48" s="81"/>
    </row>
    <row r="49" spans="1:3" ht="14.25">
      <c r="A49" s="161" t="s">
        <v>187</v>
      </c>
      <c r="B49" s="183">
        <v>6930</v>
      </c>
      <c r="C49" s="81"/>
    </row>
    <row r="50" spans="1:3" ht="14.25">
      <c r="A50" s="161" t="s">
        <v>188</v>
      </c>
      <c r="B50" s="183">
        <v>5403</v>
      </c>
      <c r="C50" s="81"/>
    </row>
    <row r="51" spans="1:3" ht="14.25">
      <c r="A51" s="161" t="s">
        <v>189</v>
      </c>
      <c r="B51" s="183">
        <v>1976</v>
      </c>
      <c r="C51" s="81"/>
    </row>
    <row r="52" spans="1:3" ht="14.25">
      <c r="A52" s="161" t="s">
        <v>190</v>
      </c>
      <c r="B52" s="183">
        <v>4601</v>
      </c>
      <c r="C52" s="81"/>
    </row>
    <row r="53" spans="1:3" ht="14.25">
      <c r="A53" s="161" t="s">
        <v>186</v>
      </c>
      <c r="B53" s="183">
        <v>26932</v>
      </c>
      <c r="C53" s="81"/>
    </row>
    <row r="54" spans="1:3" ht="14.25">
      <c r="A54" s="161" t="s">
        <v>191</v>
      </c>
      <c r="B54" s="183">
        <v>16447</v>
      </c>
      <c r="C54" s="81"/>
    </row>
    <row r="55" spans="1:3" ht="14.25">
      <c r="A55" s="161" t="s">
        <v>192</v>
      </c>
      <c r="B55" s="183">
        <v>76551</v>
      </c>
      <c r="C55" s="81"/>
    </row>
    <row r="56" spans="1:3" ht="14.25">
      <c r="A56" s="161" t="s">
        <v>193</v>
      </c>
      <c r="B56" s="183">
        <v>5195</v>
      </c>
      <c r="C56" s="81"/>
    </row>
    <row r="57" spans="1:3" ht="14.25">
      <c r="A57" s="161" t="s">
        <v>194</v>
      </c>
      <c r="B57" s="183">
        <v>4812</v>
      </c>
      <c r="C57" s="81"/>
    </row>
    <row r="58" spans="1:3" ht="14.25">
      <c r="A58" s="161" t="s">
        <v>195</v>
      </c>
      <c r="B58" s="183">
        <v>4467</v>
      </c>
      <c r="C58" s="81"/>
    </row>
    <row r="59" spans="1:3" ht="14.25">
      <c r="A59" s="161" t="s">
        <v>197</v>
      </c>
      <c r="B59" s="183">
        <v>4709</v>
      </c>
      <c r="C59" s="81"/>
    </row>
    <row r="60" spans="1:3" ht="14.25">
      <c r="A60" s="161" t="s">
        <v>198</v>
      </c>
      <c r="B60" s="183">
        <v>1884</v>
      </c>
      <c r="C60" s="81"/>
    </row>
    <row r="61" spans="1:3" ht="14.25">
      <c r="A61" s="161" t="s">
        <v>199</v>
      </c>
      <c r="B61" s="183">
        <v>6225</v>
      </c>
      <c r="C61" s="81"/>
    </row>
    <row r="62" spans="1:3" ht="14.25">
      <c r="A62" s="161" t="s">
        <v>200</v>
      </c>
      <c r="B62" s="183">
        <v>141305</v>
      </c>
      <c r="C62" s="81"/>
    </row>
    <row r="63" spans="1:3" ht="14.25">
      <c r="A63" s="161" t="s">
        <v>201</v>
      </c>
      <c r="B63" s="183">
        <v>1809</v>
      </c>
      <c r="C63" s="81"/>
    </row>
    <row r="64" spans="1:3" ht="14.25">
      <c r="A64" s="161" t="s">
        <v>128</v>
      </c>
      <c r="B64" s="183">
        <v>20607</v>
      </c>
      <c r="C64" s="81"/>
    </row>
    <row r="65" spans="1:3" ht="14.25">
      <c r="A65" s="161" t="s">
        <v>202</v>
      </c>
      <c r="B65" s="183">
        <v>43410</v>
      </c>
      <c r="C65" s="81"/>
    </row>
    <row r="66" spans="1:3" ht="14.25">
      <c r="A66" s="161" t="s">
        <v>203</v>
      </c>
      <c r="B66" s="183">
        <v>33458</v>
      </c>
      <c r="C66" s="81"/>
    </row>
    <row r="67" spans="1:3" ht="14.25">
      <c r="A67" s="161" t="s">
        <v>204</v>
      </c>
      <c r="B67" s="183">
        <v>2990</v>
      </c>
      <c r="C67" s="81"/>
    </row>
    <row r="68" spans="1:3" ht="14.25">
      <c r="A68" s="161" t="s">
        <v>205</v>
      </c>
      <c r="B68" s="183">
        <v>36973</v>
      </c>
      <c r="C68" s="81"/>
    </row>
    <row r="69" spans="1:3" ht="14.25">
      <c r="A69" s="161" t="s">
        <v>206</v>
      </c>
      <c r="B69" s="183">
        <v>12387</v>
      </c>
      <c r="C69" s="81"/>
    </row>
    <row r="70" spans="1:3" ht="14.25">
      <c r="A70" s="161" t="s">
        <v>207</v>
      </c>
      <c r="B70" s="183">
        <v>31676</v>
      </c>
      <c r="C70" s="81"/>
    </row>
    <row r="71" spans="1:3" ht="14.25">
      <c r="A71" s="161" t="s">
        <v>208</v>
      </c>
      <c r="B71" s="183">
        <v>5452</v>
      </c>
      <c r="C71" s="81"/>
    </row>
    <row r="72" spans="1:3" ht="14.25">
      <c r="A72" s="161" t="s">
        <v>209</v>
      </c>
      <c r="B72" s="183">
        <v>11471</v>
      </c>
      <c r="C72" s="81"/>
    </row>
    <row r="73" spans="1:3" ht="14.25">
      <c r="A73" s="161" t="s">
        <v>210</v>
      </c>
      <c r="B73" s="183">
        <v>1353</v>
      </c>
      <c r="C73" s="81"/>
    </row>
    <row r="74" spans="1:3" ht="14.25">
      <c r="A74" s="161" t="s">
        <v>211</v>
      </c>
      <c r="B74" s="183">
        <v>5502</v>
      </c>
      <c r="C74" s="81"/>
    </row>
    <row r="75" spans="1:3" ht="14.25">
      <c r="A75" s="161" t="s">
        <v>212</v>
      </c>
      <c r="B75" s="183">
        <v>1274</v>
      </c>
      <c r="C75" s="81"/>
    </row>
    <row r="76" spans="1:3" ht="14.25">
      <c r="A76" s="161" t="s">
        <v>213</v>
      </c>
      <c r="B76" s="183">
        <v>8778</v>
      </c>
      <c r="C76" s="81"/>
    </row>
    <row r="77" spans="1:3" ht="14.25">
      <c r="A77" s="161" t="s">
        <v>214</v>
      </c>
      <c r="B77" s="183">
        <v>4031</v>
      </c>
      <c r="C77" s="81"/>
    </row>
    <row r="78" spans="1:3" ht="14.25">
      <c r="A78" s="161" t="s">
        <v>215</v>
      </c>
      <c r="B78" s="183">
        <v>2390</v>
      </c>
      <c r="C78" s="81"/>
    </row>
    <row r="79" spans="1:3" ht="14.25">
      <c r="A79" s="161" t="s">
        <v>216</v>
      </c>
      <c r="B79" s="183">
        <v>1262</v>
      </c>
      <c r="C79" s="81"/>
    </row>
    <row r="80" spans="1:3" ht="14.25">
      <c r="A80" s="161" t="s">
        <v>217</v>
      </c>
      <c r="B80" s="183">
        <v>13375</v>
      </c>
      <c r="C80" s="81"/>
    </row>
    <row r="81" spans="1:3" ht="14.25">
      <c r="A81" s="161" t="s">
        <v>218</v>
      </c>
      <c r="B81" s="183">
        <v>16022</v>
      </c>
      <c r="C81" s="81"/>
    </row>
    <row r="82" spans="1:3" ht="14.25">
      <c r="A82" s="161" t="s">
        <v>219</v>
      </c>
      <c r="B82" s="183">
        <v>9615</v>
      </c>
      <c r="C82" s="81"/>
    </row>
    <row r="83" spans="1:3" ht="14.25">
      <c r="A83" s="161" t="s">
        <v>220</v>
      </c>
      <c r="B83" s="183">
        <v>4273</v>
      </c>
      <c r="C83" s="81"/>
    </row>
    <row r="84" spans="1:3" ht="14.25">
      <c r="A84" s="161" t="s">
        <v>221</v>
      </c>
      <c r="B84" s="183">
        <v>2244</v>
      </c>
      <c r="C84" s="81"/>
    </row>
    <row r="85" spans="1:3" ht="14.25">
      <c r="A85" s="161" t="s">
        <v>222</v>
      </c>
      <c r="B85" s="183">
        <v>21021</v>
      </c>
      <c r="C85" s="81"/>
    </row>
    <row r="86" spans="1:3" ht="14.25">
      <c r="A86" s="161" t="s">
        <v>224</v>
      </c>
      <c r="B86" s="183">
        <v>8147</v>
      </c>
      <c r="C86" s="81"/>
    </row>
    <row r="87" spans="1:3" ht="14.25">
      <c r="A87" s="161" t="s">
        <v>225</v>
      </c>
      <c r="B87" s="183">
        <v>17923</v>
      </c>
      <c r="C87" s="81"/>
    </row>
    <row r="88" spans="1:3" ht="14.25">
      <c r="A88" s="161" t="s">
        <v>226</v>
      </c>
      <c r="B88" s="183">
        <v>36254</v>
      </c>
      <c r="C88" s="81"/>
    </row>
    <row r="89" spans="1:3" ht="14.25">
      <c r="A89" s="161" t="s">
        <v>227</v>
      </c>
      <c r="B89" s="183">
        <v>9762</v>
      </c>
      <c r="C89" s="81"/>
    </row>
    <row r="90" spans="1:3" ht="14.25">
      <c r="A90" s="161" t="s">
        <v>228</v>
      </c>
      <c r="B90" s="183">
        <v>1910</v>
      </c>
      <c r="C90" s="81"/>
    </row>
    <row r="91" spans="1:3" ht="14.25">
      <c r="A91" s="161" t="s">
        <v>229</v>
      </c>
      <c r="B91" s="183">
        <v>1615</v>
      </c>
      <c r="C91" s="154"/>
    </row>
    <row r="92" spans="1:3" ht="14.25">
      <c r="A92" s="161" t="s">
        <v>230</v>
      </c>
      <c r="B92" s="183">
        <v>39262</v>
      </c>
      <c r="C92" s="81"/>
    </row>
    <row r="93" spans="1:3" ht="14.25">
      <c r="A93" s="161" t="s">
        <v>231</v>
      </c>
      <c r="B93" s="183">
        <v>10358</v>
      </c>
      <c r="C93" s="81"/>
    </row>
    <row r="94" spans="1:3" ht="14.25">
      <c r="A94" s="161" t="s">
        <v>232</v>
      </c>
      <c r="B94" s="183">
        <v>6436</v>
      </c>
      <c r="C94" s="81"/>
    </row>
    <row r="95" spans="1:3" ht="14.25">
      <c r="A95" s="161" t="s">
        <v>233</v>
      </c>
      <c r="B95" s="183">
        <v>8153</v>
      </c>
      <c r="C95" s="81"/>
    </row>
    <row r="96" spans="1:3" ht="14.25">
      <c r="A96" s="161" t="s">
        <v>234</v>
      </c>
      <c r="B96" s="183">
        <v>1103</v>
      </c>
      <c r="C96" s="81"/>
    </row>
    <row r="97" spans="1:3" ht="14.25">
      <c r="A97" s="161" t="s">
        <v>235</v>
      </c>
      <c r="B97" s="183">
        <v>7226</v>
      </c>
      <c r="C97" s="81"/>
    </row>
    <row r="98" spans="1:3" ht="14.25">
      <c r="A98" s="161" t="s">
        <v>236</v>
      </c>
      <c r="B98" s="183">
        <v>47657</v>
      </c>
      <c r="C98" s="81"/>
    </row>
    <row r="99" spans="1:3" ht="14.25">
      <c r="A99" s="161" t="s">
        <v>237</v>
      </c>
      <c r="B99" s="183">
        <v>3834</v>
      </c>
      <c r="C99" s="81"/>
    </row>
    <row r="100" spans="1:3" ht="14.25">
      <c r="A100" s="161" t="s">
        <v>238</v>
      </c>
      <c r="B100" s="183">
        <v>2698</v>
      </c>
      <c r="C100" s="81"/>
    </row>
    <row r="101" spans="1:3" ht="14.25">
      <c r="A101" s="161" t="s">
        <v>239</v>
      </c>
      <c r="B101" s="183">
        <v>14849</v>
      </c>
      <c r="C101" s="81"/>
    </row>
    <row r="102" spans="1:3" ht="14.25">
      <c r="A102" s="161" t="s">
        <v>240</v>
      </c>
      <c r="B102" s="183">
        <v>2122</v>
      </c>
      <c r="C102" s="81"/>
    </row>
    <row r="103" spans="1:3" ht="14.25">
      <c r="A103" s="161" t="s">
        <v>510</v>
      </c>
      <c r="B103" s="183">
        <v>2340</v>
      </c>
      <c r="C103" s="81"/>
    </row>
    <row r="104" spans="1:3" ht="14.25">
      <c r="A104" s="161" t="s">
        <v>242</v>
      </c>
      <c r="B104" s="183">
        <v>52883</v>
      </c>
      <c r="C104" s="81"/>
    </row>
    <row r="105" spans="1:3" ht="14.25">
      <c r="A105" s="161" t="s">
        <v>243</v>
      </c>
      <c r="B105" s="183">
        <v>83177</v>
      </c>
      <c r="C105" s="81"/>
    </row>
    <row r="106" spans="1:3" ht="14.25">
      <c r="A106" s="161" t="s">
        <v>589</v>
      </c>
      <c r="B106" s="183">
        <v>6596</v>
      </c>
      <c r="C106" s="81"/>
    </row>
    <row r="107" spans="1:3" ht="14.25">
      <c r="A107" s="161" t="s">
        <v>245</v>
      </c>
      <c r="B107" s="183">
        <v>6509</v>
      </c>
      <c r="C107" s="81"/>
    </row>
    <row r="108" spans="1:3" ht="14.25">
      <c r="A108" s="161" t="s">
        <v>246</v>
      </c>
      <c r="B108" s="183">
        <v>8329</v>
      </c>
      <c r="C108" s="81"/>
    </row>
    <row r="109" spans="1:3" ht="14.25">
      <c r="A109" s="161" t="s">
        <v>247</v>
      </c>
      <c r="B109" s="183">
        <v>2238</v>
      </c>
      <c r="C109" s="81"/>
    </row>
    <row r="110" spans="1:3" ht="14.25">
      <c r="A110" s="161" t="s">
        <v>248</v>
      </c>
      <c r="B110" s="183">
        <v>118664</v>
      </c>
      <c r="C110" s="81"/>
    </row>
    <row r="111" spans="1:3" ht="14.25">
      <c r="A111" s="161" t="s">
        <v>249</v>
      </c>
      <c r="B111" s="183">
        <v>3572</v>
      </c>
      <c r="C111" s="81"/>
    </row>
    <row r="112" spans="1:3" ht="14.25">
      <c r="A112" s="161" t="s">
        <v>250</v>
      </c>
      <c r="B112" s="183">
        <v>20952</v>
      </c>
      <c r="C112" s="81"/>
    </row>
    <row r="113" spans="1:3" ht="14.25">
      <c r="A113" s="161" t="s">
        <v>251</v>
      </c>
      <c r="B113" s="183">
        <v>926</v>
      </c>
      <c r="C113" s="81"/>
    </row>
    <row r="114" spans="1:3" ht="14.25">
      <c r="A114" s="161" t="s">
        <v>252</v>
      </c>
      <c r="B114" s="183">
        <v>15207</v>
      </c>
      <c r="C114" s="81"/>
    </row>
    <row r="115" spans="1:3" ht="14.25">
      <c r="A115" s="161" t="s">
        <v>312</v>
      </c>
      <c r="B115" s="183">
        <v>6803</v>
      </c>
      <c r="C115" s="81"/>
    </row>
    <row r="116" spans="1:3" ht="14.25">
      <c r="A116" s="161" t="s">
        <v>253</v>
      </c>
      <c r="B116" s="183">
        <v>1343</v>
      </c>
      <c r="C116" s="81"/>
    </row>
    <row r="117" spans="1:3" ht="14.25">
      <c r="A117" s="161" t="s">
        <v>254</v>
      </c>
      <c r="B117" s="183">
        <v>4451</v>
      </c>
      <c r="C117" s="81"/>
    </row>
    <row r="118" spans="1:3" ht="14.25">
      <c r="A118" s="161" t="s">
        <v>255</v>
      </c>
      <c r="B118" s="183">
        <v>2613</v>
      </c>
      <c r="C118" s="81"/>
    </row>
    <row r="119" spans="1:3" ht="14.25">
      <c r="A119" s="161" t="s">
        <v>223</v>
      </c>
      <c r="B119" s="183">
        <v>7370</v>
      </c>
      <c r="C119" s="81"/>
    </row>
    <row r="120" spans="1:3" ht="14.25">
      <c r="A120" s="161" t="s">
        <v>129</v>
      </c>
      <c r="B120" s="183">
        <v>6724</v>
      </c>
      <c r="C120" s="81"/>
    </row>
    <row r="121" spans="1:3" ht="14.25">
      <c r="A121" s="161" t="s">
        <v>256</v>
      </c>
      <c r="B121" s="183">
        <v>119951</v>
      </c>
      <c r="C121" s="81"/>
    </row>
    <row r="122" spans="1:3" ht="14.25">
      <c r="A122" s="161" t="s">
        <v>257</v>
      </c>
      <c r="B122" s="183">
        <v>8058</v>
      </c>
      <c r="C122" s="81"/>
    </row>
    <row r="123" spans="1:3" ht="14.25">
      <c r="A123" s="161" t="s">
        <v>258</v>
      </c>
      <c r="B123" s="183">
        <v>8647</v>
      </c>
      <c r="C123" s="81"/>
    </row>
    <row r="124" spans="1:3" ht="14.25">
      <c r="A124" s="161" t="s">
        <v>260</v>
      </c>
      <c r="B124" s="183">
        <v>9617</v>
      </c>
      <c r="C124" s="81"/>
    </row>
    <row r="125" spans="1:3" ht="14.25">
      <c r="A125" s="161" t="s">
        <v>261</v>
      </c>
      <c r="B125" s="183">
        <v>3078</v>
      </c>
      <c r="C125" s="81"/>
    </row>
    <row r="126" spans="1:3" ht="14.25">
      <c r="A126" s="161" t="s">
        <v>262</v>
      </c>
      <c r="B126" s="183">
        <v>72699</v>
      </c>
      <c r="C126" s="81"/>
    </row>
    <row r="127" spans="1:3" ht="14.25">
      <c r="A127" s="161" t="s">
        <v>259</v>
      </c>
      <c r="B127" s="183">
        <v>2665</v>
      </c>
      <c r="C127" s="81"/>
    </row>
    <row r="128" spans="1:3" ht="14.25">
      <c r="A128" s="161" t="s">
        <v>263</v>
      </c>
      <c r="B128" s="183">
        <v>14427</v>
      </c>
      <c r="C128" s="81"/>
    </row>
    <row r="129" spans="1:3" ht="14.25">
      <c r="A129" s="161" t="s">
        <v>264</v>
      </c>
      <c r="B129" s="183">
        <v>18927</v>
      </c>
      <c r="C129" s="81"/>
    </row>
    <row r="130" spans="1:3" ht="14.25">
      <c r="A130" s="161" t="s">
        <v>265</v>
      </c>
      <c r="B130" s="183">
        <v>3043</v>
      </c>
      <c r="C130" s="81"/>
    </row>
    <row r="131" spans="1:3" ht="14.25">
      <c r="A131" s="161" t="s">
        <v>266</v>
      </c>
      <c r="B131" s="183">
        <v>23206</v>
      </c>
      <c r="C131" s="81"/>
    </row>
    <row r="132" spans="1:3" ht="14.25">
      <c r="A132" s="161" t="s">
        <v>267</v>
      </c>
      <c r="B132" s="183">
        <v>9650</v>
      </c>
      <c r="C132" s="81"/>
    </row>
    <row r="133" spans="1:3" ht="14.25">
      <c r="A133" s="161" t="s">
        <v>268</v>
      </c>
      <c r="B133" s="183">
        <v>737</v>
      </c>
      <c r="C133" s="81"/>
    </row>
    <row r="134" spans="1:3" ht="14.25">
      <c r="A134" s="161" t="s">
        <v>269</v>
      </c>
      <c r="B134" s="183">
        <v>11098</v>
      </c>
      <c r="C134" s="81"/>
    </row>
    <row r="135" spans="1:3" ht="14.25">
      <c r="A135" s="161" t="s">
        <v>270</v>
      </c>
      <c r="B135" s="183">
        <v>19831</v>
      </c>
      <c r="C135" s="81"/>
    </row>
    <row r="136" spans="1:3" ht="14.25">
      <c r="A136" s="161" t="s">
        <v>271</v>
      </c>
      <c r="B136" s="183">
        <v>10161</v>
      </c>
      <c r="C136" s="81"/>
    </row>
    <row r="137" spans="1:3" ht="14.25">
      <c r="A137" s="161" t="s">
        <v>272</v>
      </c>
      <c r="B137" s="183">
        <v>12145</v>
      </c>
      <c r="C137" s="81"/>
    </row>
    <row r="138" spans="1:3" ht="14.25">
      <c r="A138" s="161" t="s">
        <v>274</v>
      </c>
      <c r="B138" s="183">
        <v>16032</v>
      </c>
      <c r="C138" s="81"/>
    </row>
    <row r="139" spans="1:3" ht="14.25">
      <c r="A139" s="161" t="s">
        <v>275</v>
      </c>
      <c r="B139" s="183">
        <v>7861</v>
      </c>
      <c r="C139" s="81"/>
    </row>
    <row r="140" spans="1:3" ht="14.25">
      <c r="A140" s="161" t="s">
        <v>276</v>
      </c>
      <c r="B140" s="183">
        <v>14891</v>
      </c>
      <c r="C140" s="81"/>
    </row>
    <row r="141" spans="1:3" ht="14.25">
      <c r="A141" s="161" t="s">
        <v>277</v>
      </c>
      <c r="B141" s="183">
        <v>707</v>
      </c>
      <c r="C141" s="81"/>
    </row>
    <row r="142" spans="1:3" ht="14.25">
      <c r="A142" s="161" t="s">
        <v>278</v>
      </c>
      <c r="B142" s="183">
        <v>2052</v>
      </c>
      <c r="C142" s="81"/>
    </row>
    <row r="143" spans="1:3" ht="14.25">
      <c r="A143" s="161" t="s">
        <v>279</v>
      </c>
      <c r="B143" s="183">
        <v>5340</v>
      </c>
      <c r="C143" s="81"/>
    </row>
    <row r="144" spans="1:3" ht="14.25">
      <c r="A144" s="161" t="s">
        <v>280</v>
      </c>
      <c r="B144" s="183">
        <v>4662</v>
      </c>
      <c r="C144" s="81"/>
    </row>
    <row r="145" spans="1:3" ht="14.25">
      <c r="A145" s="161" t="s">
        <v>273</v>
      </c>
      <c r="B145" s="183">
        <v>46296</v>
      </c>
      <c r="C145" s="81"/>
    </row>
    <row r="146" spans="1:3" ht="14.25">
      <c r="A146" s="161" t="s">
        <v>130</v>
      </c>
      <c r="B146" s="183">
        <v>15217</v>
      </c>
      <c r="C146" s="81"/>
    </row>
    <row r="147" spans="1:3" ht="14.25">
      <c r="A147" s="161" t="s">
        <v>282</v>
      </c>
      <c r="B147" s="183">
        <v>5477</v>
      </c>
      <c r="C147" s="81"/>
    </row>
    <row r="148" spans="1:3" ht="14.25">
      <c r="A148" s="161" t="s">
        <v>283</v>
      </c>
      <c r="B148" s="183">
        <v>2018</v>
      </c>
      <c r="C148" s="81"/>
    </row>
    <row r="149" spans="1:3" ht="14.25">
      <c r="A149" s="161" t="s">
        <v>284</v>
      </c>
      <c r="B149" s="183">
        <v>9554</v>
      </c>
      <c r="C149" s="81"/>
    </row>
    <row r="150" spans="1:3" ht="14.25">
      <c r="A150" s="161" t="s">
        <v>285</v>
      </c>
      <c r="B150" s="183">
        <v>1104</v>
      </c>
      <c r="C150" s="81"/>
    </row>
    <row r="151" spans="1:3" ht="14.25">
      <c r="A151" s="161" t="s">
        <v>286</v>
      </c>
      <c r="B151" s="183">
        <v>3115</v>
      </c>
      <c r="C151" s="81"/>
    </row>
    <row r="152" spans="1:3" ht="14.25">
      <c r="A152" s="161" t="s">
        <v>287</v>
      </c>
      <c r="B152" s="183">
        <v>1940</v>
      </c>
      <c r="C152" s="81"/>
    </row>
    <row r="153" spans="1:3" ht="14.25">
      <c r="A153" s="161" t="s">
        <v>288</v>
      </c>
      <c r="B153" s="183">
        <v>53818</v>
      </c>
      <c r="C153" s="81"/>
    </row>
    <row r="154" spans="1:3" ht="14.25">
      <c r="A154" s="161" t="s">
        <v>289</v>
      </c>
      <c r="B154" s="183">
        <v>8980</v>
      </c>
      <c r="C154" s="81"/>
    </row>
    <row r="155" spans="1:3" ht="14.25">
      <c r="A155" s="161" t="s">
        <v>290</v>
      </c>
      <c r="B155" s="183">
        <v>1584</v>
      </c>
      <c r="C155" s="81"/>
    </row>
    <row r="156" spans="1:3" ht="14.25">
      <c r="A156" s="161" t="s">
        <v>291</v>
      </c>
      <c r="B156" s="183">
        <v>2299</v>
      </c>
      <c r="C156" s="81"/>
    </row>
    <row r="157" spans="1:3" ht="14.25">
      <c r="A157" s="161" t="s">
        <v>292</v>
      </c>
      <c r="B157" s="183">
        <v>19444</v>
      </c>
      <c r="C157" s="81"/>
    </row>
    <row r="158" spans="1:3" ht="14.25">
      <c r="A158" s="161" t="s">
        <v>293</v>
      </c>
      <c r="B158" s="183">
        <v>10170</v>
      </c>
      <c r="C158" s="81"/>
    </row>
    <row r="159" spans="1:3" ht="14.25">
      <c r="A159" s="161" t="s">
        <v>294</v>
      </c>
      <c r="B159" s="183">
        <v>7766</v>
      </c>
      <c r="C159" s="81"/>
    </row>
    <row r="160" spans="1:3" ht="14.25">
      <c r="A160" s="161" t="s">
        <v>295</v>
      </c>
      <c r="B160" s="183">
        <v>1922</v>
      </c>
      <c r="C160" s="81"/>
    </row>
    <row r="161" spans="1:3" ht="14.25">
      <c r="A161" s="161" t="s">
        <v>296</v>
      </c>
      <c r="B161" s="183">
        <v>20686</v>
      </c>
      <c r="C161" s="81"/>
    </row>
    <row r="162" spans="1:3" ht="14.25">
      <c r="A162" s="161" t="s">
        <v>298</v>
      </c>
      <c r="B162" s="183">
        <v>5924</v>
      </c>
      <c r="C162" s="81"/>
    </row>
    <row r="163" spans="1:3" ht="14.25">
      <c r="A163" s="161" t="s">
        <v>297</v>
      </c>
      <c r="B163" s="183">
        <v>9983</v>
      </c>
      <c r="C163" s="81"/>
    </row>
    <row r="164" spans="1:3" ht="14.25">
      <c r="A164" s="161" t="s">
        <v>299</v>
      </c>
      <c r="B164" s="183">
        <v>19245</v>
      </c>
      <c r="C164" s="81"/>
    </row>
    <row r="165" spans="1:3" ht="14.25">
      <c r="A165" s="161" t="s">
        <v>300</v>
      </c>
      <c r="B165" s="183">
        <v>5437</v>
      </c>
      <c r="C165" s="81"/>
    </row>
    <row r="166" spans="1:3" ht="14.25">
      <c r="A166" s="161" t="s">
        <v>301</v>
      </c>
      <c r="B166" s="183">
        <v>10737</v>
      </c>
      <c r="C166" s="81"/>
    </row>
    <row r="167" spans="1:3" ht="14.25">
      <c r="A167" s="161" t="s">
        <v>302</v>
      </c>
      <c r="B167" s="183">
        <v>33527</v>
      </c>
      <c r="C167" s="81"/>
    </row>
    <row r="168" spans="1:3" ht="14.25">
      <c r="A168" s="161" t="s">
        <v>303</v>
      </c>
      <c r="B168" s="183">
        <v>4733</v>
      </c>
      <c r="C168" s="81"/>
    </row>
    <row r="169" spans="1:3" ht="14.25">
      <c r="A169" s="161" t="s">
        <v>304</v>
      </c>
      <c r="B169" s="183">
        <v>9784</v>
      </c>
      <c r="C169" s="81"/>
    </row>
    <row r="170" spans="1:3" ht="14.25">
      <c r="A170" s="161" t="s">
        <v>305</v>
      </c>
      <c r="B170" s="183">
        <v>42665</v>
      </c>
      <c r="C170" s="81"/>
    </row>
    <row r="171" spans="1:3" ht="14.25">
      <c r="A171" s="161" t="s">
        <v>306</v>
      </c>
      <c r="B171" s="183">
        <v>9471</v>
      </c>
      <c r="C171" s="81"/>
    </row>
    <row r="172" spans="1:3" ht="14.25">
      <c r="A172" s="161" t="s">
        <v>307</v>
      </c>
      <c r="B172" s="183">
        <v>16091</v>
      </c>
      <c r="C172" s="81"/>
    </row>
    <row r="173" spans="1:3" ht="14.25">
      <c r="A173" s="161" t="s">
        <v>308</v>
      </c>
      <c r="B173" s="183">
        <v>1364</v>
      </c>
      <c r="C173" s="81"/>
    </row>
    <row r="174" spans="1:3" ht="14.25">
      <c r="A174" s="161" t="s">
        <v>309</v>
      </c>
      <c r="B174" s="183">
        <v>9221</v>
      </c>
      <c r="C174" s="81"/>
    </row>
    <row r="175" spans="1:3" ht="14.25">
      <c r="A175" s="161" t="s">
        <v>310</v>
      </c>
      <c r="B175" s="183">
        <v>7430</v>
      </c>
      <c r="C175" s="81"/>
    </row>
    <row r="176" spans="1:3" ht="14.25">
      <c r="A176" s="161" t="s">
        <v>311</v>
      </c>
      <c r="B176" s="183">
        <v>203567</v>
      </c>
      <c r="C176" s="81"/>
    </row>
    <row r="177" spans="1:3" ht="14.25">
      <c r="A177" s="161" t="s">
        <v>313</v>
      </c>
      <c r="B177" s="183">
        <v>2963</v>
      </c>
      <c r="C177" s="81"/>
    </row>
    <row r="178" spans="1:3" ht="14.25">
      <c r="A178" s="161" t="s">
        <v>314</v>
      </c>
      <c r="B178" s="183">
        <v>10832</v>
      </c>
      <c r="C178" s="81"/>
    </row>
    <row r="179" spans="1:3" ht="14.25">
      <c r="A179" s="161" t="s">
        <v>315</v>
      </c>
      <c r="B179" s="183">
        <v>3336</v>
      </c>
      <c r="C179" s="81"/>
    </row>
    <row r="180" spans="1:3" ht="14.25">
      <c r="A180" s="161" t="s">
        <v>316</v>
      </c>
      <c r="B180" s="183">
        <v>4842</v>
      </c>
      <c r="C180" s="81"/>
    </row>
    <row r="181" spans="1:3" ht="14.25">
      <c r="A181" s="161" t="s">
        <v>317</v>
      </c>
      <c r="B181" s="183">
        <v>6469</v>
      </c>
      <c r="C181" s="81"/>
    </row>
    <row r="182" spans="1:3" ht="14.25">
      <c r="A182" s="161" t="s">
        <v>318</v>
      </c>
      <c r="B182" s="183">
        <v>954</v>
      </c>
      <c r="C182" s="81"/>
    </row>
    <row r="183" spans="1:3" ht="14.25">
      <c r="A183" s="161" t="s">
        <v>320</v>
      </c>
      <c r="B183" s="183">
        <v>2825</v>
      </c>
      <c r="C183" s="81"/>
    </row>
    <row r="184" spans="1:3" ht="14.25">
      <c r="A184" s="161" t="s">
        <v>321</v>
      </c>
      <c r="B184" s="183">
        <v>1713</v>
      </c>
      <c r="C184" s="81"/>
    </row>
    <row r="185" spans="1:3" ht="14.25">
      <c r="A185" s="161" t="s">
        <v>322</v>
      </c>
      <c r="B185" s="183">
        <v>3900</v>
      </c>
      <c r="C185" s="81"/>
    </row>
    <row r="186" spans="1:3" ht="14.25">
      <c r="A186" s="161" t="s">
        <v>323</v>
      </c>
      <c r="B186" s="183">
        <v>17933</v>
      </c>
      <c r="C186" s="81"/>
    </row>
    <row r="187" spans="1:3" ht="14.25">
      <c r="A187" s="161" t="s">
        <v>324</v>
      </c>
      <c r="B187" s="183">
        <v>4498</v>
      </c>
      <c r="C187" s="81"/>
    </row>
    <row r="188" spans="1:3" ht="14.25">
      <c r="A188" s="161" t="s">
        <v>325</v>
      </c>
      <c r="B188" s="183">
        <v>19278</v>
      </c>
      <c r="C188" s="81"/>
    </row>
    <row r="189" spans="1:3" ht="14.25">
      <c r="A189" s="161" t="s">
        <v>590</v>
      </c>
      <c r="B189" s="183">
        <v>11016</v>
      </c>
      <c r="C189" s="81"/>
    </row>
    <row r="190" spans="1:3" ht="14.25">
      <c r="A190" s="161" t="s">
        <v>326</v>
      </c>
      <c r="B190" s="183">
        <v>4053</v>
      </c>
      <c r="C190" s="81"/>
    </row>
    <row r="191" spans="1:3" ht="14.25">
      <c r="A191" s="161" t="s">
        <v>327</v>
      </c>
      <c r="B191" s="183">
        <v>19368</v>
      </c>
      <c r="C191" s="81"/>
    </row>
    <row r="192" spans="1:3" ht="14.25">
      <c r="A192" s="161" t="s">
        <v>328</v>
      </c>
      <c r="B192" s="183">
        <v>4307</v>
      </c>
      <c r="C192" s="81"/>
    </row>
    <row r="193" spans="1:3" ht="14.25">
      <c r="A193" s="161" t="s">
        <v>329</v>
      </c>
      <c r="B193" s="183">
        <v>2146</v>
      </c>
      <c r="C193" s="81"/>
    </row>
    <row r="194" spans="1:3" ht="14.25">
      <c r="A194" s="161" t="s">
        <v>330</v>
      </c>
      <c r="B194" s="183">
        <v>84403</v>
      </c>
      <c r="C194" s="81"/>
    </row>
    <row r="195" spans="1:3" ht="14.25">
      <c r="A195" s="161" t="s">
        <v>331</v>
      </c>
      <c r="B195" s="183">
        <v>5068</v>
      </c>
      <c r="C195" s="81"/>
    </row>
    <row r="196" spans="1:3" ht="14.25">
      <c r="A196" s="161" t="s">
        <v>333</v>
      </c>
      <c r="B196" s="183">
        <v>3237</v>
      </c>
      <c r="C196" s="81"/>
    </row>
    <row r="197" spans="1:3" ht="14.25">
      <c r="A197" s="161" t="s">
        <v>334</v>
      </c>
      <c r="B197" s="183">
        <v>7990</v>
      </c>
      <c r="C197" s="81"/>
    </row>
    <row r="198" spans="1:3" ht="14.25">
      <c r="A198" s="161" t="s">
        <v>335</v>
      </c>
      <c r="B198" s="183">
        <v>1899</v>
      </c>
      <c r="C198" s="81"/>
    </row>
    <row r="199" spans="1:3" ht="14.25">
      <c r="A199" s="161" t="s">
        <v>336</v>
      </c>
      <c r="B199" s="183">
        <v>2896</v>
      </c>
      <c r="C199" s="81"/>
    </row>
    <row r="200" spans="1:3" ht="14.25">
      <c r="A200" s="161" t="s">
        <v>337</v>
      </c>
      <c r="B200" s="183">
        <v>2597</v>
      </c>
      <c r="C200" s="81"/>
    </row>
    <row r="201" spans="1:3" ht="14.25">
      <c r="A201" s="161" t="s">
        <v>338</v>
      </c>
      <c r="B201" s="183">
        <v>2197</v>
      </c>
      <c r="C201" s="81"/>
    </row>
    <row r="202" spans="1:3" ht="14.25">
      <c r="A202" s="161" t="s">
        <v>132</v>
      </c>
      <c r="B202" s="183">
        <v>5187</v>
      </c>
      <c r="C202" s="81"/>
    </row>
    <row r="203" spans="1:3" ht="14.25">
      <c r="A203" s="161" t="s">
        <v>339</v>
      </c>
      <c r="B203" s="183">
        <v>3146</v>
      </c>
      <c r="C203" s="81"/>
    </row>
    <row r="204" spans="1:3" ht="14.25">
      <c r="A204" s="161" t="s">
        <v>133</v>
      </c>
      <c r="B204" s="183">
        <v>5248</v>
      </c>
      <c r="C204" s="81"/>
    </row>
    <row r="205" spans="1:3" ht="14.25">
      <c r="A205" s="161" t="s">
        <v>340</v>
      </c>
      <c r="B205" s="183">
        <v>1557</v>
      </c>
      <c r="C205" s="81"/>
    </row>
    <row r="206" spans="1:3" ht="14.25">
      <c r="A206" s="161" t="s">
        <v>341</v>
      </c>
      <c r="B206" s="183">
        <v>2028</v>
      </c>
      <c r="C206" s="81"/>
    </row>
    <row r="207" spans="1:3" ht="14.25">
      <c r="A207" s="161" t="s">
        <v>342</v>
      </c>
      <c r="B207" s="183">
        <v>6499</v>
      </c>
      <c r="C207" s="81"/>
    </row>
    <row r="208" spans="1:3" ht="14.25">
      <c r="A208" s="161" t="s">
        <v>343</v>
      </c>
      <c r="B208" s="183">
        <v>8333</v>
      </c>
      <c r="C208" s="81"/>
    </row>
    <row r="209" spans="1:3" ht="14.25">
      <c r="A209" s="161" t="s">
        <v>332</v>
      </c>
      <c r="B209" s="183">
        <v>50262</v>
      </c>
      <c r="C209" s="81"/>
    </row>
    <row r="210" spans="1:3" ht="14.25">
      <c r="A210" s="161" t="s">
        <v>344</v>
      </c>
      <c r="B210" s="183">
        <v>24811</v>
      </c>
      <c r="C210" s="81"/>
    </row>
    <row r="211" spans="1:3" ht="14.25">
      <c r="A211" s="161" t="s">
        <v>345</v>
      </c>
      <c r="B211" s="183">
        <v>24178</v>
      </c>
      <c r="C211" s="81"/>
    </row>
    <row r="212" spans="1:3" ht="14.25">
      <c r="A212" s="161" t="s">
        <v>346</v>
      </c>
      <c r="B212" s="183">
        <v>3514</v>
      </c>
      <c r="C212" s="81"/>
    </row>
    <row r="213" spans="1:3" ht="14.25">
      <c r="A213" s="161" t="s">
        <v>347</v>
      </c>
      <c r="B213" s="183">
        <v>3896</v>
      </c>
      <c r="C213" s="81"/>
    </row>
    <row r="214" spans="1:3" ht="14.25">
      <c r="A214" s="161" t="s">
        <v>348</v>
      </c>
      <c r="B214" s="183">
        <v>39360</v>
      </c>
      <c r="C214" s="81"/>
    </row>
    <row r="215" spans="1:3" ht="14.25">
      <c r="A215" s="161" t="s">
        <v>349</v>
      </c>
      <c r="B215" s="183">
        <v>3196</v>
      </c>
      <c r="C215" s="81"/>
    </row>
    <row r="216" spans="1:3" ht="14.25">
      <c r="A216" s="161" t="s">
        <v>350</v>
      </c>
      <c r="B216" s="183">
        <v>1651</v>
      </c>
      <c r="C216" s="81"/>
    </row>
    <row r="217" spans="1:3" ht="14.25">
      <c r="A217" s="161" t="s">
        <v>351</v>
      </c>
      <c r="B217" s="183">
        <v>3335</v>
      </c>
      <c r="C217" s="81"/>
    </row>
    <row r="218" spans="1:3" ht="14.25">
      <c r="A218" s="161" t="s">
        <v>352</v>
      </c>
      <c r="B218" s="183">
        <v>2743</v>
      </c>
      <c r="C218" s="81"/>
    </row>
    <row r="219" spans="1:3" ht="14.25">
      <c r="A219" s="161" t="s">
        <v>353</v>
      </c>
      <c r="B219" s="183">
        <v>28736</v>
      </c>
      <c r="C219" s="81"/>
    </row>
    <row r="220" spans="1:3" ht="14.25">
      <c r="A220" s="161" t="s">
        <v>354</v>
      </c>
      <c r="B220" s="183">
        <v>1288</v>
      </c>
      <c r="C220" s="81"/>
    </row>
    <row r="221" spans="1:3" ht="14.25">
      <c r="A221" s="161" t="s">
        <v>355</v>
      </c>
      <c r="B221" s="183">
        <v>62922</v>
      </c>
      <c r="C221" s="81"/>
    </row>
    <row r="222" spans="1:3" ht="14.25">
      <c r="A222" s="161" t="s">
        <v>356</v>
      </c>
      <c r="B222" s="183">
        <v>5099</v>
      </c>
      <c r="C222" s="81"/>
    </row>
    <row r="223" spans="1:3" ht="14.25">
      <c r="A223" s="161" t="s">
        <v>357</v>
      </c>
      <c r="B223" s="183">
        <v>4398</v>
      </c>
      <c r="C223" s="81"/>
    </row>
    <row r="224" spans="1:3" ht="14.25">
      <c r="A224" s="161" t="s">
        <v>358</v>
      </c>
      <c r="B224" s="183">
        <v>6251</v>
      </c>
      <c r="C224" s="81"/>
    </row>
    <row r="225" spans="1:3" ht="14.25">
      <c r="A225" s="161" t="s">
        <v>359</v>
      </c>
      <c r="B225" s="183">
        <v>2181</v>
      </c>
      <c r="C225" s="81"/>
    </row>
    <row r="226" spans="1:3" ht="14.25">
      <c r="A226" s="161" t="s">
        <v>134</v>
      </c>
      <c r="B226" s="183">
        <v>27592</v>
      </c>
      <c r="C226" s="81"/>
    </row>
    <row r="227" spans="1:3" ht="14.25">
      <c r="A227" s="161" t="s">
        <v>360</v>
      </c>
      <c r="B227" s="183">
        <v>9415</v>
      </c>
      <c r="C227" s="81"/>
    </row>
    <row r="228" spans="1:3" ht="14.25">
      <c r="A228" s="161" t="s">
        <v>361</v>
      </c>
      <c r="B228" s="183">
        <v>3491</v>
      </c>
      <c r="C228" s="81"/>
    </row>
    <row r="229" spans="1:3" ht="14.25">
      <c r="A229" s="161" t="s">
        <v>362</v>
      </c>
      <c r="B229" s="183">
        <v>52321</v>
      </c>
      <c r="C229" s="81"/>
    </row>
    <row r="230" spans="1:3" ht="14.25">
      <c r="A230" s="161" t="s">
        <v>363</v>
      </c>
      <c r="B230" s="183">
        <v>2994</v>
      </c>
      <c r="C230" s="81"/>
    </row>
    <row r="231" spans="1:3" ht="14.25">
      <c r="A231" s="161" t="s">
        <v>364</v>
      </c>
      <c r="B231" s="183">
        <v>3429</v>
      </c>
      <c r="C231" s="81"/>
    </row>
    <row r="232" spans="1:3" ht="14.25">
      <c r="A232" s="161" t="s">
        <v>365</v>
      </c>
      <c r="B232" s="183">
        <v>33611</v>
      </c>
      <c r="C232" s="81"/>
    </row>
    <row r="233" spans="1:3" ht="14.25">
      <c r="A233" s="161" t="s">
        <v>366</v>
      </c>
      <c r="B233" s="183">
        <v>1015</v>
      </c>
      <c r="C233" s="81"/>
    </row>
    <row r="234" spans="1:3" ht="14.25">
      <c r="A234" s="161" t="s">
        <v>367</v>
      </c>
      <c r="B234" s="183">
        <v>63288</v>
      </c>
      <c r="C234" s="81"/>
    </row>
    <row r="235" spans="1:3" ht="14.25">
      <c r="A235" s="161" t="s">
        <v>368</v>
      </c>
      <c r="B235" s="183">
        <v>4980</v>
      </c>
      <c r="C235" s="81"/>
    </row>
    <row r="236" spans="1:3" ht="14.25">
      <c r="A236" s="161" t="s">
        <v>369</v>
      </c>
      <c r="B236" s="183">
        <v>1458</v>
      </c>
      <c r="C236" s="81"/>
    </row>
    <row r="237" spans="1:3" ht="14.25">
      <c r="A237" s="161" t="s">
        <v>370</v>
      </c>
      <c r="B237" s="183">
        <v>5249</v>
      </c>
      <c r="C237" s="81"/>
    </row>
    <row r="238" spans="1:3" ht="14.25">
      <c r="A238" s="161" t="s">
        <v>371</v>
      </c>
      <c r="B238" s="183">
        <v>21674</v>
      </c>
      <c r="C238" s="81"/>
    </row>
    <row r="239" spans="1:3" ht="14.25">
      <c r="A239" s="161" t="s">
        <v>372</v>
      </c>
      <c r="B239" s="183">
        <v>3045</v>
      </c>
      <c r="C239" s="81"/>
    </row>
    <row r="240" spans="1:3" ht="14.25">
      <c r="A240" s="161" t="s">
        <v>373</v>
      </c>
      <c r="B240" s="183">
        <v>20666</v>
      </c>
      <c r="C240" s="81"/>
    </row>
    <row r="241" spans="1:3" ht="14.25">
      <c r="A241" s="161" t="s">
        <v>374</v>
      </c>
      <c r="B241" s="183">
        <v>6134</v>
      </c>
      <c r="C241" s="81"/>
    </row>
    <row r="242" spans="1:3" ht="14.25">
      <c r="A242" s="161" t="s">
        <v>375</v>
      </c>
      <c r="B242" s="183">
        <v>8444</v>
      </c>
      <c r="C242" s="81"/>
    </row>
    <row r="243" spans="1:3" ht="14.25">
      <c r="A243" s="161" t="s">
        <v>376</v>
      </c>
      <c r="B243" s="183">
        <v>2085</v>
      </c>
      <c r="C243" s="81"/>
    </row>
    <row r="244" spans="1:3" ht="14.25">
      <c r="A244" s="161" t="s">
        <v>377</v>
      </c>
      <c r="B244" s="183">
        <v>8828</v>
      </c>
      <c r="C244" s="81"/>
    </row>
    <row r="245" spans="1:3" ht="14.25">
      <c r="A245" s="161" t="s">
        <v>378</v>
      </c>
      <c r="B245" s="183">
        <v>3967</v>
      </c>
      <c r="C245" s="81"/>
    </row>
    <row r="246" spans="1:3" ht="14.25">
      <c r="A246" s="161" t="s">
        <v>379</v>
      </c>
      <c r="B246" s="183">
        <v>10389</v>
      </c>
      <c r="C246" s="81"/>
    </row>
    <row r="247" spans="1:3" ht="14.25">
      <c r="A247" s="161" t="s">
        <v>380</v>
      </c>
      <c r="B247" s="183">
        <v>2530</v>
      </c>
      <c r="C247" s="81"/>
    </row>
    <row r="248" spans="1:3" ht="14.25">
      <c r="A248" s="161" t="s">
        <v>381</v>
      </c>
      <c r="B248" s="183">
        <v>7862</v>
      </c>
      <c r="C248" s="81"/>
    </row>
    <row r="249" spans="1:3" ht="14.25">
      <c r="A249" s="161" t="s">
        <v>382</v>
      </c>
      <c r="B249" s="183">
        <v>7145</v>
      </c>
      <c r="C249" s="81"/>
    </row>
    <row r="250" spans="1:3" ht="14.25">
      <c r="A250" s="161" t="s">
        <v>383</v>
      </c>
      <c r="B250" s="183">
        <v>3753</v>
      </c>
      <c r="C250" s="81"/>
    </row>
    <row r="251" spans="1:3" ht="14.25">
      <c r="A251" s="161" t="s">
        <v>384</v>
      </c>
      <c r="B251" s="183">
        <v>6811</v>
      </c>
      <c r="C251" s="81"/>
    </row>
    <row r="252" spans="1:3" ht="14.25">
      <c r="A252" s="161" t="s">
        <v>408</v>
      </c>
      <c r="B252" s="183">
        <v>2869</v>
      </c>
      <c r="C252" s="81"/>
    </row>
    <row r="253" spans="1:3" ht="14.25">
      <c r="A253" s="161" t="s">
        <v>135</v>
      </c>
      <c r="B253" s="183">
        <v>24651</v>
      </c>
      <c r="C253" s="81"/>
    </row>
    <row r="254" spans="1:3" ht="14.25">
      <c r="A254" s="161" t="s">
        <v>136</v>
      </c>
      <c r="B254" s="183">
        <v>5301</v>
      </c>
      <c r="C254" s="81"/>
    </row>
    <row r="255" spans="1:3" ht="14.25">
      <c r="A255" s="161" t="s">
        <v>385</v>
      </c>
      <c r="B255" s="183">
        <v>4715</v>
      </c>
      <c r="C255" s="81"/>
    </row>
    <row r="256" spans="1:3" ht="14.25">
      <c r="A256" s="161" t="s">
        <v>386</v>
      </c>
      <c r="B256" s="183">
        <v>4024</v>
      </c>
      <c r="C256" s="81"/>
    </row>
    <row r="257" spans="1:3" ht="14.25">
      <c r="A257" s="161" t="s">
        <v>387</v>
      </c>
      <c r="B257" s="183">
        <v>1662</v>
      </c>
      <c r="C257" s="81"/>
    </row>
    <row r="258" spans="1:3" ht="14.25">
      <c r="A258" s="161" t="s">
        <v>388</v>
      </c>
      <c r="B258" s="183">
        <v>6081</v>
      </c>
      <c r="C258" s="81"/>
    </row>
    <row r="259" spans="1:3" ht="14.25">
      <c r="A259" s="161" t="s">
        <v>389</v>
      </c>
      <c r="B259" s="183">
        <v>235239</v>
      </c>
      <c r="C259" s="81"/>
    </row>
    <row r="260" spans="1:3" ht="14.25">
      <c r="A260" s="161" t="s">
        <v>390</v>
      </c>
      <c r="B260" s="183">
        <v>1567</v>
      </c>
      <c r="C260" s="81"/>
    </row>
    <row r="261" spans="1:3" ht="14.25">
      <c r="A261" s="161" t="s">
        <v>391</v>
      </c>
      <c r="B261" s="183">
        <v>3062</v>
      </c>
      <c r="C261" s="81"/>
    </row>
    <row r="262" spans="1:3" ht="14.25">
      <c r="A262" s="161" t="s">
        <v>392</v>
      </c>
      <c r="B262" s="183">
        <v>5158</v>
      </c>
      <c r="C262" s="81"/>
    </row>
    <row r="263" spans="1:3" ht="14.25">
      <c r="A263" s="161" t="s">
        <v>393</v>
      </c>
      <c r="B263" s="183">
        <v>4482</v>
      </c>
      <c r="C263" s="81"/>
    </row>
    <row r="264" spans="1:3" ht="14.25">
      <c r="A264" s="161" t="s">
        <v>394</v>
      </c>
      <c r="B264" s="183">
        <v>3112</v>
      </c>
      <c r="C264" s="81"/>
    </row>
    <row r="265" spans="1:3" ht="14.25">
      <c r="A265" s="161" t="s">
        <v>395</v>
      </c>
      <c r="B265" s="183">
        <v>2406</v>
      </c>
      <c r="C265" s="81"/>
    </row>
    <row r="266" spans="1:3" ht="14.25">
      <c r="A266" s="161" t="s">
        <v>396</v>
      </c>
      <c r="B266" s="183">
        <v>21875</v>
      </c>
      <c r="C266" s="81"/>
    </row>
    <row r="267" spans="1:3" ht="14.25">
      <c r="A267" s="161" t="s">
        <v>397</v>
      </c>
      <c r="B267" s="183">
        <v>191331</v>
      </c>
      <c r="C267" s="81"/>
    </row>
    <row r="268" spans="1:3" ht="14.25">
      <c r="A268" s="161" t="s">
        <v>319</v>
      </c>
      <c r="B268" s="183">
        <v>3438</v>
      </c>
      <c r="C268" s="81"/>
    </row>
    <row r="269" spans="1:3" ht="14.25">
      <c r="A269" s="161" t="s">
        <v>398</v>
      </c>
      <c r="B269" s="183">
        <v>2551</v>
      </c>
      <c r="C269" s="81"/>
    </row>
    <row r="270" spans="1:3" ht="14.25">
      <c r="A270" s="161" t="s">
        <v>399</v>
      </c>
      <c r="B270" s="183">
        <v>38664</v>
      </c>
      <c r="C270" s="81"/>
    </row>
    <row r="271" spans="1:3" ht="14.25">
      <c r="A271" s="161" t="s">
        <v>400</v>
      </c>
      <c r="B271" s="183">
        <v>6758</v>
      </c>
      <c r="C271" s="81"/>
    </row>
    <row r="272" spans="1:3" ht="14.25">
      <c r="A272" s="161" t="s">
        <v>401</v>
      </c>
      <c r="B272" s="183">
        <v>13021</v>
      </c>
      <c r="C272" s="81"/>
    </row>
    <row r="273" spans="1:3" ht="14.25">
      <c r="A273" s="161" t="s">
        <v>402</v>
      </c>
      <c r="B273" s="183">
        <v>4792</v>
      </c>
      <c r="C273" s="81"/>
    </row>
    <row r="274" spans="1:3" ht="14.25">
      <c r="A274" s="161" t="s">
        <v>403</v>
      </c>
      <c r="B274" s="183">
        <v>2702</v>
      </c>
      <c r="C274" s="81"/>
    </row>
    <row r="275" spans="1:3" ht="14.25">
      <c r="A275" s="161" t="s">
        <v>404</v>
      </c>
      <c r="B275" s="183">
        <v>1232</v>
      </c>
      <c r="C275" s="81"/>
    </row>
    <row r="276" spans="1:3" ht="14.25">
      <c r="A276" s="161" t="s">
        <v>405</v>
      </c>
      <c r="B276" s="183">
        <v>3783</v>
      </c>
      <c r="C276" s="81"/>
    </row>
    <row r="277" spans="1:3" ht="14.25">
      <c r="A277" s="161" t="s">
        <v>406</v>
      </c>
      <c r="B277" s="183">
        <v>7455</v>
      </c>
      <c r="C277" s="81"/>
    </row>
    <row r="278" spans="1:3" ht="14.25">
      <c r="A278" s="161" t="s">
        <v>407</v>
      </c>
      <c r="B278" s="183">
        <v>15700</v>
      </c>
      <c r="C278" s="81"/>
    </row>
    <row r="279" spans="1:3" ht="14.25">
      <c r="A279" s="161" t="s">
        <v>409</v>
      </c>
      <c r="B279" s="183">
        <v>67552</v>
      </c>
      <c r="C279" s="81"/>
    </row>
    <row r="280" spans="1:3" ht="14.25">
      <c r="A280" s="161" t="s">
        <v>410</v>
      </c>
      <c r="B280" s="183">
        <v>21137</v>
      </c>
      <c r="C280" s="81"/>
    </row>
    <row r="281" spans="1:3" ht="14.25">
      <c r="A281" s="161" t="s">
        <v>413</v>
      </c>
      <c r="B281" s="183">
        <v>20829</v>
      </c>
      <c r="C281" s="81"/>
    </row>
    <row r="282" spans="1:3" ht="14.25">
      <c r="A282" s="161" t="s">
        <v>414</v>
      </c>
      <c r="B282" s="183">
        <v>2285</v>
      </c>
      <c r="C282" s="81"/>
    </row>
    <row r="283" spans="1:3" ht="14.25">
      <c r="A283" s="161" t="s">
        <v>415</v>
      </c>
      <c r="B283" s="183">
        <v>2058</v>
      </c>
      <c r="C283" s="81"/>
    </row>
    <row r="284" spans="1:3" ht="14.25">
      <c r="A284" s="161" t="s">
        <v>416</v>
      </c>
      <c r="B284" s="183">
        <v>4393</v>
      </c>
      <c r="C284" s="81"/>
    </row>
    <row r="285" spans="1:3" ht="14.25">
      <c r="A285" s="161" t="s">
        <v>417</v>
      </c>
      <c r="B285" s="183">
        <v>3166</v>
      </c>
      <c r="C285" s="81"/>
    </row>
    <row r="286" spans="1:3" ht="14.25">
      <c r="A286" s="161" t="s">
        <v>418</v>
      </c>
      <c r="B286" s="183">
        <v>3676</v>
      </c>
      <c r="C286" s="81"/>
    </row>
    <row r="287" spans="1:3" ht="14.25">
      <c r="A287" s="161" t="s">
        <v>419</v>
      </c>
      <c r="B287" s="183">
        <v>29211</v>
      </c>
      <c r="C287" s="81"/>
    </row>
    <row r="288" spans="1:3" ht="14.25">
      <c r="A288" s="161" t="s">
        <v>420</v>
      </c>
      <c r="B288" s="183">
        <v>6264</v>
      </c>
      <c r="C288" s="81"/>
    </row>
    <row r="289" spans="1:3" ht="14.25">
      <c r="A289" s="161" t="s">
        <v>421</v>
      </c>
      <c r="B289" s="183">
        <v>2901</v>
      </c>
      <c r="C289" s="81"/>
    </row>
    <row r="290" spans="1:3" ht="14.25">
      <c r="A290" s="161" t="s">
        <v>422</v>
      </c>
      <c r="B290" s="183">
        <v>3150</v>
      </c>
      <c r="C290" s="81"/>
    </row>
    <row r="291" spans="1:3" ht="14.25">
      <c r="A291" s="161" t="s">
        <v>423</v>
      </c>
      <c r="B291" s="183">
        <v>6739</v>
      </c>
      <c r="C291" s="81"/>
    </row>
    <row r="292" spans="1:3" ht="14.25">
      <c r="A292" s="161" t="s">
        <v>137</v>
      </c>
      <c r="B292" s="183">
        <v>6613</v>
      </c>
      <c r="C292" s="81"/>
    </row>
    <row r="293" spans="1:3" ht="14.25">
      <c r="A293" s="161" t="s">
        <v>424</v>
      </c>
      <c r="B293" s="183">
        <v>4022</v>
      </c>
      <c r="C293" s="81"/>
    </row>
    <row r="294" spans="1:3" ht="14.25">
      <c r="A294" s="161" t="s">
        <v>425</v>
      </c>
      <c r="B294" s="183">
        <v>15212</v>
      </c>
      <c r="C294" s="81"/>
    </row>
    <row r="295" spans="1:3" ht="14.25">
      <c r="A295" s="161" t="s">
        <v>426</v>
      </c>
      <c r="B295" s="183">
        <v>32983</v>
      </c>
      <c r="C295" s="81"/>
    </row>
    <row r="296" spans="1:3" ht="14.25">
      <c r="A296" s="161" t="s">
        <v>427</v>
      </c>
      <c r="B296" s="183">
        <v>2357</v>
      </c>
      <c r="C296" s="81"/>
    </row>
    <row r="297" spans="1:3" ht="14.25">
      <c r="A297" s="161" t="s">
        <v>428</v>
      </c>
      <c r="B297" s="183">
        <v>5703</v>
      </c>
      <c r="C297" s="81"/>
    </row>
    <row r="298" spans="1:3" ht="14.25">
      <c r="A298" s="161" t="s">
        <v>429</v>
      </c>
      <c r="B298" s="183">
        <v>18851</v>
      </c>
      <c r="C298" s="81"/>
    </row>
    <row r="299" spans="1:3" ht="14.25">
      <c r="A299" s="161"/>
      <c r="B299" s="183"/>
      <c r="C299" s="81"/>
    </row>
    <row r="300" spans="1:2" ht="14.25">
      <c r="A300" s="161" t="s">
        <v>611</v>
      </c>
      <c r="B300" s="183">
        <f>SUM(B5:B299)</f>
        <v>5488130</v>
      </c>
    </row>
    <row r="303" ht="12.75">
      <c r="A303" s="184"/>
    </row>
    <row r="304" ht="12.75">
      <c r="A304" s="18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300"/>
  <sheetViews>
    <sheetView zoomScale="130" zoomScaleNormal="130" zoomScalePageLayoutView="0" workbookViewId="0" topLeftCell="A1">
      <selection activeCell="G7" sqref="A1:Y300"/>
    </sheetView>
  </sheetViews>
  <sheetFormatPr defaultColWidth="9.140625" defaultRowHeight="12.75"/>
  <cols>
    <col min="4" max="4" width="10.140625" style="0" bestFit="1" customWidth="1"/>
  </cols>
  <sheetData>
    <row r="1" spans="1:25" ht="13.5">
      <c r="A1" s="263" t="s">
        <v>596</v>
      </c>
      <c r="B1" s="299">
        <v>1</v>
      </c>
      <c r="C1" s="299">
        <v>2</v>
      </c>
      <c r="D1" s="264">
        <v>3</v>
      </c>
      <c r="E1" s="299">
        <v>4</v>
      </c>
      <c r="F1" s="299">
        <v>5</v>
      </c>
      <c r="G1" s="264">
        <v>6</v>
      </c>
      <c r="H1" s="299">
        <v>7</v>
      </c>
      <c r="I1" s="299">
        <v>8</v>
      </c>
      <c r="J1" s="264">
        <v>9</v>
      </c>
      <c r="K1" s="299">
        <v>10</v>
      </c>
      <c r="L1" s="299">
        <v>11</v>
      </c>
      <c r="M1" s="264">
        <v>12</v>
      </c>
      <c r="N1" s="299">
        <v>13</v>
      </c>
      <c r="O1" s="299">
        <v>14</v>
      </c>
      <c r="P1" s="264">
        <v>15</v>
      </c>
      <c r="Q1" s="299">
        <v>16</v>
      </c>
      <c r="R1" s="299">
        <v>17</v>
      </c>
      <c r="S1" s="264">
        <v>18</v>
      </c>
      <c r="T1" s="299">
        <v>19</v>
      </c>
      <c r="U1" s="299">
        <v>20</v>
      </c>
      <c r="V1" s="264">
        <v>21</v>
      </c>
      <c r="W1" s="299">
        <v>22</v>
      </c>
      <c r="X1" s="299">
        <v>23</v>
      </c>
      <c r="Y1" s="264">
        <v>24</v>
      </c>
    </row>
    <row r="2" spans="1:25" ht="13.5">
      <c r="A2" s="263" t="s">
        <v>569</v>
      </c>
      <c r="B2" s="265" t="s">
        <v>122</v>
      </c>
      <c r="C2" s="266" t="s">
        <v>138</v>
      </c>
      <c r="D2" s="266" t="s">
        <v>484</v>
      </c>
      <c r="E2" s="267"/>
      <c r="F2" s="267"/>
      <c r="G2" s="267"/>
      <c r="H2" s="267"/>
      <c r="I2" s="266" t="s">
        <v>442</v>
      </c>
      <c r="J2" s="266"/>
      <c r="K2" s="266"/>
      <c r="L2" s="266"/>
      <c r="M2" s="266"/>
      <c r="N2" s="266" t="s">
        <v>512</v>
      </c>
      <c r="O2" s="268"/>
      <c r="P2" s="268"/>
      <c r="Q2" s="268"/>
      <c r="R2" s="299"/>
      <c r="S2" s="273"/>
      <c r="T2" s="273"/>
      <c r="U2" s="273"/>
      <c r="V2" s="273"/>
      <c r="W2" s="273"/>
      <c r="X2" s="273"/>
      <c r="Y2" s="273"/>
    </row>
    <row r="3" spans="1:25" ht="13.5">
      <c r="A3" s="300">
        <v>2018</v>
      </c>
      <c r="B3" s="300"/>
      <c r="C3" s="301" t="s">
        <v>104</v>
      </c>
      <c r="D3" s="267"/>
      <c r="E3" s="267"/>
      <c r="F3" s="267"/>
      <c r="G3" s="267"/>
      <c r="H3" s="267"/>
      <c r="I3" s="267"/>
      <c r="J3" s="267"/>
      <c r="K3" s="267"/>
      <c r="L3" s="267"/>
      <c r="M3" s="267"/>
      <c r="N3" s="268"/>
      <c r="O3" s="268"/>
      <c r="P3" s="268"/>
      <c r="Q3" s="268"/>
      <c r="R3" s="299"/>
      <c r="S3" s="273"/>
      <c r="T3" s="273"/>
      <c r="U3" s="273"/>
      <c r="V3" s="273"/>
      <c r="W3" s="273"/>
      <c r="X3" s="273"/>
      <c r="Y3" s="273"/>
    </row>
    <row r="4" spans="1:25" ht="14.25">
      <c r="A4" s="302"/>
      <c r="B4" s="303"/>
      <c r="C4" s="269"/>
      <c r="D4" s="270">
        <v>2017</v>
      </c>
      <c r="E4" s="270" t="s">
        <v>570</v>
      </c>
      <c r="F4" s="270" t="s">
        <v>571</v>
      </c>
      <c r="G4" s="270" t="s">
        <v>572</v>
      </c>
      <c r="H4" s="270" t="s">
        <v>619</v>
      </c>
      <c r="I4" s="271">
        <v>2017</v>
      </c>
      <c r="J4" s="271" t="s">
        <v>570</v>
      </c>
      <c r="K4" s="271" t="s">
        <v>571</v>
      </c>
      <c r="L4" s="271" t="s">
        <v>572</v>
      </c>
      <c r="M4" s="271" t="s">
        <v>620</v>
      </c>
      <c r="N4" s="272">
        <v>2017</v>
      </c>
      <c r="O4" s="272" t="s">
        <v>570</v>
      </c>
      <c r="P4" s="272" t="s">
        <v>571</v>
      </c>
      <c r="Q4" s="272" t="s">
        <v>572</v>
      </c>
      <c r="R4" s="272" t="s">
        <v>619</v>
      </c>
      <c r="S4" s="273"/>
      <c r="T4" s="273"/>
      <c r="U4" s="273"/>
      <c r="V4" s="273"/>
      <c r="W4" s="273"/>
      <c r="X4" s="273"/>
      <c r="Y4" s="273"/>
    </row>
    <row r="5" spans="1:25" ht="12.75">
      <c r="A5" s="304">
        <v>20</v>
      </c>
      <c r="B5" s="262" t="s">
        <v>127</v>
      </c>
      <c r="C5" s="298">
        <v>6</v>
      </c>
      <c r="D5" s="274">
        <v>54016.24557</v>
      </c>
      <c r="E5" s="274">
        <v>56434.73096764213</v>
      </c>
      <c r="F5" s="274">
        <v>59062.72852290648</v>
      </c>
      <c r="G5" s="274">
        <v>31993.08864281961</v>
      </c>
      <c r="H5" s="274">
        <v>31363.75735713269</v>
      </c>
      <c r="I5" s="274">
        <v>1892.6969</v>
      </c>
      <c r="J5" s="274">
        <v>1628.567884</v>
      </c>
      <c r="K5" s="274">
        <v>1757.1719659999999</v>
      </c>
      <c r="L5" s="274">
        <v>1356.263799</v>
      </c>
      <c r="M5" s="274">
        <v>1373.3237209999998</v>
      </c>
      <c r="N5" s="274">
        <v>3489.0633399999997</v>
      </c>
      <c r="O5" s="274">
        <v>3290.5971709439996</v>
      </c>
      <c r="P5" s="274">
        <v>3290.5971709439996</v>
      </c>
      <c r="Q5" s="274">
        <v>3290.5971709439996</v>
      </c>
      <c r="R5" s="305">
        <v>3290.5971709439996</v>
      </c>
      <c r="S5" s="305"/>
      <c r="T5" s="305"/>
      <c r="U5" s="305"/>
      <c r="V5" s="273"/>
      <c r="W5" s="273"/>
      <c r="X5" s="273"/>
      <c r="Y5" s="273"/>
    </row>
    <row r="6" spans="1:25" ht="12.75">
      <c r="A6" s="304">
        <v>5</v>
      </c>
      <c r="B6" s="262" t="s">
        <v>144</v>
      </c>
      <c r="C6" s="298">
        <v>14</v>
      </c>
      <c r="D6" s="274">
        <v>25064.81082</v>
      </c>
      <c r="E6" s="274">
        <v>25220.78546765667</v>
      </c>
      <c r="F6" s="274">
        <v>26066.76381510774</v>
      </c>
      <c r="G6" s="274">
        <v>14274.65440478373</v>
      </c>
      <c r="H6" s="274">
        <v>14102.440397079428</v>
      </c>
      <c r="I6" s="274">
        <v>2438.0982000000004</v>
      </c>
      <c r="J6" s="274">
        <v>2168.3605629999997</v>
      </c>
      <c r="K6" s="274">
        <v>2347.316852</v>
      </c>
      <c r="L6" s="274">
        <v>1811.763978</v>
      </c>
      <c r="M6" s="274">
        <v>1834.5534619999999</v>
      </c>
      <c r="N6" s="274">
        <v>2155.64923</v>
      </c>
      <c r="O6" s="274">
        <v>2101.0174717800005</v>
      </c>
      <c r="P6" s="274">
        <v>2101.0174717800005</v>
      </c>
      <c r="Q6" s="274">
        <v>2101.0174717800005</v>
      </c>
      <c r="R6" s="305">
        <v>2101.0174717800005</v>
      </c>
      <c r="S6" s="305"/>
      <c r="T6" s="305"/>
      <c r="U6" s="305"/>
      <c r="V6" s="273"/>
      <c r="W6" s="273"/>
      <c r="X6" s="273"/>
      <c r="Y6" s="273"/>
    </row>
    <row r="7" spans="1:25" ht="12.75">
      <c r="A7" s="304">
        <v>9</v>
      </c>
      <c r="B7" s="262" t="s">
        <v>145</v>
      </c>
      <c r="C7" s="298">
        <v>17</v>
      </c>
      <c r="D7" s="274">
        <v>6493.73081</v>
      </c>
      <c r="E7" s="274">
        <v>6921.63928958213</v>
      </c>
      <c r="F7" s="274">
        <v>7147.584937186669</v>
      </c>
      <c r="G7" s="274">
        <v>3909.0970452948723</v>
      </c>
      <c r="H7" s="274">
        <v>3824.130909467229</v>
      </c>
      <c r="I7" s="274">
        <v>285.62636</v>
      </c>
      <c r="J7" s="274">
        <v>263.465965</v>
      </c>
      <c r="K7" s="274">
        <v>285.172598</v>
      </c>
      <c r="L7" s="274">
        <v>220.108947</v>
      </c>
      <c r="M7" s="274">
        <v>222.87761300000003</v>
      </c>
      <c r="N7" s="274">
        <v>504.91699</v>
      </c>
      <c r="O7" s="274">
        <v>514.8753937776</v>
      </c>
      <c r="P7" s="274">
        <v>514.8753937776</v>
      </c>
      <c r="Q7" s="274">
        <v>514.8753937776</v>
      </c>
      <c r="R7" s="305">
        <v>514.8753937776</v>
      </c>
      <c r="S7" s="305"/>
      <c r="T7" s="305"/>
      <c r="U7" s="305"/>
      <c r="V7" s="273"/>
      <c r="W7" s="273"/>
      <c r="X7" s="273"/>
      <c r="Y7" s="273"/>
    </row>
    <row r="8" spans="1:25" ht="12.75">
      <c r="A8" s="304">
        <v>10</v>
      </c>
      <c r="B8" s="262" t="s">
        <v>146</v>
      </c>
      <c r="C8" s="298">
        <v>14</v>
      </c>
      <c r="D8" s="274">
        <v>29789.408030000002</v>
      </c>
      <c r="E8" s="274">
        <v>29693.275510831412</v>
      </c>
      <c r="F8" s="274">
        <v>30932.903522970453</v>
      </c>
      <c r="G8" s="274">
        <v>16610.542640061427</v>
      </c>
      <c r="H8" s="274">
        <v>16330.357283844372</v>
      </c>
      <c r="I8" s="274">
        <v>2698.7567400000003</v>
      </c>
      <c r="J8" s="274">
        <v>2457.4311880000005</v>
      </c>
      <c r="K8" s="274">
        <v>2668.6910660000003</v>
      </c>
      <c r="L8" s="274">
        <v>2059.814949</v>
      </c>
      <c r="M8" s="274">
        <v>2085.7245709999997</v>
      </c>
      <c r="N8" s="274">
        <v>2729.53481</v>
      </c>
      <c r="O8" s="274">
        <v>2742.7334357616</v>
      </c>
      <c r="P8" s="274">
        <v>2742.7334357616</v>
      </c>
      <c r="Q8" s="274">
        <v>2742.7334357616</v>
      </c>
      <c r="R8" s="305">
        <v>2742.7334357616</v>
      </c>
      <c r="S8" s="305"/>
      <c r="T8" s="305"/>
      <c r="U8" s="305"/>
      <c r="V8" s="273"/>
      <c r="W8" s="273"/>
      <c r="X8" s="273"/>
      <c r="Y8" s="273"/>
    </row>
    <row r="9" spans="1:25" ht="12.75">
      <c r="A9" s="304">
        <v>16</v>
      </c>
      <c r="B9" s="262" t="s">
        <v>147</v>
      </c>
      <c r="C9" s="298">
        <v>7</v>
      </c>
      <c r="D9" s="274">
        <v>25297.77145</v>
      </c>
      <c r="E9" s="274">
        <v>25225.5672137486</v>
      </c>
      <c r="F9" s="274">
        <v>26559.268644122785</v>
      </c>
      <c r="G9" s="274">
        <v>13746.379607876304</v>
      </c>
      <c r="H9" s="274">
        <v>13398.892730932475</v>
      </c>
      <c r="I9" s="274">
        <v>1615.50731</v>
      </c>
      <c r="J9" s="274">
        <v>1468.962137</v>
      </c>
      <c r="K9" s="274">
        <v>1587.303954</v>
      </c>
      <c r="L9" s="274">
        <v>1225.1520810000002</v>
      </c>
      <c r="M9" s="274">
        <v>1240.5627989999998</v>
      </c>
      <c r="N9" s="274">
        <v>2786.5875499999997</v>
      </c>
      <c r="O9" s="274">
        <v>2923.4028085824</v>
      </c>
      <c r="P9" s="274">
        <v>2923.4028085824</v>
      </c>
      <c r="Q9" s="274">
        <v>2923.4028085824</v>
      </c>
      <c r="R9" s="305">
        <v>2923.4028085824</v>
      </c>
      <c r="S9" s="305"/>
      <c r="T9" s="305"/>
      <c r="U9" s="305"/>
      <c r="V9" s="273"/>
      <c r="W9" s="273"/>
      <c r="X9" s="273"/>
      <c r="Y9" s="273"/>
    </row>
    <row r="10" spans="1:25" ht="12.75">
      <c r="A10" s="304">
        <v>18</v>
      </c>
      <c r="B10" s="262" t="s">
        <v>148</v>
      </c>
      <c r="C10" s="298">
        <v>1</v>
      </c>
      <c r="D10" s="274">
        <v>16579.26711</v>
      </c>
      <c r="E10" s="274">
        <v>17029.181034925543</v>
      </c>
      <c r="F10" s="274">
        <v>18019.912541733374</v>
      </c>
      <c r="G10" s="274">
        <v>9416.371139335755</v>
      </c>
      <c r="H10" s="274">
        <v>9107.88961933852</v>
      </c>
      <c r="I10" s="274">
        <v>1037.75463</v>
      </c>
      <c r="J10" s="274">
        <v>955.9614029999999</v>
      </c>
      <c r="K10" s="274">
        <v>1035.984094</v>
      </c>
      <c r="L10" s="274">
        <v>799.618791</v>
      </c>
      <c r="M10" s="274">
        <v>809.676889</v>
      </c>
      <c r="N10" s="274">
        <v>1139.10031</v>
      </c>
      <c r="O10" s="274">
        <v>1127.882291544</v>
      </c>
      <c r="P10" s="274">
        <v>1127.882291544</v>
      </c>
      <c r="Q10" s="274">
        <v>1127.882291544</v>
      </c>
      <c r="R10" s="305">
        <v>1127.882291544</v>
      </c>
      <c r="S10" s="305"/>
      <c r="T10" s="305"/>
      <c r="U10" s="305"/>
      <c r="V10" s="273"/>
      <c r="W10" s="273"/>
      <c r="X10" s="273"/>
      <c r="Y10" s="273"/>
    </row>
    <row r="11" spans="1:25" ht="12.75">
      <c r="A11" s="304">
        <v>19</v>
      </c>
      <c r="B11" s="262" t="s">
        <v>149</v>
      </c>
      <c r="C11" s="298">
        <v>2</v>
      </c>
      <c r="D11" s="274">
        <v>13596.44977</v>
      </c>
      <c r="E11" s="274">
        <v>13398.54609240528</v>
      </c>
      <c r="F11" s="274">
        <v>14192.750994641949</v>
      </c>
      <c r="G11" s="274">
        <v>7807.83491900522</v>
      </c>
      <c r="H11" s="274">
        <v>7626.438682964662</v>
      </c>
      <c r="I11" s="274">
        <v>530.47126</v>
      </c>
      <c r="J11" s="274">
        <v>606.0164070000001</v>
      </c>
      <c r="K11" s="274">
        <v>656.8623120000001</v>
      </c>
      <c r="L11" s="274">
        <v>506.995668</v>
      </c>
      <c r="M11" s="274">
        <v>513.372972</v>
      </c>
      <c r="N11" s="274">
        <v>745.49145</v>
      </c>
      <c r="O11" s="274">
        <v>742.0066639920001</v>
      </c>
      <c r="P11" s="274">
        <v>742.0066639920001</v>
      </c>
      <c r="Q11" s="274">
        <v>742.0066639920001</v>
      </c>
      <c r="R11" s="305">
        <v>742.0066639920001</v>
      </c>
      <c r="S11" s="305"/>
      <c r="T11" s="305"/>
      <c r="U11" s="305"/>
      <c r="V11" s="273"/>
      <c r="W11" s="273"/>
      <c r="X11" s="273"/>
      <c r="Y11" s="273"/>
    </row>
    <row r="12" spans="1:25" ht="12.75">
      <c r="A12" s="304">
        <v>46</v>
      </c>
      <c r="B12" s="262" t="s">
        <v>150</v>
      </c>
      <c r="C12" s="298">
        <v>10</v>
      </c>
      <c r="D12" s="274">
        <v>3723.11026</v>
      </c>
      <c r="E12" s="274">
        <v>3594.0909941538944</v>
      </c>
      <c r="F12" s="274">
        <v>3771.2160201553897</v>
      </c>
      <c r="G12" s="274">
        <v>1947.5654242494884</v>
      </c>
      <c r="H12" s="274">
        <v>1921.156389507919</v>
      </c>
      <c r="I12" s="274">
        <v>595.09958</v>
      </c>
      <c r="J12" s="274">
        <v>574.743366</v>
      </c>
      <c r="K12" s="274">
        <v>622.97284</v>
      </c>
      <c r="L12" s="274">
        <v>480.83825999999993</v>
      </c>
      <c r="M12" s="274">
        <v>486.88653999999997</v>
      </c>
      <c r="N12" s="274">
        <v>535.41331</v>
      </c>
      <c r="O12" s="274">
        <v>528.238754952</v>
      </c>
      <c r="P12" s="274">
        <v>528.238754952</v>
      </c>
      <c r="Q12" s="274">
        <v>528.238754952</v>
      </c>
      <c r="R12" s="305">
        <v>528.238754952</v>
      </c>
      <c r="S12" s="305"/>
      <c r="T12" s="305"/>
      <c r="U12" s="305"/>
      <c r="V12" s="273"/>
      <c r="W12" s="273"/>
      <c r="X12" s="273"/>
      <c r="Y12" s="273"/>
    </row>
    <row r="13" spans="1:25" ht="12.75">
      <c r="A13" s="304">
        <v>47</v>
      </c>
      <c r="B13" s="262" t="s">
        <v>151</v>
      </c>
      <c r="C13" s="298">
        <v>19</v>
      </c>
      <c r="D13" s="274">
        <v>4963.380190000001</v>
      </c>
      <c r="E13" s="274">
        <v>5017.896209595879</v>
      </c>
      <c r="F13" s="274">
        <v>5202.0930479517265</v>
      </c>
      <c r="G13" s="274">
        <v>2858.9017055375707</v>
      </c>
      <c r="H13" s="274">
        <v>2821.7323483134246</v>
      </c>
      <c r="I13" s="274">
        <v>409.93638</v>
      </c>
      <c r="J13" s="274">
        <v>390.57563999999996</v>
      </c>
      <c r="K13" s="274">
        <v>423.379234</v>
      </c>
      <c r="L13" s="274">
        <v>326.78300099999996</v>
      </c>
      <c r="M13" s="274">
        <v>330.89347899999996</v>
      </c>
      <c r="N13" s="274">
        <v>829.74312</v>
      </c>
      <c r="O13" s="274">
        <v>830.8569759720001</v>
      </c>
      <c r="P13" s="274">
        <v>830.8569759720001</v>
      </c>
      <c r="Q13" s="274">
        <v>830.8569759720001</v>
      </c>
      <c r="R13" s="305">
        <v>830.8569759720001</v>
      </c>
      <c r="S13" s="305"/>
      <c r="T13" s="305"/>
      <c r="U13" s="305"/>
      <c r="V13" s="273"/>
      <c r="W13" s="273"/>
      <c r="X13" s="273"/>
      <c r="Y13" s="273"/>
    </row>
    <row r="14" spans="1:25" ht="12.75">
      <c r="A14" s="304">
        <v>49</v>
      </c>
      <c r="B14" s="262" t="s">
        <v>152</v>
      </c>
      <c r="C14" s="298">
        <v>1</v>
      </c>
      <c r="D14" s="274">
        <v>1236908.57743</v>
      </c>
      <c r="E14" s="274">
        <v>1280107.248110516</v>
      </c>
      <c r="F14" s="274">
        <v>1347243.9617374537</v>
      </c>
      <c r="G14" s="274">
        <v>580235.0301909824</v>
      </c>
      <c r="H14" s="274">
        <v>543743.1421098111</v>
      </c>
      <c r="I14" s="274">
        <v>137156.2491</v>
      </c>
      <c r="J14" s="274">
        <v>129676.208551</v>
      </c>
      <c r="K14" s="274">
        <v>140374.15955399998</v>
      </c>
      <c r="L14" s="274">
        <v>108347.045481</v>
      </c>
      <c r="M14" s="274">
        <v>109709.901399</v>
      </c>
      <c r="N14" s="274">
        <v>116153.15004000001</v>
      </c>
      <c r="O14" s="274">
        <v>118125.79390338478</v>
      </c>
      <c r="P14" s="274">
        <v>118125.79390338478</v>
      </c>
      <c r="Q14" s="274">
        <v>118125.79390338478</v>
      </c>
      <c r="R14" s="305">
        <v>118125.79390338478</v>
      </c>
      <c r="S14" s="305"/>
      <c r="T14" s="305"/>
      <c r="U14" s="305"/>
      <c r="V14" s="273"/>
      <c r="W14" s="273"/>
      <c r="X14" s="273"/>
      <c r="Y14" s="273"/>
    </row>
    <row r="15" spans="1:25" ht="12.75">
      <c r="A15" s="304">
        <v>50</v>
      </c>
      <c r="B15" s="262" t="s">
        <v>153</v>
      </c>
      <c r="C15" s="298">
        <v>4</v>
      </c>
      <c r="D15" s="274">
        <v>39020.664840000005</v>
      </c>
      <c r="E15" s="274">
        <v>39674.12089150757</v>
      </c>
      <c r="F15" s="274">
        <v>40782.92565942501</v>
      </c>
      <c r="G15" s="274">
        <v>20768.99465653099</v>
      </c>
      <c r="H15" s="274">
        <v>20221.64081884535</v>
      </c>
      <c r="I15" s="274">
        <v>2303.13727</v>
      </c>
      <c r="J15" s="274">
        <v>2017.1530319999997</v>
      </c>
      <c r="K15" s="274">
        <v>2178.1074219999996</v>
      </c>
      <c r="L15" s="274">
        <v>1681.1605829999999</v>
      </c>
      <c r="M15" s="274">
        <v>1702.307257</v>
      </c>
      <c r="N15" s="274">
        <v>3076.73602</v>
      </c>
      <c r="O15" s="274">
        <v>3099.148185576</v>
      </c>
      <c r="P15" s="274">
        <v>3099.148185576</v>
      </c>
      <c r="Q15" s="274">
        <v>3099.148185576</v>
      </c>
      <c r="R15" s="305">
        <v>3099.148185576</v>
      </c>
      <c r="S15" s="305"/>
      <c r="T15" s="305"/>
      <c r="U15" s="305"/>
      <c r="V15" s="273"/>
      <c r="W15" s="273"/>
      <c r="X15" s="273"/>
      <c r="Y15" s="273"/>
    </row>
    <row r="16" spans="1:25" ht="12.75">
      <c r="A16" s="304">
        <v>51</v>
      </c>
      <c r="B16" s="262" t="s">
        <v>154</v>
      </c>
      <c r="C16" s="298">
        <v>4</v>
      </c>
      <c r="D16" s="274">
        <v>30552.22738</v>
      </c>
      <c r="E16" s="274">
        <v>29223.96079358613</v>
      </c>
      <c r="F16" s="274">
        <v>31111.584832562337</v>
      </c>
      <c r="G16" s="274">
        <v>13355.138487614307</v>
      </c>
      <c r="H16" s="274">
        <v>12794.539274253544</v>
      </c>
      <c r="I16" s="274">
        <v>2027.95176</v>
      </c>
      <c r="J16" s="274">
        <v>2363.752804</v>
      </c>
      <c r="K16" s="274">
        <v>2560.299428</v>
      </c>
      <c r="L16" s="274">
        <v>1976.1534419999998</v>
      </c>
      <c r="M16" s="274">
        <v>2001.010718</v>
      </c>
      <c r="N16" s="274">
        <v>19329.88507</v>
      </c>
      <c r="O16" s="274">
        <v>24217.5335910984</v>
      </c>
      <c r="P16" s="274">
        <v>24217.5335910984</v>
      </c>
      <c r="Q16" s="274">
        <v>24217.5335910984</v>
      </c>
      <c r="R16" s="305">
        <v>24217.5335910984</v>
      </c>
      <c r="S16" s="305"/>
      <c r="T16" s="305"/>
      <c r="U16" s="305"/>
      <c r="V16" s="273"/>
      <c r="W16" s="273"/>
      <c r="X16" s="273"/>
      <c r="Y16" s="273"/>
    </row>
    <row r="17" spans="1:25" ht="12.75">
      <c r="A17" s="304">
        <v>52</v>
      </c>
      <c r="B17" s="262" t="s">
        <v>155</v>
      </c>
      <c r="C17" s="298">
        <v>14</v>
      </c>
      <c r="D17" s="274">
        <v>6673.29157</v>
      </c>
      <c r="E17" s="274">
        <v>6855.856906271023</v>
      </c>
      <c r="F17" s="274">
        <v>7121.735897340751</v>
      </c>
      <c r="G17" s="274">
        <v>3882.8675390254984</v>
      </c>
      <c r="H17" s="274">
        <v>3815.3840604661605</v>
      </c>
      <c r="I17" s="274">
        <v>827.0765200000001</v>
      </c>
      <c r="J17" s="274">
        <v>638.07506</v>
      </c>
      <c r="K17" s="274">
        <v>692.6086679999999</v>
      </c>
      <c r="L17" s="274">
        <v>534.586302</v>
      </c>
      <c r="M17" s="274">
        <v>541.310658</v>
      </c>
      <c r="N17" s="274">
        <v>723.43796</v>
      </c>
      <c r="O17" s="274">
        <v>727.1229033599999</v>
      </c>
      <c r="P17" s="274">
        <v>727.1229033599999</v>
      </c>
      <c r="Q17" s="274">
        <v>727.1229033599999</v>
      </c>
      <c r="R17" s="305">
        <v>727.1229033599999</v>
      </c>
      <c r="S17" s="305"/>
      <c r="T17" s="305"/>
      <c r="U17" s="305"/>
      <c r="V17" s="273"/>
      <c r="W17" s="273"/>
      <c r="X17" s="273"/>
      <c r="Y17" s="273"/>
    </row>
    <row r="18" spans="1:25" ht="12.75">
      <c r="A18" s="304">
        <v>61</v>
      </c>
      <c r="B18" s="262" t="s">
        <v>156</v>
      </c>
      <c r="C18" s="298">
        <v>5</v>
      </c>
      <c r="D18" s="274">
        <v>51893.00207</v>
      </c>
      <c r="E18" s="274">
        <v>52069.705233273075</v>
      </c>
      <c r="F18" s="274">
        <v>54348.52388044013</v>
      </c>
      <c r="G18" s="274">
        <v>27691.54970228605</v>
      </c>
      <c r="H18" s="274">
        <v>27094.5447795919</v>
      </c>
      <c r="I18" s="274">
        <v>3855.90377</v>
      </c>
      <c r="J18" s="274">
        <v>3767.979213</v>
      </c>
      <c r="K18" s="274">
        <v>4077.9183199999998</v>
      </c>
      <c r="L18" s="274">
        <v>3147.5194800000004</v>
      </c>
      <c r="M18" s="274">
        <v>3187.1109200000005</v>
      </c>
      <c r="N18" s="274">
        <v>5326.101</v>
      </c>
      <c r="O18" s="274">
        <v>5292.857178648</v>
      </c>
      <c r="P18" s="274">
        <v>5292.857178648</v>
      </c>
      <c r="Q18" s="274">
        <v>5292.857178648</v>
      </c>
      <c r="R18" s="305">
        <v>5292.857178648</v>
      </c>
      <c r="S18" s="305"/>
      <c r="T18" s="305"/>
      <c r="U18" s="305"/>
      <c r="V18" s="273"/>
      <c r="W18" s="273"/>
      <c r="X18" s="273"/>
      <c r="Y18" s="273"/>
    </row>
    <row r="19" spans="1:25" ht="12.75">
      <c r="A19" s="304">
        <v>69</v>
      </c>
      <c r="B19" s="262" t="s">
        <v>157</v>
      </c>
      <c r="C19" s="298">
        <v>17</v>
      </c>
      <c r="D19" s="274">
        <v>19281.86422</v>
      </c>
      <c r="E19" s="274">
        <v>19871.349818970903</v>
      </c>
      <c r="F19" s="274">
        <v>20741.236650463474</v>
      </c>
      <c r="G19" s="274">
        <v>11461.23009315497</v>
      </c>
      <c r="H19" s="274">
        <v>11293.74160803685</v>
      </c>
      <c r="I19" s="274">
        <v>1574.92745</v>
      </c>
      <c r="J19" s="274">
        <v>1228.472282</v>
      </c>
      <c r="K19" s="274">
        <v>1329.519674</v>
      </c>
      <c r="L19" s="274">
        <v>1026.182661</v>
      </c>
      <c r="M19" s="274">
        <v>1039.090619</v>
      </c>
      <c r="N19" s="274">
        <v>1893.38267</v>
      </c>
      <c r="O19" s="274">
        <v>2036.593204344</v>
      </c>
      <c r="P19" s="274">
        <v>2036.593204344</v>
      </c>
      <c r="Q19" s="274">
        <v>2036.593204344</v>
      </c>
      <c r="R19" s="305">
        <v>2036.593204344</v>
      </c>
      <c r="S19" s="305"/>
      <c r="T19" s="305"/>
      <c r="U19" s="305"/>
      <c r="V19" s="273"/>
      <c r="W19" s="273"/>
      <c r="X19" s="273"/>
      <c r="Y19" s="273"/>
    </row>
    <row r="20" spans="1:25" ht="12.75">
      <c r="A20" s="304">
        <v>71</v>
      </c>
      <c r="B20" s="262" t="s">
        <v>158</v>
      </c>
      <c r="C20" s="260">
        <v>17</v>
      </c>
      <c r="D20" s="274">
        <v>17803.32315</v>
      </c>
      <c r="E20" s="274">
        <v>17876.921792901154</v>
      </c>
      <c r="F20" s="274">
        <v>18783.610323765683</v>
      </c>
      <c r="G20" s="274">
        <v>10335.368976370612</v>
      </c>
      <c r="H20" s="274">
        <v>10240.503243721807</v>
      </c>
      <c r="I20" s="274">
        <v>1291.14697</v>
      </c>
      <c r="J20" s="274">
        <v>1365.06904</v>
      </c>
      <c r="K20" s="274">
        <v>1478.593634</v>
      </c>
      <c r="L20" s="274">
        <v>1141.244601</v>
      </c>
      <c r="M20" s="274">
        <v>1155.599879</v>
      </c>
      <c r="N20" s="274">
        <v>1672.8593899999998</v>
      </c>
      <c r="O20" s="274">
        <v>1656.5129899319998</v>
      </c>
      <c r="P20" s="274">
        <v>1656.5129899319998</v>
      </c>
      <c r="Q20" s="274">
        <v>1656.5129899319998</v>
      </c>
      <c r="R20" s="305">
        <v>1656.5129899319998</v>
      </c>
      <c r="S20" s="305"/>
      <c r="T20" s="305"/>
      <c r="U20" s="305"/>
      <c r="V20" s="273"/>
      <c r="W20" s="273"/>
      <c r="X20" s="273"/>
      <c r="Y20" s="273"/>
    </row>
    <row r="21" spans="1:25" ht="12.75">
      <c r="A21" s="304">
        <v>72</v>
      </c>
      <c r="B21" s="262" t="s">
        <v>159</v>
      </c>
      <c r="C21" s="260">
        <v>17</v>
      </c>
      <c r="D21" s="274">
        <v>3245.0600499999996</v>
      </c>
      <c r="E21" s="274">
        <v>3193.6683057050286</v>
      </c>
      <c r="F21" s="274">
        <v>3405.6270133229104</v>
      </c>
      <c r="G21" s="274">
        <v>1725.0755672196526</v>
      </c>
      <c r="H21" s="274">
        <v>1676.4296649718847</v>
      </c>
      <c r="I21" s="274">
        <v>113.52828</v>
      </c>
      <c r="J21" s="274">
        <v>98.51819199999998</v>
      </c>
      <c r="K21" s="274">
        <v>106.69337399999999</v>
      </c>
      <c r="L21" s="274">
        <v>82.35071099999999</v>
      </c>
      <c r="M21" s="274">
        <v>83.386569</v>
      </c>
      <c r="N21" s="274">
        <v>332.09195</v>
      </c>
      <c r="O21" s="274">
        <v>351.51091398240004</v>
      </c>
      <c r="P21" s="274">
        <v>351.51091398240004</v>
      </c>
      <c r="Q21" s="274">
        <v>351.51091398240004</v>
      </c>
      <c r="R21" s="305">
        <v>351.51091398240004</v>
      </c>
      <c r="S21" s="305"/>
      <c r="T21" s="305"/>
      <c r="U21" s="305"/>
      <c r="V21" s="273"/>
      <c r="W21" s="273"/>
      <c r="X21" s="273"/>
      <c r="Y21" s="273"/>
    </row>
    <row r="22" spans="1:25" ht="12.75">
      <c r="A22" s="304">
        <v>74</v>
      </c>
      <c r="B22" s="262" t="s">
        <v>160</v>
      </c>
      <c r="C22" s="260">
        <v>16</v>
      </c>
      <c r="D22" s="274">
        <v>2805.18011</v>
      </c>
      <c r="E22" s="274">
        <v>2837.1144494896384</v>
      </c>
      <c r="F22" s="274">
        <v>3019.71127837435</v>
      </c>
      <c r="G22" s="274">
        <v>1683.3441842896464</v>
      </c>
      <c r="H22" s="274">
        <v>1663.26794312627</v>
      </c>
      <c r="I22" s="274">
        <v>551.2226400000001</v>
      </c>
      <c r="J22" s="274">
        <v>424.14190399999995</v>
      </c>
      <c r="K22" s="274">
        <v>459.79158799999993</v>
      </c>
      <c r="L22" s="274">
        <v>354.887682</v>
      </c>
      <c r="M22" s="274">
        <v>359.35167799999994</v>
      </c>
      <c r="N22" s="274">
        <v>355.70615000000004</v>
      </c>
      <c r="O22" s="274">
        <v>351.16690207199997</v>
      </c>
      <c r="P22" s="274">
        <v>351.16690207199997</v>
      </c>
      <c r="Q22" s="274">
        <v>351.16690207199997</v>
      </c>
      <c r="R22" s="305">
        <v>351.16690207199997</v>
      </c>
      <c r="S22" s="305"/>
      <c r="T22" s="305"/>
      <c r="U22" s="305"/>
      <c r="V22" s="273"/>
      <c r="W22" s="273"/>
      <c r="X22" s="273"/>
      <c r="Y22" s="273"/>
    </row>
    <row r="23" spans="1:25" ht="12.75">
      <c r="A23" s="304">
        <v>75</v>
      </c>
      <c r="B23" s="262" t="s">
        <v>161</v>
      </c>
      <c r="C23" s="260">
        <v>8</v>
      </c>
      <c r="D23" s="274">
        <v>70567.05258</v>
      </c>
      <c r="E23" s="274">
        <v>71238.74334203004</v>
      </c>
      <c r="F23" s="274">
        <v>74014.70035126142</v>
      </c>
      <c r="G23" s="274">
        <v>38005.56447328695</v>
      </c>
      <c r="H23" s="274">
        <v>37336.690246875674</v>
      </c>
      <c r="I23" s="274">
        <v>5202.32727</v>
      </c>
      <c r="J23" s="274">
        <v>5626.838153999999</v>
      </c>
      <c r="K23" s="274">
        <v>6102.823747999999</v>
      </c>
      <c r="L23" s="274">
        <v>4710.431922</v>
      </c>
      <c r="M23" s="274">
        <v>4769.682638</v>
      </c>
      <c r="N23" s="274">
        <v>6787.0652900000005</v>
      </c>
      <c r="O23" s="274">
        <v>7001.070205080001</v>
      </c>
      <c r="P23" s="274">
        <v>7001.070205080001</v>
      </c>
      <c r="Q23" s="274">
        <v>7001.070205080001</v>
      </c>
      <c r="R23" s="305">
        <v>7001.070205080001</v>
      </c>
      <c r="S23" s="305"/>
      <c r="T23" s="305"/>
      <c r="U23" s="305"/>
      <c r="V23" s="273"/>
      <c r="W23" s="273"/>
      <c r="X23" s="273"/>
      <c r="Y23" s="273"/>
    </row>
    <row r="24" spans="1:25" ht="12.75">
      <c r="A24" s="304">
        <v>77</v>
      </c>
      <c r="B24" s="262" t="s">
        <v>162</v>
      </c>
      <c r="C24" s="260">
        <v>13</v>
      </c>
      <c r="D24" s="274">
        <v>13141.17399</v>
      </c>
      <c r="E24" s="274">
        <v>12911.385659970041</v>
      </c>
      <c r="F24" s="274">
        <v>13471.690415357592</v>
      </c>
      <c r="G24" s="274">
        <v>7490.442853666191</v>
      </c>
      <c r="H24" s="274">
        <v>7406.326710693979</v>
      </c>
      <c r="I24" s="274">
        <v>853.96076</v>
      </c>
      <c r="J24" s="274">
        <v>902.6738929999998</v>
      </c>
      <c r="K24" s="274">
        <v>978.356418</v>
      </c>
      <c r="L24" s="274">
        <v>755.1391770000001</v>
      </c>
      <c r="M24" s="274">
        <v>764.637783</v>
      </c>
      <c r="N24" s="274">
        <v>1308.3196200000002</v>
      </c>
      <c r="O24" s="274">
        <v>1299.5231109120002</v>
      </c>
      <c r="P24" s="274">
        <v>1299.5231109120002</v>
      </c>
      <c r="Q24" s="274">
        <v>1299.5231109120002</v>
      </c>
      <c r="R24" s="305">
        <v>1299.5231109120002</v>
      </c>
      <c r="S24" s="305"/>
      <c r="T24" s="305"/>
      <c r="U24" s="305"/>
      <c r="V24" s="273"/>
      <c r="W24" s="273"/>
      <c r="X24" s="273"/>
      <c r="Y24" s="273"/>
    </row>
    <row r="25" spans="1:25" ht="12.75">
      <c r="A25" s="304">
        <v>78</v>
      </c>
      <c r="B25" s="262" t="s">
        <v>163</v>
      </c>
      <c r="C25" s="260">
        <v>1</v>
      </c>
      <c r="D25" s="274">
        <v>33622.098869999994</v>
      </c>
      <c r="E25" s="274">
        <v>33899.12414732435</v>
      </c>
      <c r="F25" s="274">
        <v>34692.27597524871</v>
      </c>
      <c r="G25" s="274">
        <v>18440.58728150931</v>
      </c>
      <c r="H25" s="274">
        <v>18162.709457258832</v>
      </c>
      <c r="I25" s="274">
        <v>2781.58276</v>
      </c>
      <c r="J25" s="274">
        <v>3068.548179</v>
      </c>
      <c r="K25" s="274">
        <v>3319.750564</v>
      </c>
      <c r="L25" s="274">
        <v>2562.3317459999994</v>
      </c>
      <c r="M25" s="274">
        <v>2594.5623339999997</v>
      </c>
      <c r="N25" s="274">
        <v>2624.02849</v>
      </c>
      <c r="O25" s="274">
        <v>2672.069890596</v>
      </c>
      <c r="P25" s="274">
        <v>2672.069890596</v>
      </c>
      <c r="Q25" s="274">
        <v>2672.069890596</v>
      </c>
      <c r="R25" s="305">
        <v>2672.069890596</v>
      </c>
      <c r="S25" s="305"/>
      <c r="T25" s="305"/>
      <c r="U25" s="305"/>
      <c r="V25" s="273"/>
      <c r="W25" s="273"/>
      <c r="X25" s="273"/>
      <c r="Y25" s="273"/>
    </row>
    <row r="26" spans="1:25" ht="12.75">
      <c r="A26" s="304">
        <v>79</v>
      </c>
      <c r="B26" s="262" t="s">
        <v>164</v>
      </c>
      <c r="C26" s="260">
        <v>4</v>
      </c>
      <c r="D26" s="274">
        <v>24136.23348</v>
      </c>
      <c r="E26" s="274">
        <v>24360.389552463</v>
      </c>
      <c r="F26" s="274">
        <v>25300.66486570728</v>
      </c>
      <c r="G26" s="274">
        <v>12846.326249669934</v>
      </c>
      <c r="H26" s="274">
        <v>12584.964392617989</v>
      </c>
      <c r="I26" s="274">
        <v>8739.72641</v>
      </c>
      <c r="J26" s="274">
        <v>7240.2527740000005</v>
      </c>
      <c r="K26" s="274">
        <v>7870.173556</v>
      </c>
      <c r="L26" s="274">
        <v>6074.551433999999</v>
      </c>
      <c r="M26" s="274">
        <v>6150.960886000001</v>
      </c>
      <c r="N26" s="274">
        <v>1870.64803</v>
      </c>
      <c r="O26" s="274">
        <v>1907.6280704903998</v>
      </c>
      <c r="P26" s="274">
        <v>1907.6280704903998</v>
      </c>
      <c r="Q26" s="274">
        <v>1907.6280704903998</v>
      </c>
      <c r="R26" s="305">
        <v>1907.6280704903998</v>
      </c>
      <c r="S26" s="305"/>
      <c r="T26" s="305"/>
      <c r="U26" s="305"/>
      <c r="V26" s="273"/>
      <c r="W26" s="273"/>
      <c r="X26" s="273"/>
      <c r="Y26" s="273"/>
    </row>
    <row r="27" spans="1:25" ht="12.75">
      <c r="A27" s="304">
        <v>81</v>
      </c>
      <c r="B27" s="262" t="s">
        <v>165</v>
      </c>
      <c r="C27" s="260">
        <v>7</v>
      </c>
      <c r="D27" s="274">
        <v>7275.13304</v>
      </c>
      <c r="E27" s="274">
        <v>7354.65956986592</v>
      </c>
      <c r="F27" s="274">
        <v>7555.611781749434</v>
      </c>
      <c r="G27" s="274">
        <v>4136.525897117796</v>
      </c>
      <c r="H27" s="274">
        <v>4068.436994516539</v>
      </c>
      <c r="I27" s="274">
        <v>1390.8181100000002</v>
      </c>
      <c r="J27" s="274">
        <v>1277.9328830000002</v>
      </c>
      <c r="K27" s="274">
        <v>1385.424778</v>
      </c>
      <c r="L27" s="274">
        <v>1069.3327170000002</v>
      </c>
      <c r="M27" s="274">
        <v>1082.783443</v>
      </c>
      <c r="N27" s="274">
        <v>1322.1095</v>
      </c>
      <c r="O27" s="274">
        <v>1302.9018480960003</v>
      </c>
      <c r="P27" s="274">
        <v>1302.9018480960003</v>
      </c>
      <c r="Q27" s="274">
        <v>1302.9018480960003</v>
      </c>
      <c r="R27" s="305">
        <v>1302.9018480960003</v>
      </c>
      <c r="S27" s="305"/>
      <c r="T27" s="305"/>
      <c r="U27" s="305"/>
      <c r="V27" s="273"/>
      <c r="W27" s="273"/>
      <c r="X27" s="273"/>
      <c r="Y27" s="273"/>
    </row>
    <row r="28" spans="1:25" ht="12.75">
      <c r="A28" s="304">
        <v>82</v>
      </c>
      <c r="B28" s="262" t="s">
        <v>166</v>
      </c>
      <c r="C28" s="260">
        <v>5</v>
      </c>
      <c r="D28" s="274">
        <v>34091.17949</v>
      </c>
      <c r="E28" s="274">
        <v>34664.24597048836</v>
      </c>
      <c r="F28" s="274">
        <v>36111.616318833934</v>
      </c>
      <c r="G28" s="274">
        <v>18454.976001198913</v>
      </c>
      <c r="H28" s="274">
        <v>17860.587275765618</v>
      </c>
      <c r="I28" s="274">
        <v>1330.30522</v>
      </c>
      <c r="J28" s="274">
        <v>1358.226422</v>
      </c>
      <c r="K28" s="274">
        <v>1471.663382</v>
      </c>
      <c r="L28" s="274">
        <v>1135.895523</v>
      </c>
      <c r="M28" s="274">
        <v>1150.1835170000002</v>
      </c>
      <c r="N28" s="274">
        <v>2122.98075</v>
      </c>
      <c r="O28" s="274">
        <v>2205.193232472</v>
      </c>
      <c r="P28" s="274">
        <v>2205.193232472</v>
      </c>
      <c r="Q28" s="274">
        <v>2205.193232472</v>
      </c>
      <c r="R28" s="305">
        <v>2205.193232472</v>
      </c>
      <c r="S28" s="305"/>
      <c r="T28" s="305"/>
      <c r="U28" s="305"/>
      <c r="V28" s="273"/>
      <c r="W28" s="273"/>
      <c r="X28" s="273"/>
      <c r="Y28" s="273"/>
    </row>
    <row r="29" spans="1:25" ht="12.75">
      <c r="A29" s="304">
        <v>86</v>
      </c>
      <c r="B29" s="262" t="s">
        <v>167</v>
      </c>
      <c r="C29" s="260">
        <v>5</v>
      </c>
      <c r="D29" s="274">
        <v>29361.93342</v>
      </c>
      <c r="E29" s="274">
        <v>29047.91197763545</v>
      </c>
      <c r="F29" s="274">
        <v>30856.716444033038</v>
      </c>
      <c r="G29" s="274">
        <v>16488.274741587345</v>
      </c>
      <c r="H29" s="274">
        <v>16103.74833497328</v>
      </c>
      <c r="I29" s="274">
        <v>1179.59121</v>
      </c>
      <c r="J29" s="274">
        <v>1097.599888</v>
      </c>
      <c r="K29" s="274">
        <v>1187.2667860000001</v>
      </c>
      <c r="L29" s="274">
        <v>916.385529</v>
      </c>
      <c r="M29" s="274">
        <v>927.9123910000001</v>
      </c>
      <c r="N29" s="274">
        <v>1690.39851</v>
      </c>
      <c r="O29" s="274">
        <v>1661.1936806400001</v>
      </c>
      <c r="P29" s="274">
        <v>1661.1936806400001</v>
      </c>
      <c r="Q29" s="274">
        <v>1661.1936806400001</v>
      </c>
      <c r="R29" s="305">
        <v>1661.1936806400001</v>
      </c>
      <c r="S29" s="305"/>
      <c r="T29" s="305"/>
      <c r="U29" s="305"/>
      <c r="V29" s="273"/>
      <c r="W29" s="273"/>
      <c r="X29" s="273"/>
      <c r="Y29" s="273"/>
    </row>
    <row r="30" spans="1:25" ht="12.75">
      <c r="A30" s="304">
        <v>111</v>
      </c>
      <c r="B30" s="262" t="s">
        <v>168</v>
      </c>
      <c r="C30" s="260">
        <v>7</v>
      </c>
      <c r="D30" s="274">
        <v>60315.10786</v>
      </c>
      <c r="E30" s="274">
        <v>60906.5834694027</v>
      </c>
      <c r="F30" s="274">
        <v>63056.65316174591</v>
      </c>
      <c r="G30" s="274">
        <v>32062.98577043949</v>
      </c>
      <c r="H30" s="274">
        <v>31266.752666040185</v>
      </c>
      <c r="I30" s="274">
        <v>3231.70224</v>
      </c>
      <c r="J30" s="274">
        <v>3095.9085230000005</v>
      </c>
      <c r="K30" s="274">
        <v>3350.0842700000003</v>
      </c>
      <c r="L30" s="274">
        <v>2585.744655</v>
      </c>
      <c r="M30" s="274">
        <v>2618.269745</v>
      </c>
      <c r="N30" s="274">
        <v>6264.00914</v>
      </c>
      <c r="O30" s="274">
        <v>6233.075149559999</v>
      </c>
      <c r="P30" s="274">
        <v>6233.075149559999</v>
      </c>
      <c r="Q30" s="274">
        <v>6233.075149559999</v>
      </c>
      <c r="R30" s="305">
        <v>6233.075149559999</v>
      </c>
      <c r="S30" s="305"/>
      <c r="T30" s="305"/>
      <c r="U30" s="305"/>
      <c r="V30" s="273"/>
      <c r="W30" s="273"/>
      <c r="X30" s="273"/>
      <c r="Y30" s="273"/>
    </row>
    <row r="31" spans="1:25" ht="12.75">
      <c r="A31" s="304">
        <v>90</v>
      </c>
      <c r="B31" s="262" t="s">
        <v>169</v>
      </c>
      <c r="C31" s="260">
        <v>10</v>
      </c>
      <c r="D31" s="274">
        <v>8593.94076</v>
      </c>
      <c r="E31" s="274">
        <v>8500.427034055316</v>
      </c>
      <c r="F31" s="274">
        <v>8819.80622753059</v>
      </c>
      <c r="G31" s="274">
        <v>4594.087367074979</v>
      </c>
      <c r="H31" s="274">
        <v>4532.751224211866</v>
      </c>
      <c r="I31" s="274">
        <v>2236.44473</v>
      </c>
      <c r="J31" s="274">
        <v>2084.512774</v>
      </c>
      <c r="K31" s="274">
        <v>2258.708424</v>
      </c>
      <c r="L31" s="274">
        <v>1743.3720360000002</v>
      </c>
      <c r="M31" s="274">
        <v>1765.301244</v>
      </c>
      <c r="N31" s="274">
        <v>1225.10045</v>
      </c>
      <c r="O31" s="274">
        <v>1347.8500023000001</v>
      </c>
      <c r="P31" s="274">
        <v>1347.8500023000001</v>
      </c>
      <c r="Q31" s="274">
        <v>1347.8500023000001</v>
      </c>
      <c r="R31" s="305">
        <v>1347.8500023000001</v>
      </c>
      <c r="S31" s="305"/>
      <c r="T31" s="305"/>
      <c r="U31" s="305"/>
      <c r="V31" s="273"/>
      <c r="W31" s="273"/>
      <c r="X31" s="273"/>
      <c r="Y31" s="273"/>
    </row>
    <row r="32" spans="1:25" ht="12.75">
      <c r="A32" s="304">
        <v>91</v>
      </c>
      <c r="B32" s="262" t="s">
        <v>170</v>
      </c>
      <c r="C32" s="260">
        <v>1</v>
      </c>
      <c r="D32" s="274">
        <v>2595072.82404</v>
      </c>
      <c r="E32" s="274">
        <v>2619400.911592941</v>
      </c>
      <c r="F32" s="274">
        <v>2721936.0866296333</v>
      </c>
      <c r="G32" s="274">
        <v>1179634.2171927267</v>
      </c>
      <c r="H32" s="274">
        <v>1113261.2272953477</v>
      </c>
      <c r="I32" s="274">
        <v>528591.45728</v>
      </c>
      <c r="J32" s="274">
        <v>598972.3425860001</v>
      </c>
      <c r="K32" s="274">
        <v>650591.09417</v>
      </c>
      <c r="L32" s="274">
        <v>502155.262005</v>
      </c>
      <c r="M32" s="274">
        <v>508471.6803950001</v>
      </c>
      <c r="N32" s="274">
        <v>256715.68355000002</v>
      </c>
      <c r="O32" s="274">
        <v>263958.2218453584</v>
      </c>
      <c r="P32" s="274">
        <v>263958.2218453584</v>
      </c>
      <c r="Q32" s="274">
        <v>263958.2218453584</v>
      </c>
      <c r="R32" s="305">
        <v>263958.2218453584</v>
      </c>
      <c r="S32" s="305"/>
      <c r="T32" s="305"/>
      <c r="U32" s="305"/>
      <c r="V32" s="273"/>
      <c r="W32" s="273"/>
      <c r="X32" s="273"/>
      <c r="Y32" s="273"/>
    </row>
    <row r="33" spans="1:25" ht="12.75">
      <c r="A33" s="304">
        <v>97</v>
      </c>
      <c r="B33" s="306" t="s">
        <v>171</v>
      </c>
      <c r="C33" s="260">
        <v>10</v>
      </c>
      <c r="D33" s="274">
        <v>5879.09933</v>
      </c>
      <c r="E33" s="274">
        <v>5532.399672709098</v>
      </c>
      <c r="F33" s="274">
        <v>5848.19133277196</v>
      </c>
      <c r="G33" s="274">
        <v>2946.912721993842</v>
      </c>
      <c r="H33" s="274">
        <v>2852.217055830041</v>
      </c>
      <c r="I33" s="274">
        <v>936.6709000000001</v>
      </c>
      <c r="J33" s="274">
        <v>900.3498639999999</v>
      </c>
      <c r="K33" s="274">
        <v>976.525284</v>
      </c>
      <c r="L33" s="274">
        <v>753.7258260000001</v>
      </c>
      <c r="M33" s="274">
        <v>763.2066540000001</v>
      </c>
      <c r="N33" s="274">
        <v>1298.7503000000002</v>
      </c>
      <c r="O33" s="274">
        <v>1280.1354070296002</v>
      </c>
      <c r="P33" s="274">
        <v>1280.1354070296002</v>
      </c>
      <c r="Q33" s="274">
        <v>1280.1354070296002</v>
      </c>
      <c r="R33" s="305">
        <v>1280.1354070296002</v>
      </c>
      <c r="S33" s="305"/>
      <c r="T33" s="305"/>
      <c r="U33" s="305"/>
      <c r="V33" s="273"/>
      <c r="W33" s="273"/>
      <c r="X33" s="273"/>
      <c r="Y33" s="273"/>
    </row>
    <row r="34" spans="1:25" ht="12.75">
      <c r="A34" s="304">
        <v>98</v>
      </c>
      <c r="B34" s="262" t="s">
        <v>172</v>
      </c>
      <c r="C34" s="260">
        <v>7</v>
      </c>
      <c r="D34" s="274">
        <v>83598.01123</v>
      </c>
      <c r="E34" s="274">
        <v>84038.98775257367</v>
      </c>
      <c r="F34" s="274">
        <v>87089.53542559469</v>
      </c>
      <c r="G34" s="274">
        <v>45497.44554916629</v>
      </c>
      <c r="H34" s="274">
        <v>44313.90930838662</v>
      </c>
      <c r="I34" s="274">
        <v>3007.41336</v>
      </c>
      <c r="J34" s="274">
        <v>2908.4797329999997</v>
      </c>
      <c r="K34" s="274">
        <v>3144.9610059999995</v>
      </c>
      <c r="L34" s="274">
        <v>2427.421359</v>
      </c>
      <c r="M34" s="274">
        <v>2457.954961</v>
      </c>
      <c r="N34" s="274">
        <v>5377.16708</v>
      </c>
      <c r="O34" s="274">
        <v>5410.316000604</v>
      </c>
      <c r="P34" s="274">
        <v>5410.316000604</v>
      </c>
      <c r="Q34" s="274">
        <v>5410.316000604</v>
      </c>
      <c r="R34" s="305">
        <v>5410.316000604</v>
      </c>
      <c r="S34" s="305"/>
      <c r="T34" s="305"/>
      <c r="U34" s="305"/>
      <c r="V34" s="273"/>
      <c r="W34" s="273"/>
      <c r="X34" s="273"/>
      <c r="Y34" s="273"/>
    </row>
    <row r="35" spans="1:25" ht="12.75">
      <c r="A35" s="304">
        <v>99</v>
      </c>
      <c r="B35" s="262" t="s">
        <v>173</v>
      </c>
      <c r="C35" s="260">
        <v>4</v>
      </c>
      <c r="D35" s="274">
        <v>4595.4900099999995</v>
      </c>
      <c r="E35" s="274">
        <v>4462.627938390349</v>
      </c>
      <c r="F35" s="274">
        <v>4821.659269336702</v>
      </c>
      <c r="G35" s="274">
        <v>2656.1731459539396</v>
      </c>
      <c r="H35" s="274">
        <v>2625.411078206982</v>
      </c>
      <c r="I35" s="274">
        <v>893.55493</v>
      </c>
      <c r="J35" s="274">
        <v>708.3104620000001</v>
      </c>
      <c r="K35" s="274">
        <v>767.9035220000001</v>
      </c>
      <c r="L35" s="274">
        <v>592.702233</v>
      </c>
      <c r="M35" s="274">
        <v>600.1576070000001</v>
      </c>
      <c r="N35" s="274">
        <v>488.63815999999997</v>
      </c>
      <c r="O35" s="274">
        <v>631.3322090255999</v>
      </c>
      <c r="P35" s="274">
        <v>631.3322090255999</v>
      </c>
      <c r="Q35" s="274">
        <v>631.3322090255999</v>
      </c>
      <c r="R35" s="305">
        <v>631.3322090255999</v>
      </c>
      <c r="S35" s="305"/>
      <c r="T35" s="305"/>
      <c r="U35" s="305"/>
      <c r="V35" s="273"/>
      <c r="W35" s="273"/>
      <c r="X35" s="273"/>
      <c r="Y35" s="273"/>
    </row>
    <row r="36" spans="1:25" ht="12.75">
      <c r="A36" s="304">
        <v>102</v>
      </c>
      <c r="B36" s="262" t="s">
        <v>174</v>
      </c>
      <c r="C36" s="260">
        <v>4</v>
      </c>
      <c r="D36" s="274">
        <v>29763.13816</v>
      </c>
      <c r="E36" s="274">
        <v>29336.276283330215</v>
      </c>
      <c r="F36" s="274">
        <v>30755.473908650558</v>
      </c>
      <c r="G36" s="274">
        <v>16073.393291450078</v>
      </c>
      <c r="H36" s="274">
        <v>15666.508870832004</v>
      </c>
      <c r="I36" s="274">
        <v>1974.8603</v>
      </c>
      <c r="J36" s="274">
        <v>1957.0588450000002</v>
      </c>
      <c r="K36" s="274">
        <v>2118.776332</v>
      </c>
      <c r="L36" s="274">
        <v>1635.3661980000002</v>
      </c>
      <c r="M36" s="274">
        <v>1655.936842</v>
      </c>
      <c r="N36" s="274">
        <v>2242.35852</v>
      </c>
      <c r="O36" s="274">
        <v>2205.100505724</v>
      </c>
      <c r="P36" s="274">
        <v>2205.100505724</v>
      </c>
      <c r="Q36" s="274">
        <v>2205.100505724</v>
      </c>
      <c r="R36" s="305">
        <v>2205.100505724</v>
      </c>
      <c r="S36" s="305"/>
      <c r="T36" s="305"/>
      <c r="U36" s="305"/>
      <c r="V36" s="273"/>
      <c r="W36" s="273"/>
      <c r="X36" s="273"/>
      <c r="Y36" s="273"/>
    </row>
    <row r="37" spans="1:25" ht="12.75">
      <c r="A37" s="304">
        <v>103</v>
      </c>
      <c r="B37" s="262" t="s">
        <v>175</v>
      </c>
      <c r="C37" s="260">
        <v>5</v>
      </c>
      <c r="D37" s="274">
        <v>6683.93784</v>
      </c>
      <c r="E37" s="274">
        <v>6704.262918553338</v>
      </c>
      <c r="F37" s="274">
        <v>6921.257072995392</v>
      </c>
      <c r="G37" s="274">
        <v>3830.6202575365287</v>
      </c>
      <c r="H37" s="274">
        <v>3772.861245804814</v>
      </c>
      <c r="I37" s="274">
        <v>467.78868</v>
      </c>
      <c r="J37" s="274">
        <v>399.138374</v>
      </c>
      <c r="K37" s="274">
        <v>432.07696599999997</v>
      </c>
      <c r="L37" s="274">
        <v>333.496299</v>
      </c>
      <c r="M37" s="274">
        <v>337.69122100000004</v>
      </c>
      <c r="N37" s="274">
        <v>501.08074</v>
      </c>
      <c r="O37" s="274">
        <v>537.437101344</v>
      </c>
      <c r="P37" s="274">
        <v>537.437101344</v>
      </c>
      <c r="Q37" s="274">
        <v>537.437101344</v>
      </c>
      <c r="R37" s="305">
        <v>537.437101344</v>
      </c>
      <c r="S37" s="305"/>
      <c r="T37" s="305"/>
      <c r="U37" s="305"/>
      <c r="V37" s="273"/>
      <c r="W37" s="273"/>
      <c r="X37" s="273"/>
      <c r="Y37" s="273"/>
    </row>
    <row r="38" spans="1:25" ht="12.75">
      <c r="A38" s="304">
        <v>105</v>
      </c>
      <c r="B38" s="262" t="s">
        <v>176</v>
      </c>
      <c r="C38" s="260">
        <v>18</v>
      </c>
      <c r="D38" s="274">
        <v>6248.3405999999995</v>
      </c>
      <c r="E38" s="274">
        <v>6133.806053078386</v>
      </c>
      <c r="F38" s="274">
        <v>6341.316537572942</v>
      </c>
      <c r="G38" s="274">
        <v>3406.188458461597</v>
      </c>
      <c r="H38" s="274">
        <v>3374.8241557760384</v>
      </c>
      <c r="I38" s="274">
        <v>801.1418299999999</v>
      </c>
      <c r="J38" s="274">
        <v>764.8375180000002</v>
      </c>
      <c r="K38" s="274">
        <v>828.2304160000001</v>
      </c>
      <c r="L38" s="274">
        <v>639.265224</v>
      </c>
      <c r="M38" s="274">
        <v>647.306296</v>
      </c>
      <c r="N38" s="274">
        <v>850.67689</v>
      </c>
      <c r="O38" s="274">
        <v>1159.8301391472</v>
      </c>
      <c r="P38" s="274">
        <v>1159.8301391472</v>
      </c>
      <c r="Q38" s="274">
        <v>1159.8301391472</v>
      </c>
      <c r="R38" s="305">
        <v>1159.8301391472</v>
      </c>
      <c r="S38" s="305"/>
      <c r="T38" s="305"/>
      <c r="U38" s="305"/>
      <c r="V38" s="273"/>
      <c r="W38" s="273"/>
      <c r="X38" s="273"/>
      <c r="Y38" s="273"/>
    </row>
    <row r="39" spans="1:25" ht="12.75">
      <c r="A39" s="304">
        <v>106</v>
      </c>
      <c r="B39" s="262" t="s">
        <v>177</v>
      </c>
      <c r="C39" s="260">
        <v>1</v>
      </c>
      <c r="D39" s="274">
        <v>173505.62092</v>
      </c>
      <c r="E39" s="274">
        <v>177672.2588937188</v>
      </c>
      <c r="F39" s="274">
        <v>185378.07199162143</v>
      </c>
      <c r="G39" s="274">
        <v>90501.39704456444</v>
      </c>
      <c r="H39" s="274">
        <v>87090.82453565394</v>
      </c>
      <c r="I39" s="274">
        <v>11470.926449999999</v>
      </c>
      <c r="J39" s="274">
        <v>12283.946533</v>
      </c>
      <c r="K39" s="274">
        <v>13296.709192</v>
      </c>
      <c r="L39" s="274">
        <v>10262.993988</v>
      </c>
      <c r="M39" s="274">
        <v>10392.088252</v>
      </c>
      <c r="N39" s="274">
        <v>13356.17468</v>
      </c>
      <c r="O39" s="274">
        <v>13460.652819432002</v>
      </c>
      <c r="P39" s="274">
        <v>13460.652819432002</v>
      </c>
      <c r="Q39" s="274">
        <v>13460.652819432002</v>
      </c>
      <c r="R39" s="305">
        <v>13460.652819432002</v>
      </c>
      <c r="S39" s="305"/>
      <c r="T39" s="305"/>
      <c r="U39" s="305"/>
      <c r="V39" s="273"/>
      <c r="W39" s="273"/>
      <c r="X39" s="273"/>
      <c r="Y39" s="273"/>
    </row>
    <row r="40" spans="1:25" ht="12.75">
      <c r="A40" s="304">
        <v>108</v>
      </c>
      <c r="B40" s="262" t="s">
        <v>178</v>
      </c>
      <c r="C40" s="260">
        <v>6</v>
      </c>
      <c r="D40" s="274">
        <v>34469.53259</v>
      </c>
      <c r="E40" s="274">
        <v>34885.47458332978</v>
      </c>
      <c r="F40" s="274">
        <v>36273.87097600333</v>
      </c>
      <c r="G40" s="274">
        <v>20140.618199406446</v>
      </c>
      <c r="H40" s="274">
        <v>19747.030565036846</v>
      </c>
      <c r="I40" s="274">
        <v>1636.37447</v>
      </c>
      <c r="J40" s="274">
        <v>1701.6648880000002</v>
      </c>
      <c r="K40" s="274">
        <v>1846.5207580000001</v>
      </c>
      <c r="L40" s="274">
        <v>1425.227187</v>
      </c>
      <c r="M40" s="274">
        <v>1443.154573</v>
      </c>
      <c r="N40" s="274">
        <v>2130.66372</v>
      </c>
      <c r="O40" s="274">
        <v>2088.2965021152</v>
      </c>
      <c r="P40" s="274">
        <v>2088.2965021152</v>
      </c>
      <c r="Q40" s="274">
        <v>2088.2965021152</v>
      </c>
      <c r="R40" s="305">
        <v>2088.2965021152</v>
      </c>
      <c r="S40" s="305"/>
      <c r="T40" s="305"/>
      <c r="U40" s="305"/>
      <c r="V40" s="273"/>
      <c r="W40" s="273"/>
      <c r="X40" s="273"/>
      <c r="Y40" s="273"/>
    </row>
    <row r="41" spans="1:25" ht="12.75">
      <c r="A41" s="304">
        <v>109</v>
      </c>
      <c r="B41" s="262" t="s">
        <v>179</v>
      </c>
      <c r="C41" s="260">
        <v>5</v>
      </c>
      <c r="D41" s="274">
        <v>238146.01615</v>
      </c>
      <c r="E41" s="274">
        <v>243650.49629758202</v>
      </c>
      <c r="F41" s="274">
        <v>253809.57758261738</v>
      </c>
      <c r="G41" s="274">
        <v>131161.50332670414</v>
      </c>
      <c r="H41" s="274">
        <v>127654.37411871062</v>
      </c>
      <c r="I41" s="274">
        <v>16011.405470000002</v>
      </c>
      <c r="J41" s="274">
        <v>16102.585889999998</v>
      </c>
      <c r="K41" s="274">
        <v>17438.043375999998</v>
      </c>
      <c r="L41" s="274">
        <v>13459.460664</v>
      </c>
      <c r="M41" s="274">
        <v>13628.762056</v>
      </c>
      <c r="N41" s="274">
        <v>26918.5103</v>
      </c>
      <c r="O41" s="274">
        <v>27400.074011772</v>
      </c>
      <c r="P41" s="274">
        <v>27400.074011772</v>
      </c>
      <c r="Q41" s="274">
        <v>27400.074011772</v>
      </c>
      <c r="R41" s="305">
        <v>27400.074011772</v>
      </c>
      <c r="S41" s="305"/>
      <c r="T41" s="305"/>
      <c r="U41" s="305"/>
      <c r="V41" s="273"/>
      <c r="W41" s="273"/>
      <c r="X41" s="273"/>
      <c r="Y41" s="273"/>
    </row>
    <row r="42" spans="1:25" ht="12.75">
      <c r="A42" s="304">
        <v>139</v>
      </c>
      <c r="B42" s="262" t="s">
        <v>180</v>
      </c>
      <c r="C42" s="260">
        <v>17</v>
      </c>
      <c r="D42" s="274">
        <v>26594.66742</v>
      </c>
      <c r="E42" s="274">
        <v>28514.10180781477</v>
      </c>
      <c r="F42" s="274">
        <v>29001.155781991623</v>
      </c>
      <c r="G42" s="274">
        <v>15603.101775273151</v>
      </c>
      <c r="H42" s="274">
        <v>15333.352199715167</v>
      </c>
      <c r="I42" s="274">
        <v>1526.46696</v>
      </c>
      <c r="J42" s="274">
        <v>1411.444882</v>
      </c>
      <c r="K42" s="274">
        <v>1529.744876</v>
      </c>
      <c r="L42" s="274">
        <v>1180.7254139999998</v>
      </c>
      <c r="M42" s="274">
        <v>1195.577306</v>
      </c>
      <c r="N42" s="274">
        <v>3519.9227400000004</v>
      </c>
      <c r="O42" s="274">
        <v>4221.573641652</v>
      </c>
      <c r="P42" s="274">
        <v>4221.573641652</v>
      </c>
      <c r="Q42" s="274">
        <v>4221.573641652</v>
      </c>
      <c r="R42" s="305">
        <v>4221.573641652</v>
      </c>
      <c r="S42" s="305"/>
      <c r="T42" s="305"/>
      <c r="U42" s="305"/>
      <c r="V42" s="273"/>
      <c r="W42" s="273"/>
      <c r="X42" s="273"/>
      <c r="Y42" s="273"/>
    </row>
    <row r="43" spans="1:25" ht="12.75">
      <c r="A43" s="304">
        <v>140</v>
      </c>
      <c r="B43" s="262" t="s">
        <v>181</v>
      </c>
      <c r="C43" s="260">
        <v>11</v>
      </c>
      <c r="D43" s="274">
        <v>64543.431840000005</v>
      </c>
      <c r="E43" s="274">
        <v>63219.053230899975</v>
      </c>
      <c r="F43" s="274">
        <v>66256.17426400182</v>
      </c>
      <c r="G43" s="274">
        <v>33765.67380977471</v>
      </c>
      <c r="H43" s="274">
        <v>33058.54902120749</v>
      </c>
      <c r="I43" s="274">
        <v>5255.20781</v>
      </c>
      <c r="J43" s="274">
        <v>5996.378350000001</v>
      </c>
      <c r="K43" s="274">
        <v>6498.817548000001</v>
      </c>
      <c r="L43" s="274">
        <v>5016.077622000001</v>
      </c>
      <c r="M43" s="274">
        <v>5079.172938</v>
      </c>
      <c r="N43" s="274">
        <v>5774.5183799999995</v>
      </c>
      <c r="O43" s="274">
        <v>5710.409107687199</v>
      </c>
      <c r="P43" s="274">
        <v>5710.409107687199</v>
      </c>
      <c r="Q43" s="274">
        <v>5710.409107687199</v>
      </c>
      <c r="R43" s="305">
        <v>5710.409107687199</v>
      </c>
      <c r="S43" s="305"/>
      <c r="T43" s="305"/>
      <c r="U43" s="305"/>
      <c r="V43" s="273"/>
      <c r="W43" s="273"/>
      <c r="X43" s="273"/>
      <c r="Y43" s="273"/>
    </row>
    <row r="44" spans="1:25" ht="12.75">
      <c r="A44" s="304">
        <v>142</v>
      </c>
      <c r="B44" s="262" t="s">
        <v>182</v>
      </c>
      <c r="C44" s="260">
        <v>8</v>
      </c>
      <c r="D44" s="274">
        <v>20212.66334</v>
      </c>
      <c r="E44" s="274">
        <v>20244.367798789575</v>
      </c>
      <c r="F44" s="274">
        <v>21585.21689108375</v>
      </c>
      <c r="G44" s="274">
        <v>11036.152071205597</v>
      </c>
      <c r="H44" s="274">
        <v>10805.776260912062</v>
      </c>
      <c r="I44" s="274">
        <v>1491.76326</v>
      </c>
      <c r="J44" s="274">
        <v>1439.7130330000002</v>
      </c>
      <c r="K44" s="274">
        <v>1558.804678</v>
      </c>
      <c r="L44" s="274">
        <v>1203.155067</v>
      </c>
      <c r="M44" s="274">
        <v>1218.289093</v>
      </c>
      <c r="N44" s="274">
        <v>2462.8474100000003</v>
      </c>
      <c r="O44" s="274">
        <v>2444.9387857919996</v>
      </c>
      <c r="P44" s="274">
        <v>2444.9387857919996</v>
      </c>
      <c r="Q44" s="274">
        <v>2444.9387857919996</v>
      </c>
      <c r="R44" s="305">
        <v>2444.9387857919996</v>
      </c>
      <c r="S44" s="305"/>
      <c r="T44" s="305"/>
      <c r="U44" s="305"/>
      <c r="V44" s="273"/>
      <c r="W44" s="273"/>
      <c r="X44" s="273"/>
      <c r="Y44" s="273"/>
    </row>
    <row r="45" spans="1:25" ht="12.75">
      <c r="A45" s="304">
        <v>143</v>
      </c>
      <c r="B45" s="262" t="s">
        <v>183</v>
      </c>
      <c r="C45" s="260">
        <v>6</v>
      </c>
      <c r="D45" s="274">
        <v>20748.685989999998</v>
      </c>
      <c r="E45" s="274">
        <v>20882.85865455228</v>
      </c>
      <c r="F45" s="274">
        <v>21485.560332799338</v>
      </c>
      <c r="G45" s="274">
        <v>11458.688996716828</v>
      </c>
      <c r="H45" s="274">
        <v>11274.985041066417</v>
      </c>
      <c r="I45" s="274">
        <v>1732.3463000000002</v>
      </c>
      <c r="J45" s="274">
        <v>1707.942542</v>
      </c>
      <c r="K45" s="274">
        <v>1850.316102</v>
      </c>
      <c r="L45" s="274">
        <v>1428.1566030000001</v>
      </c>
      <c r="M45" s="274">
        <v>1446.1208369999997</v>
      </c>
      <c r="N45" s="274">
        <v>2895.3529700000004</v>
      </c>
      <c r="O45" s="274">
        <v>2888.2901786544</v>
      </c>
      <c r="P45" s="274">
        <v>2888.2901786544</v>
      </c>
      <c r="Q45" s="274">
        <v>2888.2901786544</v>
      </c>
      <c r="R45" s="305">
        <v>2888.2901786544</v>
      </c>
      <c r="S45" s="305"/>
      <c r="T45" s="305"/>
      <c r="U45" s="305"/>
      <c r="V45" s="273"/>
      <c r="W45" s="273"/>
      <c r="X45" s="273"/>
      <c r="Y45" s="273"/>
    </row>
    <row r="46" spans="1:25" ht="12.75">
      <c r="A46" s="304">
        <v>145</v>
      </c>
      <c r="B46" s="262" t="s">
        <v>184</v>
      </c>
      <c r="C46" s="260">
        <v>14</v>
      </c>
      <c r="D46" s="274">
        <v>35208.18415</v>
      </c>
      <c r="E46" s="274">
        <v>36490.06051183684</v>
      </c>
      <c r="F46" s="274">
        <v>38343.36933195737</v>
      </c>
      <c r="G46" s="274">
        <v>20137.225284893928</v>
      </c>
      <c r="H46" s="274">
        <v>19597.70324025599</v>
      </c>
      <c r="I46" s="274">
        <v>1430.44221</v>
      </c>
      <c r="J46" s="274">
        <v>1495.180165</v>
      </c>
      <c r="K46" s="274">
        <v>1619.5901279999998</v>
      </c>
      <c r="L46" s="274">
        <v>1250.0719919999997</v>
      </c>
      <c r="M46" s="274">
        <v>1265.796168</v>
      </c>
      <c r="N46" s="274">
        <v>2305.63637</v>
      </c>
      <c r="O46" s="274">
        <v>2485.0738394928</v>
      </c>
      <c r="P46" s="274">
        <v>2485.0738394928</v>
      </c>
      <c r="Q46" s="274">
        <v>2485.0738394928</v>
      </c>
      <c r="R46" s="305">
        <v>2485.0738394928</v>
      </c>
      <c r="S46" s="305"/>
      <c r="T46" s="305"/>
      <c r="U46" s="305"/>
      <c r="V46" s="273"/>
      <c r="W46" s="273"/>
      <c r="X46" s="273"/>
      <c r="Y46" s="273"/>
    </row>
    <row r="47" spans="1:25" ht="12.75">
      <c r="A47" s="304">
        <v>146</v>
      </c>
      <c r="B47" s="262" t="s">
        <v>185</v>
      </c>
      <c r="C47" s="260">
        <v>12</v>
      </c>
      <c r="D47" s="274">
        <v>13573.08609</v>
      </c>
      <c r="E47" s="274">
        <v>13354.451953614287</v>
      </c>
      <c r="F47" s="274">
        <v>13741.285872564502</v>
      </c>
      <c r="G47" s="274">
        <v>7057.050339400071</v>
      </c>
      <c r="H47" s="274">
        <v>6951.774439912324</v>
      </c>
      <c r="I47" s="274">
        <v>3414.49001</v>
      </c>
      <c r="J47" s="274">
        <v>3161.4406110000004</v>
      </c>
      <c r="K47" s="274">
        <v>3427.832584</v>
      </c>
      <c r="L47" s="274">
        <v>2645.754276</v>
      </c>
      <c r="M47" s="274">
        <v>2679.034204</v>
      </c>
      <c r="N47" s="274">
        <v>1371.86445</v>
      </c>
      <c r="O47" s="274">
        <v>1357.4508636336</v>
      </c>
      <c r="P47" s="274">
        <v>1357.4508636336</v>
      </c>
      <c r="Q47" s="274">
        <v>1357.4508636336</v>
      </c>
      <c r="R47" s="305">
        <v>1357.4508636336</v>
      </c>
      <c r="S47" s="305"/>
      <c r="T47" s="305"/>
      <c r="U47" s="305"/>
      <c r="V47" s="273"/>
      <c r="W47" s="273"/>
      <c r="X47" s="273"/>
      <c r="Y47" s="273"/>
    </row>
    <row r="48" spans="1:25" ht="12.75">
      <c r="A48" s="304">
        <v>153</v>
      </c>
      <c r="B48" s="262" t="s">
        <v>186</v>
      </c>
      <c r="C48" s="260">
        <v>9</v>
      </c>
      <c r="D48" s="274">
        <v>91183.36475</v>
      </c>
      <c r="E48" s="274">
        <v>92781.82123805898</v>
      </c>
      <c r="F48" s="274">
        <v>95436.9737260868</v>
      </c>
      <c r="G48" s="274">
        <v>46584.977525956485</v>
      </c>
      <c r="H48" s="274">
        <v>45413.8021161357</v>
      </c>
      <c r="I48" s="274">
        <v>4486.980860000001</v>
      </c>
      <c r="J48" s="274">
        <v>3861.1219469999996</v>
      </c>
      <c r="K48" s="274">
        <v>4163.053382</v>
      </c>
      <c r="L48" s="274">
        <v>3213.2305229999997</v>
      </c>
      <c r="M48" s="274">
        <v>3253.648517</v>
      </c>
      <c r="N48" s="274">
        <v>9919.61325</v>
      </c>
      <c r="O48" s="274">
        <v>10217.95943562</v>
      </c>
      <c r="P48" s="274">
        <v>10217.95943562</v>
      </c>
      <c r="Q48" s="274">
        <v>10217.95943562</v>
      </c>
      <c r="R48" s="305">
        <v>10217.95943562</v>
      </c>
      <c r="S48" s="305"/>
      <c r="T48" s="305"/>
      <c r="U48" s="305"/>
      <c r="V48" s="273"/>
      <c r="W48" s="273"/>
      <c r="X48" s="273"/>
      <c r="Y48" s="273"/>
    </row>
    <row r="49" spans="1:25" ht="12.75">
      <c r="A49" s="304">
        <v>148</v>
      </c>
      <c r="B49" s="262" t="s">
        <v>187</v>
      </c>
      <c r="C49" s="260">
        <v>19</v>
      </c>
      <c r="D49" s="274">
        <v>19853.24732</v>
      </c>
      <c r="E49" s="274">
        <v>21193.4725484075</v>
      </c>
      <c r="F49" s="274">
        <v>21547.467285290357</v>
      </c>
      <c r="G49" s="274">
        <v>10241.987552561986</v>
      </c>
      <c r="H49" s="274">
        <v>9826.629268702312</v>
      </c>
      <c r="I49" s="274">
        <v>2577.9975499999996</v>
      </c>
      <c r="J49" s="274">
        <v>2542.9962689999998</v>
      </c>
      <c r="K49" s="274">
        <v>2755.679922</v>
      </c>
      <c r="L49" s="274">
        <v>2126.9568329999997</v>
      </c>
      <c r="M49" s="274">
        <v>2153.711007</v>
      </c>
      <c r="N49" s="274">
        <v>4245.505139999999</v>
      </c>
      <c r="O49" s="274">
        <v>4372.4534602680005</v>
      </c>
      <c r="P49" s="274">
        <v>4372.4534602680005</v>
      </c>
      <c r="Q49" s="274">
        <v>4372.4534602680005</v>
      </c>
      <c r="R49" s="305">
        <v>4372.4534602680005</v>
      </c>
      <c r="S49" s="305"/>
      <c r="T49" s="305"/>
      <c r="U49" s="305"/>
      <c r="V49" s="273"/>
      <c r="W49" s="273"/>
      <c r="X49" s="273"/>
      <c r="Y49" s="273"/>
    </row>
    <row r="50" spans="1:25" ht="12.75">
      <c r="A50" s="304">
        <v>149</v>
      </c>
      <c r="B50" s="262" t="s">
        <v>188</v>
      </c>
      <c r="C50" s="260">
        <v>1</v>
      </c>
      <c r="D50" s="274">
        <v>21433.02892</v>
      </c>
      <c r="E50" s="274">
        <v>21885.49574914213</v>
      </c>
      <c r="F50" s="274">
        <v>23070.48239151201</v>
      </c>
      <c r="G50" s="274">
        <v>11846.642852226021</v>
      </c>
      <c r="H50" s="274">
        <v>11461.613789878764</v>
      </c>
      <c r="I50" s="274">
        <v>1107.23934</v>
      </c>
      <c r="J50" s="274">
        <v>1114.789974</v>
      </c>
      <c r="K50" s="274">
        <v>1197.96622</v>
      </c>
      <c r="L50" s="274">
        <v>924.6438300000001</v>
      </c>
      <c r="M50" s="274">
        <v>936.27457</v>
      </c>
      <c r="N50" s="274">
        <v>3038.2486400000003</v>
      </c>
      <c r="O50" s="274">
        <v>3023.700019524</v>
      </c>
      <c r="P50" s="274">
        <v>3023.700019524</v>
      </c>
      <c r="Q50" s="274">
        <v>3023.700019524</v>
      </c>
      <c r="R50" s="305">
        <v>3023.700019524</v>
      </c>
      <c r="S50" s="305"/>
      <c r="T50" s="305"/>
      <c r="U50" s="305"/>
      <c r="V50" s="273"/>
      <c r="W50" s="273"/>
      <c r="X50" s="273"/>
      <c r="Y50" s="273"/>
    </row>
    <row r="51" spans="1:25" ht="12.75">
      <c r="A51" s="304">
        <v>151</v>
      </c>
      <c r="B51" s="262" t="s">
        <v>189</v>
      </c>
      <c r="C51" s="260">
        <v>14</v>
      </c>
      <c r="D51" s="274">
        <v>5409.043019999999</v>
      </c>
      <c r="E51" s="274">
        <v>5351.09520978495</v>
      </c>
      <c r="F51" s="274">
        <v>5565.570990586522</v>
      </c>
      <c r="G51" s="274">
        <v>3101.9622447897764</v>
      </c>
      <c r="H51" s="274">
        <v>3052.538241009833</v>
      </c>
      <c r="I51" s="274">
        <v>656.54044</v>
      </c>
      <c r="J51" s="274">
        <v>631.992305</v>
      </c>
      <c r="K51" s="274">
        <v>684.391946</v>
      </c>
      <c r="L51" s="274">
        <v>528.244269</v>
      </c>
      <c r="M51" s="274">
        <v>534.8888509999999</v>
      </c>
      <c r="N51" s="274">
        <v>446.73111</v>
      </c>
      <c r="O51" s="274">
        <v>443.8601339496</v>
      </c>
      <c r="P51" s="274">
        <v>443.8601339496</v>
      </c>
      <c r="Q51" s="274">
        <v>443.8601339496</v>
      </c>
      <c r="R51" s="305">
        <v>443.8601339496</v>
      </c>
      <c r="S51" s="305"/>
      <c r="T51" s="305"/>
      <c r="U51" s="305"/>
      <c r="V51" s="273"/>
      <c r="W51" s="273"/>
      <c r="X51" s="273"/>
      <c r="Y51" s="273"/>
    </row>
    <row r="52" spans="1:25" ht="12.75">
      <c r="A52" s="304">
        <v>152</v>
      </c>
      <c r="B52" s="307" t="s">
        <v>190</v>
      </c>
      <c r="C52" s="260">
        <v>15</v>
      </c>
      <c r="D52" s="274">
        <v>13541.88616</v>
      </c>
      <c r="E52" s="274">
        <v>13876.928948426308</v>
      </c>
      <c r="F52" s="274">
        <v>14329.740824935236</v>
      </c>
      <c r="G52" s="274">
        <v>7748.539140003573</v>
      </c>
      <c r="H52" s="274">
        <v>7602.5540614753445</v>
      </c>
      <c r="I52" s="274">
        <v>636.25184</v>
      </c>
      <c r="J52" s="274">
        <v>583.7255449999999</v>
      </c>
      <c r="K52" s="274">
        <v>631.9445519999999</v>
      </c>
      <c r="L52" s="274">
        <v>487.76302799999996</v>
      </c>
      <c r="M52" s="274">
        <v>493.898412</v>
      </c>
      <c r="N52" s="274">
        <v>885.58245</v>
      </c>
      <c r="O52" s="274">
        <v>883.8440152968</v>
      </c>
      <c r="P52" s="274">
        <v>883.8440152968</v>
      </c>
      <c r="Q52" s="274">
        <v>883.8440152968</v>
      </c>
      <c r="R52" s="305">
        <v>883.8440152968</v>
      </c>
      <c r="S52" s="305"/>
      <c r="T52" s="305"/>
      <c r="U52" s="305"/>
      <c r="V52" s="273"/>
      <c r="W52" s="273"/>
      <c r="X52" s="273"/>
      <c r="Y52" s="273"/>
    </row>
    <row r="53" spans="1:25" ht="12.75">
      <c r="A53" s="304">
        <v>165</v>
      </c>
      <c r="B53" s="262" t="s">
        <v>191</v>
      </c>
      <c r="C53" s="260">
        <v>5</v>
      </c>
      <c r="D53" s="274">
        <v>58494.9634</v>
      </c>
      <c r="E53" s="274">
        <v>59409.39084029544</v>
      </c>
      <c r="F53" s="274">
        <v>61748.59415532344</v>
      </c>
      <c r="G53" s="274">
        <v>32161.296995705274</v>
      </c>
      <c r="H53" s="274">
        <v>31358.741491256118</v>
      </c>
      <c r="I53" s="274">
        <v>2676.1019300000003</v>
      </c>
      <c r="J53" s="274">
        <v>2133.539733</v>
      </c>
      <c r="K53" s="274">
        <v>2307.14335</v>
      </c>
      <c r="L53" s="274">
        <v>1780.7562750000002</v>
      </c>
      <c r="M53" s="274">
        <v>1803.155725</v>
      </c>
      <c r="N53" s="274">
        <v>3636.52337</v>
      </c>
      <c r="O53" s="274">
        <v>3632.633689536001</v>
      </c>
      <c r="P53" s="274">
        <v>3632.633689536001</v>
      </c>
      <c r="Q53" s="274">
        <v>3632.633689536001</v>
      </c>
      <c r="R53" s="305">
        <v>3632.633689536001</v>
      </c>
      <c r="S53" s="305"/>
      <c r="T53" s="305"/>
      <c r="U53" s="305"/>
      <c r="V53" s="273"/>
      <c r="W53" s="273"/>
      <c r="X53" s="273"/>
      <c r="Y53" s="273"/>
    </row>
    <row r="54" spans="1:25" ht="12.75">
      <c r="A54" s="304">
        <v>167</v>
      </c>
      <c r="B54" s="262" t="s">
        <v>192</v>
      </c>
      <c r="C54" s="260">
        <v>12</v>
      </c>
      <c r="D54" s="274">
        <v>220260.92989</v>
      </c>
      <c r="E54" s="274">
        <v>225527.9064126269</v>
      </c>
      <c r="F54" s="274">
        <v>236158.657929142</v>
      </c>
      <c r="G54" s="274">
        <v>122367.64996675836</v>
      </c>
      <c r="H54" s="274">
        <v>119095.67441713379</v>
      </c>
      <c r="I54" s="274">
        <v>21356.18739</v>
      </c>
      <c r="J54" s="274">
        <v>21858.509068</v>
      </c>
      <c r="K54" s="274">
        <v>23702.11692</v>
      </c>
      <c r="L54" s="274">
        <v>18294.35238</v>
      </c>
      <c r="M54" s="274">
        <v>18524.470020000004</v>
      </c>
      <c r="N54" s="274">
        <v>20776.212420000003</v>
      </c>
      <c r="O54" s="274">
        <v>21195.464413715996</v>
      </c>
      <c r="P54" s="274">
        <v>21195.464413715996</v>
      </c>
      <c r="Q54" s="274">
        <v>21195.464413715996</v>
      </c>
      <c r="R54" s="305">
        <v>21195.464413715996</v>
      </c>
      <c r="S54" s="305"/>
      <c r="T54" s="305"/>
      <c r="U54" s="305"/>
      <c r="V54" s="273"/>
      <c r="W54" s="273"/>
      <c r="X54" s="273"/>
      <c r="Y54" s="273"/>
    </row>
    <row r="55" spans="1:25" ht="12.75">
      <c r="A55" s="304">
        <v>169</v>
      </c>
      <c r="B55" s="262" t="s">
        <v>193</v>
      </c>
      <c r="C55" s="260">
        <v>5</v>
      </c>
      <c r="D55" s="274">
        <v>16673.76732</v>
      </c>
      <c r="E55" s="274">
        <v>17333.390377262964</v>
      </c>
      <c r="F55" s="274">
        <v>18275.106335375913</v>
      </c>
      <c r="G55" s="274">
        <v>9599.85155423924</v>
      </c>
      <c r="H55" s="274">
        <v>9387.728219034296</v>
      </c>
      <c r="I55" s="274">
        <v>1079.60055</v>
      </c>
      <c r="J55" s="274">
        <v>1043.179116</v>
      </c>
      <c r="K55" s="274">
        <v>1128.545456</v>
      </c>
      <c r="L55" s="274">
        <v>871.0617839999999</v>
      </c>
      <c r="M55" s="274">
        <v>882.0185359999999</v>
      </c>
      <c r="N55" s="274">
        <v>895.24756</v>
      </c>
      <c r="O55" s="274">
        <v>974.1846598271999</v>
      </c>
      <c r="P55" s="274">
        <v>974.1846598271999</v>
      </c>
      <c r="Q55" s="274">
        <v>974.1846598271999</v>
      </c>
      <c r="R55" s="305">
        <v>974.1846598271999</v>
      </c>
      <c r="S55" s="305"/>
      <c r="T55" s="305"/>
      <c r="U55" s="305"/>
      <c r="V55" s="273"/>
      <c r="W55" s="273"/>
      <c r="X55" s="273"/>
      <c r="Y55" s="273"/>
    </row>
    <row r="56" spans="1:25" ht="12.75">
      <c r="A56" s="304">
        <v>171</v>
      </c>
      <c r="B56" s="262" t="s">
        <v>194</v>
      </c>
      <c r="C56" s="260">
        <v>10</v>
      </c>
      <c r="D56" s="274">
        <v>14749.620050000001</v>
      </c>
      <c r="E56" s="274">
        <v>14369.363372050138</v>
      </c>
      <c r="F56" s="274">
        <v>15090.983547051952</v>
      </c>
      <c r="G56" s="274">
        <v>7741.529710365041</v>
      </c>
      <c r="H56" s="274">
        <v>7587.260668489539</v>
      </c>
      <c r="I56" s="274">
        <v>1488.64748</v>
      </c>
      <c r="J56" s="274">
        <v>1378.3776000000003</v>
      </c>
      <c r="K56" s="274">
        <v>1494.8756679999997</v>
      </c>
      <c r="L56" s="274">
        <v>1153.811802</v>
      </c>
      <c r="M56" s="274">
        <v>1168.3251579999999</v>
      </c>
      <c r="N56" s="274">
        <v>1183.18771</v>
      </c>
      <c r="O56" s="274">
        <v>1185.998436576</v>
      </c>
      <c r="P56" s="274">
        <v>1185.998436576</v>
      </c>
      <c r="Q56" s="274">
        <v>1185.998436576</v>
      </c>
      <c r="R56" s="305">
        <v>1185.998436576</v>
      </c>
      <c r="S56" s="305"/>
      <c r="T56" s="305"/>
      <c r="U56" s="305"/>
      <c r="V56" s="273"/>
      <c r="W56" s="273"/>
      <c r="X56" s="273"/>
      <c r="Y56" s="273"/>
    </row>
    <row r="57" spans="1:25" ht="12.75">
      <c r="A57" s="304">
        <v>172</v>
      </c>
      <c r="B57" s="306" t="s">
        <v>195</v>
      </c>
      <c r="C57" s="260">
        <v>13</v>
      </c>
      <c r="D57" s="274">
        <v>12364.431789999999</v>
      </c>
      <c r="E57" s="274">
        <v>12199.493077064306</v>
      </c>
      <c r="F57" s="274">
        <v>12679.314258683973</v>
      </c>
      <c r="G57" s="274">
        <v>6581.264801406696</v>
      </c>
      <c r="H57" s="274">
        <v>6484.333624609959</v>
      </c>
      <c r="I57" s="274">
        <v>1491.7655</v>
      </c>
      <c r="J57" s="274">
        <v>1518.6717110000002</v>
      </c>
      <c r="K57" s="274">
        <v>1646.6816</v>
      </c>
      <c r="L57" s="274">
        <v>1270.9824</v>
      </c>
      <c r="M57" s="274">
        <v>1286.9696</v>
      </c>
      <c r="N57" s="274">
        <v>1685.8250500000001</v>
      </c>
      <c r="O57" s="274">
        <v>1722.437917392</v>
      </c>
      <c r="P57" s="274">
        <v>1722.437917392</v>
      </c>
      <c r="Q57" s="274">
        <v>1722.437917392</v>
      </c>
      <c r="R57" s="305">
        <v>1722.437917392</v>
      </c>
      <c r="S57" s="305"/>
      <c r="T57" s="305"/>
      <c r="U57" s="305"/>
      <c r="V57" s="273"/>
      <c r="W57" s="273"/>
      <c r="X57" s="273"/>
      <c r="Y57" s="273"/>
    </row>
    <row r="58" spans="1:25" ht="12.75">
      <c r="A58" s="304">
        <v>176</v>
      </c>
      <c r="B58" s="262" t="s">
        <v>197</v>
      </c>
      <c r="C58" s="260">
        <v>12</v>
      </c>
      <c r="D58" s="274">
        <v>11710.34209</v>
      </c>
      <c r="E58" s="274">
        <v>11327.30942142225</v>
      </c>
      <c r="F58" s="274">
        <v>11801.747561511394</v>
      </c>
      <c r="G58" s="274">
        <v>6078.3191034719885</v>
      </c>
      <c r="H58" s="274">
        <v>6000.414060847054</v>
      </c>
      <c r="I58" s="274">
        <v>1860.33384</v>
      </c>
      <c r="J58" s="274">
        <v>1666.3442639999998</v>
      </c>
      <c r="K58" s="274">
        <v>1804.6335419999998</v>
      </c>
      <c r="L58" s="274">
        <v>1392.8967630000002</v>
      </c>
      <c r="M58" s="274">
        <v>1410.417477</v>
      </c>
      <c r="N58" s="274">
        <v>1212.57293</v>
      </c>
      <c r="O58" s="274">
        <v>1195.7923491648</v>
      </c>
      <c r="P58" s="274">
        <v>1195.7923491648</v>
      </c>
      <c r="Q58" s="274">
        <v>1195.7923491648</v>
      </c>
      <c r="R58" s="305">
        <v>1195.7923491648</v>
      </c>
      <c r="S58" s="305"/>
      <c r="T58" s="305"/>
      <c r="U58" s="305"/>
      <c r="V58" s="273"/>
      <c r="W58" s="273"/>
      <c r="X58" s="273"/>
      <c r="Y58" s="273"/>
    </row>
    <row r="59" spans="1:25" ht="12.75">
      <c r="A59" s="304">
        <v>177</v>
      </c>
      <c r="B59" s="262" t="s">
        <v>198</v>
      </c>
      <c r="C59" s="260">
        <v>6</v>
      </c>
      <c r="D59" s="274">
        <v>5707.29773</v>
      </c>
      <c r="E59" s="274">
        <v>5722.195106688084</v>
      </c>
      <c r="F59" s="274">
        <v>5988.136411134145</v>
      </c>
      <c r="G59" s="274">
        <v>3101.720771735392</v>
      </c>
      <c r="H59" s="274">
        <v>3037.739537166267</v>
      </c>
      <c r="I59" s="274">
        <v>923.79166</v>
      </c>
      <c r="J59" s="274">
        <v>1046.2207870000002</v>
      </c>
      <c r="K59" s="274">
        <v>1137.2532820000001</v>
      </c>
      <c r="L59" s="274">
        <v>877.782873</v>
      </c>
      <c r="M59" s="274">
        <v>888.824167</v>
      </c>
      <c r="N59" s="274">
        <v>543.08607</v>
      </c>
      <c r="O59" s="274">
        <v>554.3596347</v>
      </c>
      <c r="P59" s="274">
        <v>554.3596347</v>
      </c>
      <c r="Q59" s="274">
        <v>554.3596347</v>
      </c>
      <c r="R59" s="305">
        <v>554.3596347</v>
      </c>
      <c r="S59" s="305"/>
      <c r="T59" s="305"/>
      <c r="U59" s="305"/>
      <c r="V59" s="273"/>
      <c r="W59" s="273"/>
      <c r="X59" s="273"/>
      <c r="Y59" s="273"/>
    </row>
    <row r="60" spans="1:25" ht="12.75">
      <c r="A60" s="304">
        <v>178</v>
      </c>
      <c r="B60" s="262" t="s">
        <v>199</v>
      </c>
      <c r="C60" s="260">
        <v>10</v>
      </c>
      <c r="D60" s="274">
        <v>15240.84483</v>
      </c>
      <c r="E60" s="274">
        <v>16257.412126633526</v>
      </c>
      <c r="F60" s="274">
        <v>16835.841755095604</v>
      </c>
      <c r="G60" s="274">
        <v>8809.711405410908</v>
      </c>
      <c r="H60" s="274">
        <v>8627.985695191048</v>
      </c>
      <c r="I60" s="274">
        <v>2547.9166</v>
      </c>
      <c r="J60" s="274">
        <v>2460.5536789999996</v>
      </c>
      <c r="K60" s="274">
        <v>2666.2992000000004</v>
      </c>
      <c r="L60" s="274">
        <v>2057.9688000000006</v>
      </c>
      <c r="M60" s="274">
        <v>2083.8552</v>
      </c>
      <c r="N60" s="274">
        <v>1505.4918</v>
      </c>
      <c r="O60" s="274">
        <v>1498.1562210432</v>
      </c>
      <c r="P60" s="274">
        <v>1498.1562210432</v>
      </c>
      <c r="Q60" s="274">
        <v>1498.1562210432</v>
      </c>
      <c r="R60" s="305">
        <v>1498.1562210432</v>
      </c>
      <c r="S60" s="305"/>
      <c r="T60" s="305"/>
      <c r="U60" s="305"/>
      <c r="V60" s="273"/>
      <c r="W60" s="273"/>
      <c r="X60" s="273"/>
      <c r="Y60" s="273"/>
    </row>
    <row r="61" spans="1:25" ht="12.75">
      <c r="A61" s="304">
        <v>179</v>
      </c>
      <c r="B61" s="262" t="s">
        <v>200</v>
      </c>
      <c r="C61" s="260">
        <v>13</v>
      </c>
      <c r="D61" s="274">
        <v>440245.93358</v>
      </c>
      <c r="E61" s="274">
        <v>450971.193301102</v>
      </c>
      <c r="F61" s="274">
        <v>471447.4516477688</v>
      </c>
      <c r="G61" s="274">
        <v>236976.74859883133</v>
      </c>
      <c r="H61" s="274">
        <v>229165.72659634106</v>
      </c>
      <c r="I61" s="274">
        <v>27050.78657</v>
      </c>
      <c r="J61" s="274">
        <v>26705.568805000003</v>
      </c>
      <c r="K61" s="274">
        <v>28946.934188</v>
      </c>
      <c r="L61" s="274">
        <v>22342.536582</v>
      </c>
      <c r="M61" s="274">
        <v>22623.574778000002</v>
      </c>
      <c r="N61" s="274">
        <v>47096.04047</v>
      </c>
      <c r="O61" s="274">
        <v>50763.780010752</v>
      </c>
      <c r="P61" s="274">
        <v>50763.780010752</v>
      </c>
      <c r="Q61" s="274">
        <v>50763.780010752</v>
      </c>
      <c r="R61" s="305">
        <v>50763.780010752</v>
      </c>
      <c r="S61" s="305"/>
      <c r="T61" s="305"/>
      <c r="U61" s="305"/>
      <c r="V61" s="273"/>
      <c r="W61" s="273"/>
      <c r="X61" s="273"/>
      <c r="Y61" s="273"/>
    </row>
    <row r="62" spans="1:25" ht="12.75">
      <c r="A62" s="304">
        <v>181</v>
      </c>
      <c r="B62" s="262" t="s">
        <v>201</v>
      </c>
      <c r="C62" s="260">
        <v>4</v>
      </c>
      <c r="D62" s="274">
        <v>5007.58739</v>
      </c>
      <c r="E62" s="274">
        <v>5184.342145797171</v>
      </c>
      <c r="F62" s="274">
        <v>5301.229500623931</v>
      </c>
      <c r="G62" s="274">
        <v>3032.361181345948</v>
      </c>
      <c r="H62" s="274">
        <v>2991.7664043069335</v>
      </c>
      <c r="I62" s="274">
        <v>305.03583000000003</v>
      </c>
      <c r="J62" s="274">
        <v>279.610259</v>
      </c>
      <c r="K62" s="274">
        <v>302.43787</v>
      </c>
      <c r="L62" s="274">
        <v>233.435055</v>
      </c>
      <c r="M62" s="274">
        <v>236.37134500000002</v>
      </c>
      <c r="N62" s="274">
        <v>391.62865999999997</v>
      </c>
      <c r="O62" s="274">
        <v>403.2323542536</v>
      </c>
      <c r="P62" s="274">
        <v>403.2323542536</v>
      </c>
      <c r="Q62" s="274">
        <v>403.2323542536</v>
      </c>
      <c r="R62" s="305">
        <v>403.2323542536</v>
      </c>
      <c r="S62" s="305"/>
      <c r="T62" s="305"/>
      <c r="U62" s="305"/>
      <c r="V62" s="273"/>
      <c r="W62" s="273"/>
      <c r="X62" s="273"/>
      <c r="Y62" s="273"/>
    </row>
    <row r="63" spans="1:25" ht="12.75">
      <c r="A63" s="304">
        <v>182</v>
      </c>
      <c r="B63" s="262" t="s">
        <v>128</v>
      </c>
      <c r="C63" s="260">
        <v>13</v>
      </c>
      <c r="D63" s="274">
        <v>69883.60851</v>
      </c>
      <c r="E63" s="274">
        <v>71075.94795801566</v>
      </c>
      <c r="F63" s="274">
        <v>73156.82707383367</v>
      </c>
      <c r="G63" s="274">
        <v>37414.35764051307</v>
      </c>
      <c r="H63" s="274">
        <v>36790.146573799095</v>
      </c>
      <c r="I63" s="274">
        <v>9416.4231</v>
      </c>
      <c r="J63" s="274">
        <v>8304.770907</v>
      </c>
      <c r="K63" s="274">
        <v>9021.462236</v>
      </c>
      <c r="L63" s="274">
        <v>6963.167453999999</v>
      </c>
      <c r="M63" s="274">
        <v>7050.7544659999985</v>
      </c>
      <c r="N63" s="274">
        <v>6106.94491</v>
      </c>
      <c r="O63" s="274">
        <v>6041.304736164</v>
      </c>
      <c r="P63" s="274">
        <v>6041.304736164</v>
      </c>
      <c r="Q63" s="274">
        <v>6041.304736164</v>
      </c>
      <c r="R63" s="305">
        <v>6041.304736164</v>
      </c>
      <c r="S63" s="305"/>
      <c r="T63" s="305"/>
      <c r="U63" s="305"/>
      <c r="V63" s="273"/>
      <c r="W63" s="273"/>
      <c r="X63" s="273"/>
      <c r="Y63" s="273"/>
    </row>
    <row r="64" spans="1:25" ht="12.75">
      <c r="A64" s="304">
        <v>186</v>
      </c>
      <c r="B64" s="262" t="s">
        <v>202</v>
      </c>
      <c r="C64" s="260">
        <v>1</v>
      </c>
      <c r="D64" s="274">
        <v>163674.76236000002</v>
      </c>
      <c r="E64" s="274">
        <v>171442.79556327313</v>
      </c>
      <c r="F64" s="274">
        <v>179298.01974880014</v>
      </c>
      <c r="G64" s="274">
        <v>88382.69192601724</v>
      </c>
      <c r="H64" s="274">
        <v>84567.36611905115</v>
      </c>
      <c r="I64" s="274">
        <v>5315.88723</v>
      </c>
      <c r="J64" s="274">
        <v>5002.512012</v>
      </c>
      <c r="K64" s="274">
        <v>5418.538716</v>
      </c>
      <c r="L64" s="274">
        <v>4182.270174</v>
      </c>
      <c r="M64" s="274">
        <v>4234.877346</v>
      </c>
      <c r="N64" s="274">
        <v>12902.70076</v>
      </c>
      <c r="O64" s="274">
        <v>13628.708030376003</v>
      </c>
      <c r="P64" s="274">
        <v>13628.708030376003</v>
      </c>
      <c r="Q64" s="274">
        <v>13628.708030376003</v>
      </c>
      <c r="R64" s="305">
        <v>13628.708030376003</v>
      </c>
      <c r="S64" s="305"/>
      <c r="T64" s="305"/>
      <c r="U64" s="305"/>
      <c r="V64" s="273"/>
      <c r="W64" s="273"/>
      <c r="X64" s="273"/>
      <c r="Y64" s="273"/>
    </row>
    <row r="65" spans="1:25" ht="12.75">
      <c r="A65" s="304">
        <v>202</v>
      </c>
      <c r="B65" s="262" t="s">
        <v>203</v>
      </c>
      <c r="C65" s="260">
        <v>2</v>
      </c>
      <c r="D65" s="274">
        <v>125221.40986</v>
      </c>
      <c r="E65" s="274">
        <v>129466.14501434876</v>
      </c>
      <c r="F65" s="274">
        <v>135884.5657545127</v>
      </c>
      <c r="G65" s="274">
        <v>66375.74035264683</v>
      </c>
      <c r="H65" s="274">
        <v>63703.30112509285</v>
      </c>
      <c r="I65" s="274">
        <v>4978.94492</v>
      </c>
      <c r="J65" s="274">
        <v>5309.157996</v>
      </c>
      <c r="K65" s="274">
        <v>5743.531732</v>
      </c>
      <c r="L65" s="274">
        <v>4433.114298</v>
      </c>
      <c r="M65" s="274">
        <v>4488.876742</v>
      </c>
      <c r="N65" s="274">
        <v>7061.40792</v>
      </c>
      <c r="O65" s="274">
        <v>7147.977626224798</v>
      </c>
      <c r="P65" s="274">
        <v>7147.977626224798</v>
      </c>
      <c r="Q65" s="274">
        <v>7147.977626224798</v>
      </c>
      <c r="R65" s="305">
        <v>7147.977626224798</v>
      </c>
      <c r="S65" s="305"/>
      <c r="T65" s="305"/>
      <c r="U65" s="305"/>
      <c r="V65" s="273"/>
      <c r="W65" s="273"/>
      <c r="X65" s="273"/>
      <c r="Y65" s="273"/>
    </row>
    <row r="66" spans="1:25" ht="12.75">
      <c r="A66" s="304">
        <v>204</v>
      </c>
      <c r="B66" s="262" t="s">
        <v>204</v>
      </c>
      <c r="C66" s="260">
        <v>11</v>
      </c>
      <c r="D66" s="274">
        <v>6988.15571</v>
      </c>
      <c r="E66" s="274">
        <v>7182.933196813812</v>
      </c>
      <c r="F66" s="274">
        <v>7697.991862561537</v>
      </c>
      <c r="G66" s="274">
        <v>4115.512206990638</v>
      </c>
      <c r="H66" s="274">
        <v>4092.2153987544857</v>
      </c>
      <c r="I66" s="274">
        <v>995.21088</v>
      </c>
      <c r="J66" s="274">
        <v>1098.232449</v>
      </c>
      <c r="K66" s="274">
        <v>1190.976434</v>
      </c>
      <c r="L66" s="274">
        <v>919.248801</v>
      </c>
      <c r="M66" s="274">
        <v>930.811679</v>
      </c>
      <c r="N66" s="274">
        <v>1050.73258</v>
      </c>
      <c r="O66" s="274">
        <v>1114.546427364</v>
      </c>
      <c r="P66" s="274">
        <v>1114.546427364</v>
      </c>
      <c r="Q66" s="274">
        <v>1114.546427364</v>
      </c>
      <c r="R66" s="305">
        <v>1114.546427364</v>
      </c>
      <c r="S66" s="305"/>
      <c r="T66" s="305"/>
      <c r="U66" s="305"/>
      <c r="V66" s="273"/>
      <c r="W66" s="273"/>
      <c r="X66" s="273"/>
      <c r="Y66" s="273"/>
    </row>
    <row r="67" spans="1:25" ht="12.75">
      <c r="A67" s="304">
        <v>205</v>
      </c>
      <c r="B67" s="262" t="s">
        <v>205</v>
      </c>
      <c r="C67" s="260">
        <v>18</v>
      </c>
      <c r="D67" s="274">
        <v>122934.68648</v>
      </c>
      <c r="E67" s="274">
        <v>123572.2134670148</v>
      </c>
      <c r="F67" s="274">
        <v>128556.98372196511</v>
      </c>
      <c r="G67" s="274">
        <v>66929.37760423457</v>
      </c>
      <c r="H67" s="274">
        <v>65544.49195412993</v>
      </c>
      <c r="I67" s="274">
        <v>5736.82959</v>
      </c>
      <c r="J67" s="274">
        <v>5468.763518000001</v>
      </c>
      <c r="K67" s="274">
        <v>5922.103038</v>
      </c>
      <c r="L67" s="274">
        <v>4570.943607</v>
      </c>
      <c r="M67" s="274">
        <v>4628.439753000001</v>
      </c>
      <c r="N67" s="274">
        <v>9986.06342</v>
      </c>
      <c r="O67" s="274">
        <v>10250.999586396003</v>
      </c>
      <c r="P67" s="274">
        <v>10250.999586396003</v>
      </c>
      <c r="Q67" s="274">
        <v>10250.999586396003</v>
      </c>
      <c r="R67" s="305">
        <v>10250.999586396003</v>
      </c>
      <c r="S67" s="305"/>
      <c r="T67" s="305"/>
      <c r="U67" s="305"/>
      <c r="V67" s="273"/>
      <c r="W67" s="273"/>
      <c r="X67" s="273"/>
      <c r="Y67" s="273"/>
    </row>
    <row r="68" spans="1:25" ht="12.75">
      <c r="A68" s="304">
        <v>208</v>
      </c>
      <c r="B68" s="262" t="s">
        <v>206</v>
      </c>
      <c r="C68" s="260">
        <v>17</v>
      </c>
      <c r="D68" s="274">
        <v>32482.03547</v>
      </c>
      <c r="E68" s="274">
        <v>33069.563815277135</v>
      </c>
      <c r="F68" s="274">
        <v>34715.750976343355</v>
      </c>
      <c r="G68" s="274">
        <v>17463.305872945784</v>
      </c>
      <c r="H68" s="274">
        <v>16997.194792375216</v>
      </c>
      <c r="I68" s="274">
        <v>2716.32384</v>
      </c>
      <c r="J68" s="274">
        <v>2120.84101</v>
      </c>
      <c r="K68" s="274">
        <v>2294.447364</v>
      </c>
      <c r="L68" s="274">
        <v>1770.9569460000002</v>
      </c>
      <c r="M68" s="274">
        <v>1793.233134</v>
      </c>
      <c r="N68" s="274">
        <v>3556.97815</v>
      </c>
      <c r="O68" s="274">
        <v>5107.65729684</v>
      </c>
      <c r="P68" s="274">
        <v>5107.65729684</v>
      </c>
      <c r="Q68" s="274">
        <v>5107.65729684</v>
      </c>
      <c r="R68" s="305">
        <v>5107.65729684</v>
      </c>
      <c r="S68" s="305"/>
      <c r="T68" s="305"/>
      <c r="U68" s="305"/>
      <c r="V68" s="273"/>
      <c r="W68" s="273"/>
      <c r="X68" s="273"/>
      <c r="Y68" s="273"/>
    </row>
    <row r="69" spans="1:25" ht="12.75">
      <c r="A69" s="304">
        <v>211</v>
      </c>
      <c r="B69" s="262" t="s">
        <v>207</v>
      </c>
      <c r="C69" s="260">
        <v>6</v>
      </c>
      <c r="D69" s="274">
        <v>117565.95447</v>
      </c>
      <c r="E69" s="274">
        <v>117723.29881520927</v>
      </c>
      <c r="F69" s="274">
        <v>123831.52657052698</v>
      </c>
      <c r="G69" s="274">
        <v>64633.487742096106</v>
      </c>
      <c r="H69" s="274">
        <v>62900.68914564401</v>
      </c>
      <c r="I69" s="274">
        <v>4094.7275499999996</v>
      </c>
      <c r="J69" s="274">
        <v>4081.997271</v>
      </c>
      <c r="K69" s="274">
        <v>4419.712284</v>
      </c>
      <c r="L69" s="274">
        <v>3411.331326</v>
      </c>
      <c r="M69" s="274">
        <v>3454.241154</v>
      </c>
      <c r="N69" s="274">
        <v>7080.43142</v>
      </c>
      <c r="O69" s="274">
        <v>7068.4611333288</v>
      </c>
      <c r="P69" s="274">
        <v>7068.4611333288</v>
      </c>
      <c r="Q69" s="274">
        <v>7068.4611333288</v>
      </c>
      <c r="R69" s="305">
        <v>7068.4611333288</v>
      </c>
      <c r="S69" s="305"/>
      <c r="T69" s="305"/>
      <c r="U69" s="305"/>
      <c r="V69" s="273"/>
      <c r="W69" s="273"/>
      <c r="X69" s="273"/>
      <c r="Y69" s="273"/>
    </row>
    <row r="70" spans="1:25" ht="12.75">
      <c r="A70" s="304">
        <v>213</v>
      </c>
      <c r="B70" s="262" t="s">
        <v>208</v>
      </c>
      <c r="C70" s="260">
        <v>10</v>
      </c>
      <c r="D70" s="274">
        <v>14030.00599</v>
      </c>
      <c r="E70" s="274">
        <v>14011.021378824358</v>
      </c>
      <c r="F70" s="274">
        <v>14496.7489104908</v>
      </c>
      <c r="G70" s="274">
        <v>7566.356277603482</v>
      </c>
      <c r="H70" s="274">
        <v>7423.058781183271</v>
      </c>
      <c r="I70" s="274">
        <v>2828.2270099999996</v>
      </c>
      <c r="J70" s="274">
        <v>2620.7375359999996</v>
      </c>
      <c r="K70" s="274">
        <v>2841.29208</v>
      </c>
      <c r="L70" s="274">
        <v>2193.03612</v>
      </c>
      <c r="M70" s="274">
        <v>2220.62148</v>
      </c>
      <c r="N70" s="274">
        <v>1826.3335</v>
      </c>
      <c r="O70" s="274">
        <v>1854.0519965640003</v>
      </c>
      <c r="P70" s="274">
        <v>1854.0519965640003</v>
      </c>
      <c r="Q70" s="274">
        <v>1854.0519965640003</v>
      </c>
      <c r="R70" s="305">
        <v>1854.0519965640003</v>
      </c>
      <c r="S70" s="305"/>
      <c r="T70" s="305"/>
      <c r="U70" s="305"/>
      <c r="V70" s="273"/>
      <c r="W70" s="273"/>
      <c r="X70" s="273"/>
      <c r="Y70" s="273"/>
    </row>
    <row r="71" spans="1:25" ht="12.75">
      <c r="A71" s="304">
        <v>214</v>
      </c>
      <c r="B71" s="262" t="s">
        <v>209</v>
      </c>
      <c r="C71" s="260">
        <v>4</v>
      </c>
      <c r="D71" s="274">
        <v>34114.65268</v>
      </c>
      <c r="E71" s="274">
        <v>35393.051435302965</v>
      </c>
      <c r="F71" s="274">
        <v>36274.40448881642</v>
      </c>
      <c r="G71" s="274">
        <v>19461.4934781313</v>
      </c>
      <c r="H71" s="274">
        <v>19179.637895731474</v>
      </c>
      <c r="I71" s="274">
        <v>2752.29963</v>
      </c>
      <c r="J71" s="274">
        <v>2613.6785409999998</v>
      </c>
      <c r="K71" s="274">
        <v>2830.320314</v>
      </c>
      <c r="L71" s="274">
        <v>2184.567621</v>
      </c>
      <c r="M71" s="274">
        <v>2212.046459</v>
      </c>
      <c r="N71" s="274">
        <v>3001.15811</v>
      </c>
      <c r="O71" s="274">
        <v>3460.893742008</v>
      </c>
      <c r="P71" s="274">
        <v>3460.893742008</v>
      </c>
      <c r="Q71" s="274">
        <v>3460.893742008</v>
      </c>
      <c r="R71" s="308">
        <v>3460.893742008</v>
      </c>
      <c r="S71" s="305"/>
      <c r="T71" s="305"/>
      <c r="U71" s="305"/>
      <c r="V71" s="273"/>
      <c r="W71" s="273"/>
      <c r="X71" s="273"/>
      <c r="Y71" s="273"/>
    </row>
    <row r="72" spans="1:25" ht="12.75">
      <c r="A72" s="304">
        <v>216</v>
      </c>
      <c r="B72" s="262" t="s">
        <v>210</v>
      </c>
      <c r="C72" s="260">
        <v>13</v>
      </c>
      <c r="D72" s="274">
        <v>3215.83966</v>
      </c>
      <c r="E72" s="274">
        <v>3250.8388662940188</v>
      </c>
      <c r="F72" s="274">
        <v>3334.5440215924145</v>
      </c>
      <c r="G72" s="274">
        <v>1779.9140943259167</v>
      </c>
      <c r="H72" s="274">
        <v>1755.7038372732482</v>
      </c>
      <c r="I72" s="274">
        <v>570.26115</v>
      </c>
      <c r="J72" s="274">
        <v>594.4646589999999</v>
      </c>
      <c r="K72" s="274">
        <v>644.153966</v>
      </c>
      <c r="L72" s="274">
        <v>497.186799</v>
      </c>
      <c r="M72" s="274">
        <v>503.44072099999994</v>
      </c>
      <c r="N72" s="274">
        <v>443.11426</v>
      </c>
      <c r="O72" s="274">
        <v>443.00989704</v>
      </c>
      <c r="P72" s="274">
        <v>443.00989704</v>
      </c>
      <c r="Q72" s="274">
        <v>443.00989704</v>
      </c>
      <c r="R72" s="305">
        <v>443.00989704</v>
      </c>
      <c r="S72" s="305"/>
      <c r="T72" s="305"/>
      <c r="U72" s="305"/>
      <c r="V72" s="273"/>
      <c r="W72" s="273"/>
      <c r="X72" s="273"/>
      <c r="Y72" s="273"/>
    </row>
    <row r="73" spans="1:25" ht="12.75">
      <c r="A73" s="304">
        <v>217</v>
      </c>
      <c r="B73" s="262" t="s">
        <v>211</v>
      </c>
      <c r="C73" s="260">
        <v>16</v>
      </c>
      <c r="D73" s="274">
        <v>15137.42655</v>
      </c>
      <c r="E73" s="274">
        <v>15992.865958309207</v>
      </c>
      <c r="F73" s="274">
        <v>16852.819478107776</v>
      </c>
      <c r="G73" s="274">
        <v>9044.945357660095</v>
      </c>
      <c r="H73" s="274">
        <v>8896.436227527536</v>
      </c>
      <c r="I73" s="274">
        <v>1209.61175</v>
      </c>
      <c r="J73" s="274">
        <v>972.401275</v>
      </c>
      <c r="K73" s="274">
        <v>1051.245192</v>
      </c>
      <c r="L73" s="274">
        <v>811.3979879999999</v>
      </c>
      <c r="M73" s="274">
        <v>821.6042520000001</v>
      </c>
      <c r="N73" s="274">
        <v>1276.08423</v>
      </c>
      <c r="O73" s="274">
        <v>1265.8570018199998</v>
      </c>
      <c r="P73" s="274">
        <v>1265.8570018199998</v>
      </c>
      <c r="Q73" s="274">
        <v>1265.8570018199998</v>
      </c>
      <c r="R73" s="305">
        <v>1265.8570018199998</v>
      </c>
      <c r="S73" s="305"/>
      <c r="T73" s="305"/>
      <c r="U73" s="305"/>
      <c r="V73" s="273"/>
      <c r="W73" s="273"/>
      <c r="X73" s="273"/>
      <c r="Y73" s="273"/>
    </row>
    <row r="74" spans="1:25" ht="12.75">
      <c r="A74" s="304">
        <v>218</v>
      </c>
      <c r="B74" s="262" t="s">
        <v>212</v>
      </c>
      <c r="C74" s="260">
        <v>14</v>
      </c>
      <c r="D74" s="274">
        <v>3706.7920299999996</v>
      </c>
      <c r="E74" s="274">
        <v>3656.2980367337523</v>
      </c>
      <c r="F74" s="274">
        <v>3824.7045291788386</v>
      </c>
      <c r="G74" s="274">
        <v>2147.2214447785686</v>
      </c>
      <c r="H74" s="274">
        <v>2109.256676601598</v>
      </c>
      <c r="I74" s="274">
        <v>308.42906</v>
      </c>
      <c r="J74" s="274">
        <v>281.590661</v>
      </c>
      <c r="K74" s="274">
        <v>304.433804</v>
      </c>
      <c r="L74" s="274">
        <v>234.975606</v>
      </c>
      <c r="M74" s="274">
        <v>237.931274</v>
      </c>
      <c r="N74" s="274">
        <v>227.15729000000002</v>
      </c>
      <c r="O74" s="274">
        <v>252.7253079</v>
      </c>
      <c r="P74" s="274">
        <v>252.7253079</v>
      </c>
      <c r="Q74" s="274">
        <v>252.7253079</v>
      </c>
      <c r="R74" s="305">
        <v>252.7253079</v>
      </c>
      <c r="S74" s="305"/>
      <c r="T74" s="305"/>
      <c r="U74" s="305"/>
      <c r="V74" s="273"/>
      <c r="W74" s="273"/>
      <c r="X74" s="273"/>
      <c r="Y74" s="273"/>
    </row>
    <row r="75" spans="1:25" ht="12.75">
      <c r="A75" s="304">
        <v>224</v>
      </c>
      <c r="B75" s="262" t="s">
        <v>213</v>
      </c>
      <c r="C75" s="260">
        <v>1</v>
      </c>
      <c r="D75" s="274">
        <v>27957.939039999997</v>
      </c>
      <c r="E75" s="274">
        <v>28186.912810350743</v>
      </c>
      <c r="F75" s="274">
        <v>29433.326092207124</v>
      </c>
      <c r="G75" s="274">
        <v>15285.727014500088</v>
      </c>
      <c r="H75" s="274">
        <v>14903.41425672598</v>
      </c>
      <c r="I75" s="274">
        <v>1346.58595</v>
      </c>
      <c r="J75" s="274">
        <v>1256.653301</v>
      </c>
      <c r="K75" s="274">
        <v>1357.8996759999998</v>
      </c>
      <c r="L75" s="274">
        <v>1048.087614</v>
      </c>
      <c r="M75" s="274">
        <v>1061.271106</v>
      </c>
      <c r="N75" s="274">
        <v>2251.47204</v>
      </c>
      <c r="O75" s="274">
        <v>2224.936269972</v>
      </c>
      <c r="P75" s="274">
        <v>2224.936269972</v>
      </c>
      <c r="Q75" s="274">
        <v>2224.936269972</v>
      </c>
      <c r="R75" s="305">
        <v>2224.936269972</v>
      </c>
      <c r="S75" s="305"/>
      <c r="T75" s="305"/>
      <c r="U75" s="305"/>
      <c r="V75" s="273"/>
      <c r="W75" s="273"/>
      <c r="X75" s="273"/>
      <c r="Y75" s="273"/>
    </row>
    <row r="76" spans="1:25" ht="12.75">
      <c r="A76" s="304">
        <v>226</v>
      </c>
      <c r="B76" s="262" t="s">
        <v>214</v>
      </c>
      <c r="C76" s="260">
        <v>13</v>
      </c>
      <c r="D76" s="274">
        <v>9803.42636</v>
      </c>
      <c r="E76" s="274">
        <v>10156.292323064232</v>
      </c>
      <c r="F76" s="274">
        <v>10690.06309884626</v>
      </c>
      <c r="G76" s="274">
        <v>5630.254135199912</v>
      </c>
      <c r="H76" s="274">
        <v>5541.797714780899</v>
      </c>
      <c r="I76" s="274">
        <v>1364.96047</v>
      </c>
      <c r="J76" s="274">
        <v>1346.0118430000002</v>
      </c>
      <c r="K76" s="274">
        <v>1458.22559</v>
      </c>
      <c r="L76" s="274">
        <v>1125.523635</v>
      </c>
      <c r="M76" s="274">
        <v>1139.6811650000002</v>
      </c>
      <c r="N76" s="274">
        <v>961.83352</v>
      </c>
      <c r="O76" s="274">
        <v>1089.0956936328</v>
      </c>
      <c r="P76" s="274">
        <v>1089.0956936328</v>
      </c>
      <c r="Q76" s="274">
        <v>1089.0956936328</v>
      </c>
      <c r="R76" s="305">
        <v>1089.0956936328</v>
      </c>
      <c r="S76" s="305"/>
      <c r="T76" s="305"/>
      <c r="U76" s="305"/>
      <c r="V76" s="273"/>
      <c r="W76" s="273"/>
      <c r="X76" s="273"/>
      <c r="Y76" s="273"/>
    </row>
    <row r="77" spans="1:25" ht="12.75">
      <c r="A77" s="304">
        <v>230</v>
      </c>
      <c r="B77" s="262" t="s">
        <v>215</v>
      </c>
      <c r="C77" s="260">
        <v>4</v>
      </c>
      <c r="D77" s="274">
        <v>5487.205730000001</v>
      </c>
      <c r="E77" s="274">
        <v>5534.71994789317</v>
      </c>
      <c r="F77" s="274">
        <v>5831.686033301381</v>
      </c>
      <c r="G77" s="274">
        <v>3044.8695249205616</v>
      </c>
      <c r="H77" s="274">
        <v>2977.6739458537604</v>
      </c>
      <c r="I77" s="274">
        <v>703.55147</v>
      </c>
      <c r="J77" s="274">
        <v>620.7058710000001</v>
      </c>
      <c r="K77" s="274">
        <v>672.1246460000002</v>
      </c>
      <c r="L77" s="274">
        <v>518.7758190000001</v>
      </c>
      <c r="M77" s="274">
        <v>525.3013010000001</v>
      </c>
      <c r="N77" s="274">
        <v>536.0577900000001</v>
      </c>
      <c r="O77" s="274">
        <v>690.0780675144001</v>
      </c>
      <c r="P77" s="274">
        <v>690.0780675144001</v>
      </c>
      <c r="Q77" s="274">
        <v>690.0780675144001</v>
      </c>
      <c r="R77" s="305">
        <v>690.0780675144001</v>
      </c>
      <c r="S77" s="305"/>
      <c r="T77" s="305"/>
      <c r="U77" s="305"/>
      <c r="V77" s="273"/>
      <c r="W77" s="273"/>
      <c r="X77" s="273"/>
      <c r="Y77" s="273"/>
    </row>
    <row r="78" spans="1:25" ht="12.75">
      <c r="A78" s="304">
        <v>231</v>
      </c>
      <c r="B78" s="262" t="s">
        <v>216</v>
      </c>
      <c r="C78" s="260">
        <v>15</v>
      </c>
      <c r="D78" s="274">
        <v>4837.248280000001</v>
      </c>
      <c r="E78" s="274">
        <v>5013.285538354442</v>
      </c>
      <c r="F78" s="274">
        <v>5084.619770246303</v>
      </c>
      <c r="G78" s="274">
        <v>2795.9556992251105</v>
      </c>
      <c r="H78" s="274">
        <v>2742.995118126659</v>
      </c>
      <c r="I78" s="274">
        <v>1204.75914</v>
      </c>
      <c r="J78" s="274">
        <v>1083.1325299999999</v>
      </c>
      <c r="K78" s="274">
        <v>1176.551284</v>
      </c>
      <c r="L78" s="274">
        <v>908.114826</v>
      </c>
      <c r="M78" s="274">
        <v>919.537654</v>
      </c>
      <c r="N78" s="274">
        <v>595.95262</v>
      </c>
      <c r="O78" s="274">
        <v>602.7929309279999</v>
      </c>
      <c r="P78" s="274">
        <v>602.7929309279999</v>
      </c>
      <c r="Q78" s="274">
        <v>602.7929309279999</v>
      </c>
      <c r="R78" s="305">
        <v>602.7929309279999</v>
      </c>
      <c r="S78" s="305"/>
      <c r="T78" s="305"/>
      <c r="U78" s="305"/>
      <c r="V78" s="273"/>
      <c r="W78" s="273"/>
      <c r="X78" s="273"/>
      <c r="Y78" s="273"/>
    </row>
    <row r="79" spans="1:25" ht="12.75">
      <c r="A79" s="304">
        <v>232</v>
      </c>
      <c r="B79" s="262" t="s">
        <v>217</v>
      </c>
      <c r="C79" s="260">
        <v>14</v>
      </c>
      <c r="D79" s="274">
        <v>38423.13594</v>
      </c>
      <c r="E79" s="274">
        <v>38534.52218706616</v>
      </c>
      <c r="F79" s="274">
        <v>40211.88454715349</v>
      </c>
      <c r="G79" s="274">
        <v>22341.240764347258</v>
      </c>
      <c r="H79" s="274">
        <v>22039.254500815903</v>
      </c>
      <c r="I79" s="274">
        <v>4023.24863</v>
      </c>
      <c r="J79" s="274">
        <v>3978.179132</v>
      </c>
      <c r="K79" s="274">
        <v>4307.744898</v>
      </c>
      <c r="L79" s="274">
        <v>3324.9098969999995</v>
      </c>
      <c r="M79" s="274">
        <v>3366.732663</v>
      </c>
      <c r="N79" s="274">
        <v>3421.0198100000002</v>
      </c>
      <c r="O79" s="274">
        <v>3496.5962852496004</v>
      </c>
      <c r="P79" s="274">
        <v>3496.5962852496004</v>
      </c>
      <c r="Q79" s="274">
        <v>3496.5962852496004</v>
      </c>
      <c r="R79" s="305">
        <v>3496.5962852496004</v>
      </c>
      <c r="S79" s="305"/>
      <c r="T79" s="305"/>
      <c r="U79" s="305"/>
      <c r="V79" s="273"/>
      <c r="W79" s="273"/>
      <c r="X79" s="273"/>
      <c r="Y79" s="273"/>
    </row>
    <row r="80" spans="1:25" ht="12.75">
      <c r="A80" s="304">
        <v>233</v>
      </c>
      <c r="B80" s="262" t="s">
        <v>218</v>
      </c>
      <c r="C80" s="260">
        <v>14</v>
      </c>
      <c r="D80" s="274">
        <v>47134.39449</v>
      </c>
      <c r="E80" s="274">
        <v>47085.132153375875</v>
      </c>
      <c r="F80" s="274">
        <v>49414.956815587975</v>
      </c>
      <c r="G80" s="274">
        <v>26964.749965057814</v>
      </c>
      <c r="H80" s="274">
        <v>26469.08257753684</v>
      </c>
      <c r="I80" s="274">
        <v>3913.01272</v>
      </c>
      <c r="J80" s="274">
        <v>3364.445861</v>
      </c>
      <c r="K80" s="274">
        <v>3643.8229659999997</v>
      </c>
      <c r="L80" s="274">
        <v>2812.4652989999995</v>
      </c>
      <c r="M80" s="274">
        <v>2847.8422210000003</v>
      </c>
      <c r="N80" s="274">
        <v>4063.94926</v>
      </c>
      <c r="O80" s="274">
        <v>4079.344508484001</v>
      </c>
      <c r="P80" s="274">
        <v>4079.344508484001</v>
      </c>
      <c r="Q80" s="274">
        <v>4079.344508484001</v>
      </c>
      <c r="R80" s="305">
        <v>4079.344508484001</v>
      </c>
      <c r="S80" s="305"/>
      <c r="T80" s="305"/>
      <c r="U80" s="305"/>
      <c r="V80" s="273"/>
      <c r="W80" s="273"/>
      <c r="X80" s="273"/>
      <c r="Y80" s="273"/>
    </row>
    <row r="81" spans="1:25" ht="12.75">
      <c r="A81" s="304">
        <v>235</v>
      </c>
      <c r="B81" s="262" t="s">
        <v>219</v>
      </c>
      <c r="C81" s="260">
        <v>1</v>
      </c>
      <c r="D81" s="274">
        <v>62527.91307</v>
      </c>
      <c r="E81" s="274">
        <v>65870.54318186814</v>
      </c>
      <c r="F81" s="274">
        <v>67864.25062401827</v>
      </c>
      <c r="G81" s="274">
        <v>26417.84441200624</v>
      </c>
      <c r="H81" s="274">
        <v>24278.073042194734</v>
      </c>
      <c r="I81" s="274">
        <v>2080.62907</v>
      </c>
      <c r="J81" s="274">
        <v>1900.5765049999998</v>
      </c>
      <c r="K81" s="274">
        <v>2063.029436</v>
      </c>
      <c r="L81" s="274">
        <v>1592.3382539999998</v>
      </c>
      <c r="M81" s="274">
        <v>1612.3676659999999</v>
      </c>
      <c r="N81" s="274">
        <v>4659.31223</v>
      </c>
      <c r="O81" s="274">
        <v>4783.025766705601</v>
      </c>
      <c r="P81" s="274">
        <v>4783.025766705601</v>
      </c>
      <c r="Q81" s="274">
        <v>4783.025766705601</v>
      </c>
      <c r="R81" s="305">
        <v>4783.025766705601</v>
      </c>
      <c r="S81" s="305"/>
      <c r="T81" s="305"/>
      <c r="U81" s="305"/>
      <c r="V81" s="273"/>
      <c r="W81" s="273"/>
      <c r="X81" s="273"/>
      <c r="Y81" s="273"/>
    </row>
    <row r="82" spans="1:25" ht="12.75">
      <c r="A82" s="304">
        <v>236</v>
      </c>
      <c r="B82" s="262" t="s">
        <v>220</v>
      </c>
      <c r="C82" s="260">
        <v>16</v>
      </c>
      <c r="D82" s="274">
        <v>11738.22034</v>
      </c>
      <c r="E82" s="274">
        <v>12422.863794559093</v>
      </c>
      <c r="F82" s="274">
        <v>12852.908149883026</v>
      </c>
      <c r="G82" s="274">
        <v>7011.413453152782</v>
      </c>
      <c r="H82" s="274">
        <v>6911.750357530278</v>
      </c>
      <c r="I82" s="274">
        <v>1456.7468000000001</v>
      </c>
      <c r="J82" s="274">
        <v>1001.3152829999999</v>
      </c>
      <c r="K82" s="274">
        <v>1086.911826</v>
      </c>
      <c r="L82" s="274">
        <v>838.9270889999999</v>
      </c>
      <c r="M82" s="274">
        <v>849.4796309999998</v>
      </c>
      <c r="N82" s="274">
        <v>893.5574499999999</v>
      </c>
      <c r="O82" s="274">
        <v>937.4100608856002</v>
      </c>
      <c r="P82" s="274">
        <v>937.4100608856002</v>
      </c>
      <c r="Q82" s="274">
        <v>937.4100608856002</v>
      </c>
      <c r="R82" s="305">
        <v>937.4100608856002</v>
      </c>
      <c r="S82" s="305"/>
      <c r="T82" s="305"/>
      <c r="U82" s="305"/>
      <c r="V82" s="273"/>
      <c r="W82" s="273"/>
      <c r="X82" s="273"/>
      <c r="Y82" s="273"/>
    </row>
    <row r="83" spans="1:25" ht="12.75">
      <c r="A83" s="304">
        <v>239</v>
      </c>
      <c r="B83" s="262" t="s">
        <v>221</v>
      </c>
      <c r="C83" s="260">
        <v>11</v>
      </c>
      <c r="D83" s="274">
        <v>5995.02405</v>
      </c>
      <c r="E83" s="274">
        <v>5928.3826646927355</v>
      </c>
      <c r="F83" s="274">
        <v>6109.609603506516</v>
      </c>
      <c r="G83" s="274">
        <v>3139.0698689419964</v>
      </c>
      <c r="H83" s="274">
        <v>3077.292630124598</v>
      </c>
      <c r="I83" s="274">
        <v>758.7316999999999</v>
      </c>
      <c r="J83" s="274">
        <v>634.651239</v>
      </c>
      <c r="K83" s="274">
        <v>686.8880479999999</v>
      </c>
      <c r="L83" s="274">
        <v>530.170872</v>
      </c>
      <c r="M83" s="274">
        <v>536.839688</v>
      </c>
      <c r="N83" s="274">
        <v>561.08577</v>
      </c>
      <c r="O83" s="274">
        <v>538.528813428</v>
      </c>
      <c r="P83" s="274">
        <v>538.528813428</v>
      </c>
      <c r="Q83" s="274">
        <v>538.528813428</v>
      </c>
      <c r="R83" s="305">
        <v>538.528813428</v>
      </c>
      <c r="S83" s="305"/>
      <c r="T83" s="305"/>
      <c r="U83" s="305"/>
      <c r="V83" s="273"/>
      <c r="W83" s="273"/>
      <c r="X83" s="273"/>
      <c r="Y83" s="273"/>
    </row>
    <row r="84" spans="1:25" ht="12.75">
      <c r="A84" s="304">
        <v>240</v>
      </c>
      <c r="B84" s="262" t="s">
        <v>222</v>
      </c>
      <c r="C84" s="260">
        <v>19</v>
      </c>
      <c r="D84" s="274">
        <v>73194.83828</v>
      </c>
      <c r="E84" s="274">
        <v>75053.44114781935</v>
      </c>
      <c r="F84" s="274">
        <v>77903.07666196795</v>
      </c>
      <c r="G84" s="274">
        <v>41346.30068342777</v>
      </c>
      <c r="H84" s="274">
        <v>40802.669665490284</v>
      </c>
      <c r="I84" s="274">
        <v>8112.11672</v>
      </c>
      <c r="J84" s="274">
        <v>7284.902644</v>
      </c>
      <c r="K84" s="274">
        <v>7918.897911999999</v>
      </c>
      <c r="L84" s="274">
        <v>6112.159068</v>
      </c>
      <c r="M84" s="274">
        <v>6189.041571999999</v>
      </c>
      <c r="N84" s="274">
        <v>6624.068719999999</v>
      </c>
      <c r="O84" s="274">
        <v>6656.9472329616</v>
      </c>
      <c r="P84" s="274">
        <v>6656.9472329616</v>
      </c>
      <c r="Q84" s="274">
        <v>6656.9472329616</v>
      </c>
      <c r="R84" s="305">
        <v>6656.9472329616</v>
      </c>
      <c r="S84" s="305"/>
      <c r="T84" s="305"/>
      <c r="U84" s="305"/>
      <c r="V84" s="273"/>
      <c r="W84" s="273"/>
      <c r="X84" s="273"/>
      <c r="Y84" s="273"/>
    </row>
    <row r="85" spans="1:25" ht="12.75">
      <c r="A85" s="304">
        <v>320</v>
      </c>
      <c r="B85" s="262" t="s">
        <v>223</v>
      </c>
      <c r="C85" s="260">
        <v>19</v>
      </c>
      <c r="D85" s="274">
        <v>23513.797420000003</v>
      </c>
      <c r="E85" s="274">
        <v>24603.027010513382</v>
      </c>
      <c r="F85" s="274">
        <v>24921.34411904916</v>
      </c>
      <c r="G85" s="274">
        <v>13213.058277938173</v>
      </c>
      <c r="H85" s="274">
        <v>13055.825709888062</v>
      </c>
      <c r="I85" s="274">
        <v>1292.34902</v>
      </c>
      <c r="J85" s="274">
        <v>1273.7598609999998</v>
      </c>
      <c r="K85" s="274">
        <v>1379.140542</v>
      </c>
      <c r="L85" s="274">
        <v>1064.4822629999999</v>
      </c>
      <c r="M85" s="274">
        <v>1077.8719769999998</v>
      </c>
      <c r="N85" s="274">
        <v>4347.2221500000005</v>
      </c>
      <c r="O85" s="274">
        <v>4429.958684964</v>
      </c>
      <c r="P85" s="274">
        <v>4429.958684964</v>
      </c>
      <c r="Q85" s="274">
        <v>4429.958684964</v>
      </c>
      <c r="R85" s="305">
        <v>4429.958684964</v>
      </c>
      <c r="S85" s="305"/>
      <c r="T85" s="305"/>
      <c r="U85" s="305"/>
      <c r="V85" s="273"/>
      <c r="W85" s="273"/>
      <c r="X85" s="273"/>
      <c r="Y85" s="273"/>
    </row>
    <row r="86" spans="1:25" ht="12.75">
      <c r="A86" s="304">
        <v>241</v>
      </c>
      <c r="B86" s="262" t="s">
        <v>224</v>
      </c>
      <c r="C86" s="260">
        <v>19</v>
      </c>
      <c r="D86" s="274">
        <v>30084.34107</v>
      </c>
      <c r="E86" s="274">
        <v>31158.19788730704</v>
      </c>
      <c r="F86" s="274">
        <v>32333.94728253703</v>
      </c>
      <c r="G86" s="274">
        <v>16953.766152559667</v>
      </c>
      <c r="H86" s="274">
        <v>16578.42431030703</v>
      </c>
      <c r="I86" s="274">
        <v>924.78026</v>
      </c>
      <c r="J86" s="274">
        <v>1090.483279</v>
      </c>
      <c r="K86" s="274">
        <v>1180.7316420000002</v>
      </c>
      <c r="L86" s="274">
        <v>911.3414130000001</v>
      </c>
      <c r="M86" s="274">
        <v>922.8048270000002</v>
      </c>
      <c r="N86" s="274">
        <v>3811.89896</v>
      </c>
      <c r="O86" s="274">
        <v>3740.1933731904</v>
      </c>
      <c r="P86" s="274">
        <v>3740.1933731904</v>
      </c>
      <c r="Q86" s="274">
        <v>3740.1933731904</v>
      </c>
      <c r="R86" s="305">
        <v>3740.1933731904</v>
      </c>
      <c r="S86" s="305"/>
      <c r="T86" s="305"/>
      <c r="U86" s="305"/>
      <c r="V86" s="273"/>
      <c r="W86" s="273"/>
      <c r="X86" s="273"/>
      <c r="Y86" s="273"/>
    </row>
    <row r="87" spans="1:25" ht="12.75">
      <c r="A87" s="304">
        <v>322</v>
      </c>
      <c r="B87" s="309" t="s">
        <v>129</v>
      </c>
      <c r="C87" s="260">
        <v>2</v>
      </c>
      <c r="D87" s="274">
        <v>19154.45945</v>
      </c>
      <c r="E87" s="274">
        <v>18784.685547898607</v>
      </c>
      <c r="F87" s="274">
        <v>19661.144214335076</v>
      </c>
      <c r="G87" s="274">
        <v>9734.726422654801</v>
      </c>
      <c r="H87" s="274">
        <v>9454.49133738178</v>
      </c>
      <c r="I87" s="274">
        <v>1006.4892600000001</v>
      </c>
      <c r="J87" s="274">
        <v>1118.264367</v>
      </c>
      <c r="K87" s="274">
        <v>1211.0276499999998</v>
      </c>
      <c r="L87" s="274">
        <v>934.7252249999999</v>
      </c>
      <c r="M87" s="274">
        <v>946.482775</v>
      </c>
      <c r="N87" s="274">
        <v>3220.87819</v>
      </c>
      <c r="O87" s="274">
        <v>3247.5077660735997</v>
      </c>
      <c r="P87" s="274">
        <v>3247.5077660735997</v>
      </c>
      <c r="Q87" s="274">
        <v>3247.5077660735997</v>
      </c>
      <c r="R87" s="305">
        <v>3247.5077660735997</v>
      </c>
      <c r="S87" s="305"/>
      <c r="T87" s="305"/>
      <c r="U87" s="305"/>
      <c r="V87" s="273"/>
      <c r="W87" s="273"/>
      <c r="X87" s="273"/>
      <c r="Y87" s="273"/>
    </row>
    <row r="88" spans="1:25" ht="12.75">
      <c r="A88" s="304">
        <v>244</v>
      </c>
      <c r="B88" s="262" t="s">
        <v>225</v>
      </c>
      <c r="C88" s="260">
        <v>17</v>
      </c>
      <c r="D88" s="274">
        <v>60191.766189999995</v>
      </c>
      <c r="E88" s="274">
        <v>62284.47402880053</v>
      </c>
      <c r="F88" s="274">
        <v>65211.9656200544</v>
      </c>
      <c r="G88" s="274">
        <v>33737.9815458158</v>
      </c>
      <c r="H88" s="274">
        <v>32491.108898302726</v>
      </c>
      <c r="I88" s="274">
        <v>3445.04824</v>
      </c>
      <c r="J88" s="274">
        <v>3758.7975499999993</v>
      </c>
      <c r="K88" s="274">
        <v>4083.4523039999995</v>
      </c>
      <c r="L88" s="274">
        <v>3151.790856</v>
      </c>
      <c r="M88" s="274">
        <v>3191.4360239999996</v>
      </c>
      <c r="N88" s="274">
        <v>3609.48394</v>
      </c>
      <c r="O88" s="274">
        <v>3617.5869438672003</v>
      </c>
      <c r="P88" s="274">
        <v>3617.5869438672003</v>
      </c>
      <c r="Q88" s="274">
        <v>3617.5869438672003</v>
      </c>
      <c r="R88" s="305">
        <v>3617.5869438672003</v>
      </c>
      <c r="S88" s="305"/>
      <c r="T88" s="305"/>
      <c r="U88" s="305"/>
      <c r="V88" s="273"/>
      <c r="W88" s="273"/>
      <c r="X88" s="273"/>
      <c r="Y88" s="273"/>
    </row>
    <row r="89" spans="1:25" ht="12.75">
      <c r="A89" s="304">
        <v>245</v>
      </c>
      <c r="B89" s="262" t="s">
        <v>226</v>
      </c>
      <c r="C89" s="260">
        <v>1</v>
      </c>
      <c r="D89" s="274">
        <v>135456.88463</v>
      </c>
      <c r="E89" s="274">
        <v>135193.41219891625</v>
      </c>
      <c r="F89" s="274">
        <v>142975.80524508358</v>
      </c>
      <c r="G89" s="274">
        <v>67979.52312843695</v>
      </c>
      <c r="H89" s="274">
        <v>64935.87826064463</v>
      </c>
      <c r="I89" s="274">
        <v>11635.172859999999</v>
      </c>
      <c r="J89" s="274">
        <v>9400.746721</v>
      </c>
      <c r="K89" s="274">
        <v>10176.895842</v>
      </c>
      <c r="L89" s="274">
        <v>7854.982713</v>
      </c>
      <c r="M89" s="274">
        <v>7953.787527</v>
      </c>
      <c r="N89" s="274">
        <v>9733.90024</v>
      </c>
      <c r="O89" s="274">
        <v>10166.689542715196</v>
      </c>
      <c r="P89" s="274">
        <v>10166.689542715196</v>
      </c>
      <c r="Q89" s="274">
        <v>10166.689542715196</v>
      </c>
      <c r="R89" s="305">
        <v>10166.689542715196</v>
      </c>
      <c r="S89" s="305"/>
      <c r="T89" s="305"/>
      <c r="U89" s="305"/>
      <c r="V89" s="273"/>
      <c r="W89" s="273"/>
      <c r="X89" s="273"/>
      <c r="Y89" s="273"/>
    </row>
    <row r="90" spans="1:25" ht="12.75">
      <c r="A90" s="304">
        <v>249</v>
      </c>
      <c r="B90" s="262" t="s">
        <v>227</v>
      </c>
      <c r="C90" s="260">
        <v>13</v>
      </c>
      <c r="D90" s="274">
        <v>28769.70138</v>
      </c>
      <c r="E90" s="274">
        <v>30578.834220350705</v>
      </c>
      <c r="F90" s="274">
        <v>31602.23046086207</v>
      </c>
      <c r="G90" s="274">
        <v>16777.766984896934</v>
      </c>
      <c r="H90" s="274">
        <v>16550.695966151463</v>
      </c>
      <c r="I90" s="274">
        <v>2595.19877</v>
      </c>
      <c r="J90" s="274">
        <v>2521.808665</v>
      </c>
      <c r="K90" s="274">
        <v>2730.3137</v>
      </c>
      <c r="L90" s="274">
        <v>2107.37805</v>
      </c>
      <c r="M90" s="274">
        <v>2133.88595</v>
      </c>
      <c r="N90" s="274">
        <v>2449.2297200000003</v>
      </c>
      <c r="O90" s="274">
        <v>2459.1118476024003</v>
      </c>
      <c r="P90" s="274">
        <v>2459.1118476024003</v>
      </c>
      <c r="Q90" s="274">
        <v>2459.1118476024003</v>
      </c>
      <c r="R90" s="305">
        <v>2459.1118476024003</v>
      </c>
      <c r="S90" s="305"/>
      <c r="T90" s="305"/>
      <c r="U90" s="305"/>
      <c r="V90" s="273"/>
      <c r="W90" s="273"/>
      <c r="X90" s="273"/>
      <c r="Y90" s="273"/>
    </row>
    <row r="91" spans="1:25" ht="12.75">
      <c r="A91" s="304">
        <v>250</v>
      </c>
      <c r="B91" s="262" t="s">
        <v>228</v>
      </c>
      <c r="C91" s="260">
        <v>6</v>
      </c>
      <c r="D91" s="274">
        <v>4684.94175</v>
      </c>
      <c r="E91" s="274">
        <v>4809.819553778963</v>
      </c>
      <c r="F91" s="274">
        <v>4880.582488744608</v>
      </c>
      <c r="G91" s="274">
        <v>2662.214306165931</v>
      </c>
      <c r="H91" s="274">
        <v>2636.7548277201454</v>
      </c>
      <c r="I91" s="274">
        <v>705.93522</v>
      </c>
      <c r="J91" s="274">
        <v>669.609863</v>
      </c>
      <c r="K91" s="274">
        <v>725.55054</v>
      </c>
      <c r="L91" s="274">
        <v>560.01231</v>
      </c>
      <c r="M91" s="274">
        <v>567.05649</v>
      </c>
      <c r="N91" s="274">
        <v>492.25167999999996</v>
      </c>
      <c r="O91" s="274">
        <v>556.0389820392</v>
      </c>
      <c r="P91" s="274">
        <v>556.0389820392</v>
      </c>
      <c r="Q91" s="274">
        <v>556.0389820392</v>
      </c>
      <c r="R91" s="305">
        <v>556.0389820392</v>
      </c>
      <c r="S91" s="305"/>
      <c r="T91" s="305"/>
      <c r="U91" s="305"/>
      <c r="V91" s="273"/>
      <c r="W91" s="273"/>
      <c r="X91" s="273"/>
      <c r="Y91" s="273"/>
    </row>
    <row r="92" spans="1:25" ht="12.75">
      <c r="A92" s="304">
        <v>256</v>
      </c>
      <c r="B92" s="262" t="s">
        <v>229</v>
      </c>
      <c r="C92" s="260">
        <v>13</v>
      </c>
      <c r="D92" s="274">
        <v>3838.3721</v>
      </c>
      <c r="E92" s="274">
        <v>3781.3962595703274</v>
      </c>
      <c r="F92" s="274">
        <v>4034.1551873270223</v>
      </c>
      <c r="G92" s="274">
        <v>2057.217359892637</v>
      </c>
      <c r="H92" s="274">
        <v>2012.5473521436063</v>
      </c>
      <c r="I92" s="274">
        <v>578.4305899999999</v>
      </c>
      <c r="J92" s="274">
        <v>584.690417</v>
      </c>
      <c r="K92" s="274">
        <v>633.9176199999999</v>
      </c>
      <c r="L92" s="274">
        <v>489.28593</v>
      </c>
      <c r="M92" s="274">
        <v>495.44047</v>
      </c>
      <c r="N92" s="274">
        <v>364.85187</v>
      </c>
      <c r="O92" s="274">
        <v>365.32765837200003</v>
      </c>
      <c r="P92" s="274">
        <v>365.32765837200003</v>
      </c>
      <c r="Q92" s="274">
        <v>365.32765837200003</v>
      </c>
      <c r="R92" s="305">
        <v>365.32765837200003</v>
      </c>
      <c r="S92" s="305"/>
      <c r="T92" s="305"/>
      <c r="U92" s="305"/>
      <c r="V92" s="273"/>
      <c r="W92" s="273"/>
      <c r="X92" s="273"/>
      <c r="Y92" s="273"/>
    </row>
    <row r="93" spans="1:25" ht="12.75">
      <c r="A93" s="304">
        <v>257</v>
      </c>
      <c r="B93" s="309" t="s">
        <v>230</v>
      </c>
      <c r="C93" s="260">
        <v>1</v>
      </c>
      <c r="D93" s="274">
        <v>171018.45166999998</v>
      </c>
      <c r="E93" s="274">
        <v>172991.0717794432</v>
      </c>
      <c r="F93" s="274">
        <v>182908.12815760451</v>
      </c>
      <c r="G93" s="274">
        <v>87567.64223487944</v>
      </c>
      <c r="H93" s="274">
        <v>83451.83005874154</v>
      </c>
      <c r="I93" s="274">
        <v>7264.79362</v>
      </c>
      <c r="J93" s="274">
        <v>6743.502077</v>
      </c>
      <c r="K93" s="274">
        <v>7282.277160000001</v>
      </c>
      <c r="L93" s="274">
        <v>5620.78674</v>
      </c>
      <c r="M93" s="274">
        <v>5691.48846</v>
      </c>
      <c r="N93" s="274">
        <v>11436.16956</v>
      </c>
      <c r="O93" s="274">
        <v>11517.719823568797</v>
      </c>
      <c r="P93" s="274">
        <v>11517.719823568797</v>
      </c>
      <c r="Q93" s="274">
        <v>11517.719823568797</v>
      </c>
      <c r="R93" s="305">
        <v>11517.719823568797</v>
      </c>
      <c r="S93" s="305"/>
      <c r="T93" s="305"/>
      <c r="U93" s="305"/>
      <c r="V93" s="273"/>
      <c r="W93" s="273"/>
      <c r="X93" s="273"/>
      <c r="Y93" s="273"/>
    </row>
    <row r="94" spans="1:25" ht="12.75">
      <c r="A94" s="304">
        <v>260</v>
      </c>
      <c r="B94" s="262" t="s">
        <v>231</v>
      </c>
      <c r="C94" s="260">
        <v>12</v>
      </c>
      <c r="D94" s="274">
        <v>28980.18048</v>
      </c>
      <c r="E94" s="274">
        <v>27915.688426256547</v>
      </c>
      <c r="F94" s="274">
        <v>29532.50484753587</v>
      </c>
      <c r="G94" s="274">
        <v>15631.945374157256</v>
      </c>
      <c r="H94" s="274">
        <v>15435.92289077235</v>
      </c>
      <c r="I94" s="274">
        <v>2594.07942</v>
      </c>
      <c r="J94" s="274">
        <v>2173.024292</v>
      </c>
      <c r="K94" s="274">
        <v>2354.799184</v>
      </c>
      <c r="L94" s="274">
        <v>1817.539176</v>
      </c>
      <c r="M94" s="274">
        <v>1840.4013039999998</v>
      </c>
      <c r="N94" s="274">
        <v>2747.5458399999998</v>
      </c>
      <c r="O94" s="274">
        <v>2842.862363712</v>
      </c>
      <c r="P94" s="274">
        <v>2842.862363712</v>
      </c>
      <c r="Q94" s="274">
        <v>2842.862363712</v>
      </c>
      <c r="R94" s="305">
        <v>2842.862363712</v>
      </c>
      <c r="S94" s="305"/>
      <c r="T94" s="305"/>
      <c r="U94" s="305"/>
      <c r="V94" s="273"/>
      <c r="W94" s="273"/>
      <c r="X94" s="273"/>
      <c r="Y94" s="273"/>
    </row>
    <row r="95" spans="1:25" ht="12.75">
      <c r="A95" s="304">
        <v>261</v>
      </c>
      <c r="B95" s="262" t="s">
        <v>232</v>
      </c>
      <c r="C95" s="260">
        <v>19</v>
      </c>
      <c r="D95" s="274">
        <v>19635.54236</v>
      </c>
      <c r="E95" s="274">
        <v>20088.179216637942</v>
      </c>
      <c r="F95" s="274">
        <v>20896.86617633873</v>
      </c>
      <c r="G95" s="274">
        <v>10776.203622835885</v>
      </c>
      <c r="H95" s="274">
        <v>10508.150162167252</v>
      </c>
      <c r="I95" s="274">
        <v>2402.2880800000003</v>
      </c>
      <c r="J95" s="274">
        <v>2182.7990080000004</v>
      </c>
      <c r="K95" s="274">
        <v>2366.070474</v>
      </c>
      <c r="L95" s="274">
        <v>1826.2388610000003</v>
      </c>
      <c r="M95" s="274">
        <v>1849.2104190000002</v>
      </c>
      <c r="N95" s="274">
        <v>7106.046969999999</v>
      </c>
      <c r="O95" s="274">
        <v>6889.067504503199</v>
      </c>
      <c r="P95" s="274">
        <v>6889.067504503199</v>
      </c>
      <c r="Q95" s="274">
        <v>6889.067504503199</v>
      </c>
      <c r="R95" s="305">
        <v>6889.067504503199</v>
      </c>
      <c r="S95" s="305"/>
      <c r="T95" s="305"/>
      <c r="U95" s="305"/>
      <c r="V95" s="273"/>
      <c r="W95" s="273"/>
      <c r="X95" s="273"/>
      <c r="Y95" s="273"/>
    </row>
    <row r="96" spans="1:25" ht="12.75">
      <c r="A96" s="304">
        <v>263</v>
      </c>
      <c r="B96" s="262" t="s">
        <v>233</v>
      </c>
      <c r="C96" s="260">
        <v>11</v>
      </c>
      <c r="D96" s="274">
        <v>20787.471920000004</v>
      </c>
      <c r="E96" s="274">
        <v>20571.527296182485</v>
      </c>
      <c r="F96" s="274">
        <v>21519.622197983645</v>
      </c>
      <c r="G96" s="274">
        <v>11160.127142120291</v>
      </c>
      <c r="H96" s="274">
        <v>10932.136002198176</v>
      </c>
      <c r="I96" s="274">
        <v>1985.72617</v>
      </c>
      <c r="J96" s="274">
        <v>1861.046262</v>
      </c>
      <c r="K96" s="274">
        <v>2013.218842</v>
      </c>
      <c r="L96" s="274">
        <v>1553.8922130000003</v>
      </c>
      <c r="M96" s="274">
        <v>1573.4380270000001</v>
      </c>
      <c r="N96" s="274">
        <v>1717.1331200000002</v>
      </c>
      <c r="O96" s="274">
        <v>1693.3590483312</v>
      </c>
      <c r="P96" s="274">
        <v>1693.3590483312</v>
      </c>
      <c r="Q96" s="274">
        <v>1693.3590483312</v>
      </c>
      <c r="R96" s="305">
        <v>1693.3590483312</v>
      </c>
      <c r="S96" s="305"/>
      <c r="T96" s="305"/>
      <c r="U96" s="305"/>
      <c r="V96" s="273"/>
      <c r="W96" s="273"/>
      <c r="X96" s="273"/>
      <c r="Y96" s="273"/>
    </row>
    <row r="97" spans="1:25" ht="12.75">
      <c r="A97" s="304">
        <v>265</v>
      </c>
      <c r="B97" s="262" t="s">
        <v>234</v>
      </c>
      <c r="C97" s="260">
        <v>13</v>
      </c>
      <c r="D97" s="274">
        <v>2518.06671</v>
      </c>
      <c r="E97" s="274">
        <v>2580.5518748709133</v>
      </c>
      <c r="F97" s="274">
        <v>2663.730536218668</v>
      </c>
      <c r="G97" s="274">
        <v>1475.0360016835295</v>
      </c>
      <c r="H97" s="274">
        <v>1445.7739049384843</v>
      </c>
      <c r="I97" s="274">
        <v>619.32562</v>
      </c>
      <c r="J97" s="274">
        <v>628.412179</v>
      </c>
      <c r="K97" s="274">
        <v>681.2908219999999</v>
      </c>
      <c r="L97" s="274">
        <v>525.850683</v>
      </c>
      <c r="M97" s="274">
        <v>532.465157</v>
      </c>
      <c r="N97" s="274">
        <v>378.79338</v>
      </c>
      <c r="O97" s="274">
        <v>435.402574344</v>
      </c>
      <c r="P97" s="274">
        <v>435.402574344</v>
      </c>
      <c r="Q97" s="274">
        <v>435.402574344</v>
      </c>
      <c r="R97" s="305">
        <v>435.402574344</v>
      </c>
      <c r="S97" s="305"/>
      <c r="T97" s="305"/>
      <c r="U97" s="305"/>
      <c r="V97" s="273"/>
      <c r="W97" s="273"/>
      <c r="X97" s="273"/>
      <c r="Y97" s="273"/>
    </row>
    <row r="98" spans="1:25" ht="12.75">
      <c r="A98" s="304">
        <v>271</v>
      </c>
      <c r="B98" s="262" t="s">
        <v>235</v>
      </c>
      <c r="C98" s="260">
        <v>4</v>
      </c>
      <c r="D98" s="274">
        <v>22875.12394</v>
      </c>
      <c r="E98" s="274">
        <v>22946.297573553573</v>
      </c>
      <c r="F98" s="274">
        <v>23770.382671046285</v>
      </c>
      <c r="G98" s="274">
        <v>12809.958731104687</v>
      </c>
      <c r="H98" s="274">
        <v>12640.231772694251</v>
      </c>
      <c r="I98" s="274">
        <v>1652.73537</v>
      </c>
      <c r="J98" s="274">
        <v>1237.718918</v>
      </c>
      <c r="K98" s="274">
        <v>1333.7268119999999</v>
      </c>
      <c r="L98" s="274">
        <v>1029.4299179999998</v>
      </c>
      <c r="M98" s="274">
        <v>1042.378722</v>
      </c>
      <c r="N98" s="274">
        <v>2300.77966</v>
      </c>
      <c r="O98" s="274">
        <v>2495.1367845696</v>
      </c>
      <c r="P98" s="274">
        <v>2495.1367845696</v>
      </c>
      <c r="Q98" s="274">
        <v>2495.1367845696</v>
      </c>
      <c r="R98" s="305">
        <v>2495.1367845696</v>
      </c>
      <c r="S98" s="305"/>
      <c r="T98" s="305"/>
      <c r="U98" s="305"/>
      <c r="V98" s="273"/>
      <c r="W98" s="273"/>
      <c r="X98" s="273"/>
      <c r="Y98" s="273"/>
    </row>
    <row r="99" spans="1:25" ht="12.75">
      <c r="A99" s="304">
        <v>272</v>
      </c>
      <c r="B99" s="310" t="s">
        <v>236</v>
      </c>
      <c r="C99" s="260">
        <v>16</v>
      </c>
      <c r="D99" s="274">
        <v>159223.45509</v>
      </c>
      <c r="E99" s="274">
        <v>162075.7452848587</v>
      </c>
      <c r="F99" s="274">
        <v>169441.6095218703</v>
      </c>
      <c r="G99" s="274">
        <v>92627.17744017387</v>
      </c>
      <c r="H99" s="274">
        <v>90646.70730719875</v>
      </c>
      <c r="I99" s="274">
        <v>16028.02318</v>
      </c>
      <c r="J99" s="274">
        <v>16027.113091</v>
      </c>
      <c r="K99" s="274">
        <v>17362.45147</v>
      </c>
      <c r="L99" s="274">
        <v>13401.115455000001</v>
      </c>
      <c r="M99" s="274">
        <v>13569.682945</v>
      </c>
      <c r="N99" s="274">
        <v>15457.07964</v>
      </c>
      <c r="O99" s="274">
        <v>15334.851163116002</v>
      </c>
      <c r="P99" s="274">
        <v>15334.851163116002</v>
      </c>
      <c r="Q99" s="274">
        <v>15334.851163116002</v>
      </c>
      <c r="R99" s="305">
        <v>15334.851163116002</v>
      </c>
      <c r="S99" s="305"/>
      <c r="T99" s="305"/>
      <c r="U99" s="305"/>
      <c r="V99" s="273"/>
      <c r="W99" s="273"/>
      <c r="X99" s="273"/>
      <c r="Y99" s="273"/>
    </row>
    <row r="100" spans="1:25" ht="12.75">
      <c r="A100" s="304">
        <v>273</v>
      </c>
      <c r="B100" s="262" t="s">
        <v>237</v>
      </c>
      <c r="C100" s="260">
        <v>19</v>
      </c>
      <c r="D100" s="274">
        <v>9989.80715</v>
      </c>
      <c r="E100" s="274">
        <v>10754.81092790793</v>
      </c>
      <c r="F100" s="274">
        <v>10744.48028031887</v>
      </c>
      <c r="G100" s="274">
        <v>5609.003900359942</v>
      </c>
      <c r="H100" s="274">
        <v>5476.198361276434</v>
      </c>
      <c r="I100" s="274">
        <v>731.94804</v>
      </c>
      <c r="J100" s="274">
        <v>801.300969</v>
      </c>
      <c r="K100" s="274">
        <v>868.2525079999999</v>
      </c>
      <c r="L100" s="274">
        <v>670.156062</v>
      </c>
      <c r="M100" s="274">
        <v>678.5856979999999</v>
      </c>
      <c r="N100" s="274">
        <v>3409.5943500000003</v>
      </c>
      <c r="O100" s="274">
        <v>3695.0538686735995</v>
      </c>
      <c r="P100" s="274">
        <v>3695.0538686735995</v>
      </c>
      <c r="Q100" s="274">
        <v>3695.0538686735995</v>
      </c>
      <c r="R100" s="305">
        <v>3695.0538686735995</v>
      </c>
      <c r="S100" s="305"/>
      <c r="T100" s="305"/>
      <c r="U100" s="305"/>
      <c r="V100" s="273"/>
      <c r="W100" s="273"/>
      <c r="X100" s="273"/>
      <c r="Y100" s="273"/>
    </row>
    <row r="101" spans="1:25" ht="12.75">
      <c r="A101" s="304">
        <v>275</v>
      </c>
      <c r="B101" s="262" t="s">
        <v>238</v>
      </c>
      <c r="C101" s="260">
        <v>13</v>
      </c>
      <c r="D101" s="274">
        <v>7240.68974</v>
      </c>
      <c r="E101" s="274">
        <v>7447.73763123352</v>
      </c>
      <c r="F101" s="274">
        <v>7775.748904806005</v>
      </c>
      <c r="G101" s="274">
        <v>4272.9224379609705</v>
      </c>
      <c r="H101" s="274">
        <v>4221.918373682055</v>
      </c>
      <c r="I101" s="274">
        <v>807.9441800000001</v>
      </c>
      <c r="J101" s="274">
        <v>831.632524</v>
      </c>
      <c r="K101" s="274">
        <v>901.4090319999999</v>
      </c>
      <c r="L101" s="274">
        <v>695.747748</v>
      </c>
      <c r="M101" s="274">
        <v>704.499292</v>
      </c>
      <c r="N101" s="274">
        <v>765.2450799999999</v>
      </c>
      <c r="O101" s="274">
        <v>779.309741388</v>
      </c>
      <c r="P101" s="274">
        <v>779.309741388</v>
      </c>
      <c r="Q101" s="274">
        <v>779.309741388</v>
      </c>
      <c r="R101" s="305">
        <v>779.309741388</v>
      </c>
      <c r="S101" s="305"/>
      <c r="T101" s="305"/>
      <c r="U101" s="305"/>
      <c r="V101" s="273"/>
      <c r="W101" s="273"/>
      <c r="X101" s="273"/>
      <c r="Y101" s="273"/>
    </row>
    <row r="102" spans="1:25" ht="12.75">
      <c r="A102" s="304">
        <v>276</v>
      </c>
      <c r="B102" s="262" t="s">
        <v>239</v>
      </c>
      <c r="C102" s="260">
        <v>12</v>
      </c>
      <c r="D102" s="274">
        <v>46162.35587</v>
      </c>
      <c r="E102" s="274">
        <v>46745.2617502957</v>
      </c>
      <c r="F102" s="274">
        <v>49699.053476888505</v>
      </c>
      <c r="G102" s="274">
        <v>25758.9740694714</v>
      </c>
      <c r="H102" s="274">
        <v>24892.391704746307</v>
      </c>
      <c r="I102" s="274">
        <v>1873.19895</v>
      </c>
      <c r="J102" s="274">
        <v>1449.338667</v>
      </c>
      <c r="K102" s="274">
        <v>1569.301202</v>
      </c>
      <c r="L102" s="274">
        <v>1211.2567530000001</v>
      </c>
      <c r="M102" s="274">
        <v>1226.4926870000002</v>
      </c>
      <c r="N102" s="274">
        <v>2721.19237</v>
      </c>
      <c r="O102" s="274">
        <v>2765.8736956727994</v>
      </c>
      <c r="P102" s="274">
        <v>2765.8736956727994</v>
      </c>
      <c r="Q102" s="274">
        <v>2765.8736956727994</v>
      </c>
      <c r="R102" s="305">
        <v>2765.8736956727994</v>
      </c>
      <c r="S102" s="305"/>
      <c r="T102" s="305"/>
      <c r="U102" s="305"/>
      <c r="V102" s="273"/>
      <c r="W102" s="273"/>
      <c r="X102" s="273"/>
      <c r="Y102" s="273"/>
    </row>
    <row r="103" spans="1:25" ht="12.75">
      <c r="A103" s="304">
        <v>280</v>
      </c>
      <c r="B103" s="262" t="s">
        <v>240</v>
      </c>
      <c r="C103" s="260">
        <v>15</v>
      </c>
      <c r="D103" s="274">
        <v>5403.72713</v>
      </c>
      <c r="E103" s="274">
        <v>5392.609551271669</v>
      </c>
      <c r="F103" s="274">
        <v>5601.967518288406</v>
      </c>
      <c r="G103" s="274">
        <v>3141.8369880907753</v>
      </c>
      <c r="H103" s="274">
        <v>3075.7243282278623</v>
      </c>
      <c r="I103" s="274">
        <v>974.50162</v>
      </c>
      <c r="J103" s="274">
        <v>867.0317249999999</v>
      </c>
      <c r="K103" s="274">
        <v>939.345374</v>
      </c>
      <c r="L103" s="274">
        <v>725.0287109999999</v>
      </c>
      <c r="M103" s="274">
        <v>734.1485689999998</v>
      </c>
      <c r="N103" s="274">
        <v>708.5968</v>
      </c>
      <c r="O103" s="274">
        <v>743.7768452568</v>
      </c>
      <c r="P103" s="274">
        <v>743.7768452568</v>
      </c>
      <c r="Q103" s="274">
        <v>743.7768452568</v>
      </c>
      <c r="R103" s="305">
        <v>743.7768452568</v>
      </c>
      <c r="S103" s="305"/>
      <c r="T103" s="305"/>
      <c r="U103" s="305"/>
      <c r="V103" s="273"/>
      <c r="W103" s="273"/>
      <c r="X103" s="273"/>
      <c r="Y103" s="273"/>
    </row>
    <row r="104" spans="1:25" ht="12.75">
      <c r="A104" s="304">
        <v>284</v>
      </c>
      <c r="B104" s="262" t="s">
        <v>241</v>
      </c>
      <c r="C104" s="260">
        <v>2</v>
      </c>
      <c r="D104" s="274">
        <v>6359.410879999999</v>
      </c>
      <c r="E104" s="274">
        <v>5955.886685020217</v>
      </c>
      <c r="F104" s="274">
        <v>6406.566695343815</v>
      </c>
      <c r="G104" s="274">
        <v>3077.0829398432898</v>
      </c>
      <c r="H104" s="274">
        <v>2979.6640597734627</v>
      </c>
      <c r="I104" s="274">
        <v>543.47845</v>
      </c>
      <c r="J104" s="274">
        <v>619.4791280000001</v>
      </c>
      <c r="K104" s="274">
        <v>672.019998</v>
      </c>
      <c r="L104" s="274">
        <v>518.695047</v>
      </c>
      <c r="M104" s="274">
        <v>525.2195129999999</v>
      </c>
      <c r="N104" s="274">
        <v>536.01036</v>
      </c>
      <c r="O104" s="274">
        <v>522.4489905624</v>
      </c>
      <c r="P104" s="274">
        <v>522.4489905624</v>
      </c>
      <c r="Q104" s="274">
        <v>522.4489905624</v>
      </c>
      <c r="R104" s="305">
        <v>522.4489905624</v>
      </c>
      <c r="S104" s="305"/>
      <c r="T104" s="305"/>
      <c r="U104" s="305"/>
      <c r="V104" s="273"/>
      <c r="W104" s="273"/>
      <c r="X104" s="273"/>
      <c r="Y104" s="273"/>
    </row>
    <row r="105" spans="1:25" ht="12.75">
      <c r="A105" s="304">
        <v>285</v>
      </c>
      <c r="B105" s="262" t="s">
        <v>242</v>
      </c>
      <c r="C105" s="260">
        <v>8</v>
      </c>
      <c r="D105" s="274">
        <v>191006.38755</v>
      </c>
      <c r="E105" s="274">
        <v>193336.6563028465</v>
      </c>
      <c r="F105" s="274">
        <v>201079.10157879654</v>
      </c>
      <c r="G105" s="274">
        <v>105891.24756299963</v>
      </c>
      <c r="H105" s="274">
        <v>104153.27895241586</v>
      </c>
      <c r="I105" s="274">
        <v>10128.32592</v>
      </c>
      <c r="J105" s="274">
        <v>9821.696474</v>
      </c>
      <c r="K105" s="274">
        <v>10627.50704</v>
      </c>
      <c r="L105" s="274">
        <v>8202.78456</v>
      </c>
      <c r="M105" s="274">
        <v>8305.96424</v>
      </c>
      <c r="N105" s="274">
        <v>15045.884800000002</v>
      </c>
      <c r="O105" s="274">
        <v>15072.6014988</v>
      </c>
      <c r="P105" s="274">
        <v>15072.6014988</v>
      </c>
      <c r="Q105" s="274">
        <v>15072.6014988</v>
      </c>
      <c r="R105" s="305">
        <v>15072.6014988</v>
      </c>
      <c r="S105" s="305"/>
      <c r="T105" s="305"/>
      <c r="U105" s="305"/>
      <c r="V105" s="273"/>
      <c r="W105" s="273"/>
      <c r="X105" s="273"/>
      <c r="Y105" s="273"/>
    </row>
    <row r="106" spans="1:25" ht="12.75">
      <c r="A106" s="304">
        <v>286</v>
      </c>
      <c r="B106" s="262" t="s">
        <v>243</v>
      </c>
      <c r="C106" s="260">
        <v>8</v>
      </c>
      <c r="D106" s="274">
        <v>289189.36488</v>
      </c>
      <c r="E106" s="274">
        <v>291520.39804149565</v>
      </c>
      <c r="F106" s="274">
        <v>303297.20139215357</v>
      </c>
      <c r="G106" s="274">
        <v>154154.8361686571</v>
      </c>
      <c r="H106" s="274">
        <v>150877.60704732174</v>
      </c>
      <c r="I106" s="274">
        <v>20631.09481</v>
      </c>
      <c r="J106" s="274">
        <v>20813.471135</v>
      </c>
      <c r="K106" s="274">
        <v>22548.715504</v>
      </c>
      <c r="L106" s="274">
        <v>17404.105656</v>
      </c>
      <c r="M106" s="274">
        <v>17623.025224</v>
      </c>
      <c r="N106" s="274">
        <v>28306.38024</v>
      </c>
      <c r="O106" s="274">
        <v>28022.120864303994</v>
      </c>
      <c r="P106" s="274">
        <v>28022.120864303994</v>
      </c>
      <c r="Q106" s="274">
        <v>28022.120864303994</v>
      </c>
      <c r="R106" s="305">
        <v>28022.120864303994</v>
      </c>
      <c r="S106" s="305"/>
      <c r="T106" s="305"/>
      <c r="U106" s="305"/>
      <c r="V106" s="273"/>
      <c r="W106" s="273"/>
      <c r="X106" s="273"/>
      <c r="Y106" s="273"/>
    </row>
    <row r="107" spans="1:25" ht="12.75">
      <c r="A107" s="304">
        <v>287</v>
      </c>
      <c r="B107" s="310" t="s">
        <v>244</v>
      </c>
      <c r="C107" s="260">
        <v>15</v>
      </c>
      <c r="D107" s="274">
        <v>20405.436329999997</v>
      </c>
      <c r="E107" s="274">
        <v>20258.134117151163</v>
      </c>
      <c r="F107" s="274">
        <v>20940.8435472309</v>
      </c>
      <c r="G107" s="274">
        <v>11295.88774481479</v>
      </c>
      <c r="H107" s="274">
        <v>11160.538707460168</v>
      </c>
      <c r="I107" s="274">
        <v>1573.4136799999999</v>
      </c>
      <c r="J107" s="274">
        <v>1563.832846</v>
      </c>
      <c r="K107" s="274">
        <v>1695.1840940000002</v>
      </c>
      <c r="L107" s="274">
        <v>1308.418791</v>
      </c>
      <c r="M107" s="274">
        <v>1324.876889</v>
      </c>
      <c r="N107" s="274">
        <v>2118.3498799999998</v>
      </c>
      <c r="O107" s="274">
        <v>2718.4738443624005</v>
      </c>
      <c r="P107" s="274">
        <v>2718.4738443624005</v>
      </c>
      <c r="Q107" s="274">
        <v>2718.4738443624005</v>
      </c>
      <c r="R107" s="305">
        <v>2718.4738443624005</v>
      </c>
      <c r="S107" s="305"/>
      <c r="T107" s="305"/>
      <c r="U107" s="305"/>
      <c r="V107" s="273"/>
      <c r="W107" s="273"/>
      <c r="X107" s="273"/>
      <c r="Y107" s="273"/>
    </row>
    <row r="108" spans="1:25" ht="12.75">
      <c r="A108" s="304">
        <v>288</v>
      </c>
      <c r="B108" s="262" t="s">
        <v>245</v>
      </c>
      <c r="C108" s="260">
        <v>15</v>
      </c>
      <c r="D108" s="274">
        <v>18707.031440000002</v>
      </c>
      <c r="E108" s="274">
        <v>20197.253683128958</v>
      </c>
      <c r="F108" s="274">
        <v>20907.550787896904</v>
      </c>
      <c r="G108" s="274">
        <v>11748.221578152741</v>
      </c>
      <c r="H108" s="274">
        <v>11464.58695349848</v>
      </c>
      <c r="I108" s="274">
        <v>2466.58853</v>
      </c>
      <c r="J108" s="274">
        <v>2396.0273490000004</v>
      </c>
      <c r="K108" s="274">
        <v>2600.6968520000005</v>
      </c>
      <c r="L108" s="274">
        <v>2007.333978</v>
      </c>
      <c r="M108" s="274">
        <v>2032.5834620000003</v>
      </c>
      <c r="N108" s="274">
        <v>1584.5253400000001</v>
      </c>
      <c r="O108" s="274">
        <v>1803.9903978000002</v>
      </c>
      <c r="P108" s="274">
        <v>1803.9903978000002</v>
      </c>
      <c r="Q108" s="274">
        <v>1803.9903978000002</v>
      </c>
      <c r="R108" s="305">
        <v>1803.9903978000002</v>
      </c>
      <c r="S108" s="305"/>
      <c r="T108" s="305"/>
      <c r="U108" s="305"/>
      <c r="V108" s="273"/>
      <c r="W108" s="273"/>
      <c r="X108" s="273"/>
      <c r="Y108" s="273"/>
    </row>
    <row r="109" spans="1:25" ht="12.75">
      <c r="A109" s="304">
        <v>290</v>
      </c>
      <c r="B109" s="262" t="s">
        <v>246</v>
      </c>
      <c r="C109" s="260">
        <v>18</v>
      </c>
      <c r="D109" s="274">
        <v>23768.05859</v>
      </c>
      <c r="E109" s="274">
        <v>23679.31764719342</v>
      </c>
      <c r="F109" s="274">
        <v>24345.782667008883</v>
      </c>
      <c r="G109" s="274">
        <v>12923.361871963112</v>
      </c>
      <c r="H109" s="274">
        <v>12779.262520941533</v>
      </c>
      <c r="I109" s="274">
        <v>3190.27755</v>
      </c>
      <c r="J109" s="274">
        <v>2921.689069</v>
      </c>
      <c r="K109" s="274">
        <v>3163.87263</v>
      </c>
      <c r="L109" s="274">
        <v>2442.018195</v>
      </c>
      <c r="M109" s="274">
        <v>2472.735405</v>
      </c>
      <c r="N109" s="274">
        <v>2140.7585</v>
      </c>
      <c r="O109" s="274">
        <v>2115.7563479568003</v>
      </c>
      <c r="P109" s="274">
        <v>2115.7563479568003</v>
      </c>
      <c r="Q109" s="274">
        <v>2115.7563479568003</v>
      </c>
      <c r="R109" s="305">
        <v>2115.7563479568003</v>
      </c>
      <c r="S109" s="305"/>
      <c r="T109" s="305"/>
      <c r="U109" s="305"/>
      <c r="V109" s="273"/>
      <c r="W109" s="273"/>
      <c r="X109" s="273"/>
      <c r="Y109" s="273"/>
    </row>
    <row r="110" spans="1:25" ht="12.75">
      <c r="A110" s="304">
        <v>291</v>
      </c>
      <c r="B110" s="262" t="s">
        <v>247</v>
      </c>
      <c r="C110" s="260">
        <v>13</v>
      </c>
      <c r="D110" s="274">
        <v>5720.395259999999</v>
      </c>
      <c r="E110" s="274">
        <v>5979.86526728883</v>
      </c>
      <c r="F110" s="274">
        <v>5980.307627359386</v>
      </c>
      <c r="G110" s="274">
        <v>3084.652713583453</v>
      </c>
      <c r="H110" s="274">
        <v>3027.8068811489334</v>
      </c>
      <c r="I110" s="274">
        <v>1005.6965</v>
      </c>
      <c r="J110" s="274">
        <v>1029.914958</v>
      </c>
      <c r="K110" s="274">
        <v>1117.142532</v>
      </c>
      <c r="L110" s="274">
        <v>862.2604979999999</v>
      </c>
      <c r="M110" s="274">
        <v>873.106542</v>
      </c>
      <c r="N110" s="274">
        <v>1340.7714799999999</v>
      </c>
      <c r="O110" s="274">
        <v>1335.1669247040002</v>
      </c>
      <c r="P110" s="274">
        <v>1335.1669247040002</v>
      </c>
      <c r="Q110" s="274">
        <v>1335.1669247040002</v>
      </c>
      <c r="R110" s="305">
        <v>1335.1669247040002</v>
      </c>
      <c r="S110" s="305"/>
      <c r="T110" s="305"/>
      <c r="U110" s="305"/>
      <c r="V110" s="273"/>
      <c r="W110" s="273"/>
      <c r="X110" s="273"/>
      <c r="Y110" s="273"/>
    </row>
    <row r="111" spans="1:25" ht="12.75">
      <c r="A111" s="304">
        <v>297</v>
      </c>
      <c r="B111" s="262" t="s">
        <v>248</v>
      </c>
      <c r="C111" s="260">
        <v>11</v>
      </c>
      <c r="D111" s="274">
        <v>388774.47106999997</v>
      </c>
      <c r="E111" s="274">
        <v>389723.12590982777</v>
      </c>
      <c r="F111" s="274">
        <v>412417.65935075</v>
      </c>
      <c r="G111" s="274">
        <v>212652.4103878384</v>
      </c>
      <c r="H111" s="274">
        <v>206216.9585857159</v>
      </c>
      <c r="I111" s="274">
        <v>25536.82243</v>
      </c>
      <c r="J111" s="274">
        <v>24452.113984</v>
      </c>
      <c r="K111" s="274">
        <v>26518.906329999998</v>
      </c>
      <c r="L111" s="274">
        <v>20468.476245</v>
      </c>
      <c r="M111" s="274">
        <v>20725.941355</v>
      </c>
      <c r="N111" s="274">
        <v>38433.51636</v>
      </c>
      <c r="O111" s="274">
        <v>38460.03350829119</v>
      </c>
      <c r="P111" s="274">
        <v>38460.03350829119</v>
      </c>
      <c r="Q111" s="274">
        <v>38460.03350829119</v>
      </c>
      <c r="R111" s="305">
        <v>38460.03350829119</v>
      </c>
      <c r="S111" s="305"/>
      <c r="T111" s="305"/>
      <c r="U111" s="305"/>
      <c r="V111" s="273"/>
      <c r="W111" s="273"/>
      <c r="X111" s="273"/>
      <c r="Y111" s="273"/>
    </row>
    <row r="112" spans="1:25" ht="12.75">
      <c r="A112" s="304">
        <v>300</v>
      </c>
      <c r="B112" s="262" t="s">
        <v>249</v>
      </c>
      <c r="C112" s="260">
        <v>14</v>
      </c>
      <c r="D112" s="274">
        <v>9699.98044</v>
      </c>
      <c r="E112" s="274">
        <v>9545.80969670587</v>
      </c>
      <c r="F112" s="274">
        <v>9882.253399826093</v>
      </c>
      <c r="G112" s="274">
        <v>5216.4475115455925</v>
      </c>
      <c r="H112" s="274">
        <v>5126.183775726116</v>
      </c>
      <c r="I112" s="274">
        <v>755.04972</v>
      </c>
      <c r="J112" s="274">
        <v>719.053709</v>
      </c>
      <c r="K112" s="274">
        <v>779.2226039999999</v>
      </c>
      <c r="L112" s="274">
        <v>601.438806</v>
      </c>
      <c r="M112" s="274">
        <v>609.004074</v>
      </c>
      <c r="N112" s="274">
        <v>848.8908299999999</v>
      </c>
      <c r="O112" s="274">
        <v>839.5068158688001</v>
      </c>
      <c r="P112" s="274">
        <v>839.5068158688001</v>
      </c>
      <c r="Q112" s="274">
        <v>839.5068158688001</v>
      </c>
      <c r="R112" s="305">
        <v>839.5068158688001</v>
      </c>
      <c r="S112" s="305"/>
      <c r="T112" s="305"/>
      <c r="U112" s="305"/>
      <c r="V112" s="273"/>
      <c r="W112" s="273"/>
      <c r="X112" s="273"/>
      <c r="Y112" s="273"/>
    </row>
    <row r="113" spans="1:25" ht="12.75">
      <c r="A113" s="304">
        <v>301</v>
      </c>
      <c r="B113" s="262" t="s">
        <v>250</v>
      </c>
      <c r="C113" s="260">
        <v>14</v>
      </c>
      <c r="D113" s="274">
        <v>57838.90812</v>
      </c>
      <c r="E113" s="274">
        <v>58593.15079807786</v>
      </c>
      <c r="F113" s="274">
        <v>61085.65213644525</v>
      </c>
      <c r="G113" s="274">
        <v>32214.324704448958</v>
      </c>
      <c r="H113" s="274">
        <v>31577.435437378834</v>
      </c>
      <c r="I113" s="274">
        <v>4317.69034</v>
      </c>
      <c r="J113" s="274">
        <v>4116.391237</v>
      </c>
      <c r="K113" s="274">
        <v>4451.538872</v>
      </c>
      <c r="L113" s="274">
        <v>3435.8965080000003</v>
      </c>
      <c r="M113" s="274">
        <v>3479.1153320000003</v>
      </c>
      <c r="N113" s="274">
        <v>4335.68504</v>
      </c>
      <c r="O113" s="274">
        <v>4392.0743362344</v>
      </c>
      <c r="P113" s="274">
        <v>4392.0743362344</v>
      </c>
      <c r="Q113" s="274">
        <v>4392.0743362344</v>
      </c>
      <c r="R113" s="305">
        <v>4392.0743362344</v>
      </c>
      <c r="S113" s="305"/>
      <c r="T113" s="305"/>
      <c r="U113" s="305"/>
      <c r="V113" s="273"/>
      <c r="W113" s="273"/>
      <c r="X113" s="273"/>
      <c r="Y113" s="273"/>
    </row>
    <row r="114" spans="1:25" ht="12.75">
      <c r="A114" s="304">
        <v>304</v>
      </c>
      <c r="B114" s="262" t="s">
        <v>251</v>
      </c>
      <c r="C114" s="260">
        <v>2</v>
      </c>
      <c r="D114" s="274">
        <v>2425.18455</v>
      </c>
      <c r="E114" s="274">
        <v>2860.0694794546016</v>
      </c>
      <c r="F114" s="274">
        <v>2773.6462888812225</v>
      </c>
      <c r="G114" s="274">
        <v>1315.7882878835521</v>
      </c>
      <c r="H114" s="274">
        <v>1263.079383522631</v>
      </c>
      <c r="I114" s="274">
        <v>201.19039999999998</v>
      </c>
      <c r="J114" s="274">
        <v>232.98742399999998</v>
      </c>
      <c r="K114" s="274">
        <v>252.84481199999996</v>
      </c>
      <c r="L114" s="274">
        <v>195.15691799999996</v>
      </c>
      <c r="M114" s="274">
        <v>197.611722</v>
      </c>
      <c r="N114" s="274">
        <v>1402.42194</v>
      </c>
      <c r="O114" s="274">
        <v>1413.2273077824</v>
      </c>
      <c r="P114" s="274">
        <v>1413.2273077824</v>
      </c>
      <c r="Q114" s="274">
        <v>1413.2273077824</v>
      </c>
      <c r="R114" s="305">
        <v>1413.2273077824</v>
      </c>
      <c r="S114" s="305"/>
      <c r="T114" s="305"/>
      <c r="U114" s="305"/>
      <c r="V114" s="273"/>
      <c r="W114" s="273"/>
      <c r="X114" s="273"/>
      <c r="Y114" s="273"/>
    </row>
    <row r="115" spans="1:25" ht="12.75">
      <c r="A115" s="304">
        <v>305</v>
      </c>
      <c r="B115" s="262" t="s">
        <v>252</v>
      </c>
      <c r="C115" s="260">
        <v>17</v>
      </c>
      <c r="D115" s="274">
        <v>41782.8415</v>
      </c>
      <c r="E115" s="274">
        <v>41565.116371390824</v>
      </c>
      <c r="F115" s="274">
        <v>43292.56484216093</v>
      </c>
      <c r="G115" s="274">
        <v>21727.009295904376</v>
      </c>
      <c r="H115" s="274">
        <v>21121.799815339436</v>
      </c>
      <c r="I115" s="274">
        <v>4066.8434300000004</v>
      </c>
      <c r="J115" s="274">
        <v>3949.001214</v>
      </c>
      <c r="K115" s="274">
        <v>4276.802462</v>
      </c>
      <c r="L115" s="274">
        <v>3301.027143</v>
      </c>
      <c r="M115" s="274">
        <v>3342.549497</v>
      </c>
      <c r="N115" s="274">
        <v>6736.5134100000005</v>
      </c>
      <c r="O115" s="274">
        <v>7246.145753808</v>
      </c>
      <c r="P115" s="274">
        <v>7246.145753808</v>
      </c>
      <c r="Q115" s="274">
        <v>7246.145753808</v>
      </c>
      <c r="R115" s="305">
        <v>7246.145753808</v>
      </c>
      <c r="S115" s="305"/>
      <c r="T115" s="305"/>
      <c r="U115" s="305"/>
      <c r="V115" s="273"/>
      <c r="W115" s="273"/>
      <c r="X115" s="273"/>
      <c r="Y115" s="273"/>
    </row>
    <row r="116" spans="1:25" ht="12.75">
      <c r="A116" s="304">
        <v>312</v>
      </c>
      <c r="B116" s="262" t="s">
        <v>253</v>
      </c>
      <c r="C116" s="260">
        <v>13</v>
      </c>
      <c r="D116" s="274">
        <v>3422.66246</v>
      </c>
      <c r="E116" s="274">
        <v>3647.8814973820363</v>
      </c>
      <c r="F116" s="274">
        <v>3688.8460015163037</v>
      </c>
      <c r="G116" s="274">
        <v>1966.8464168118965</v>
      </c>
      <c r="H116" s="274">
        <v>1956.1617129611684</v>
      </c>
      <c r="I116" s="274">
        <v>577.0068</v>
      </c>
      <c r="J116" s="274">
        <v>624.6401619999999</v>
      </c>
      <c r="K116" s="274">
        <v>676.5519979999999</v>
      </c>
      <c r="L116" s="274">
        <v>522.193047</v>
      </c>
      <c r="M116" s="274">
        <v>528.7615129999999</v>
      </c>
      <c r="N116" s="274">
        <v>320.68012</v>
      </c>
      <c r="O116" s="274">
        <v>382.44053619600004</v>
      </c>
      <c r="P116" s="274">
        <v>382.44053619600004</v>
      </c>
      <c r="Q116" s="274">
        <v>382.44053619600004</v>
      </c>
      <c r="R116" s="305">
        <v>382.44053619600004</v>
      </c>
      <c r="S116" s="305"/>
      <c r="T116" s="305"/>
      <c r="U116" s="305"/>
      <c r="V116" s="273"/>
      <c r="W116" s="273"/>
      <c r="X116" s="273"/>
      <c r="Y116" s="273"/>
    </row>
    <row r="117" spans="1:25" ht="12.75">
      <c r="A117" s="304">
        <v>316</v>
      </c>
      <c r="B117" s="262" t="s">
        <v>254</v>
      </c>
      <c r="C117" s="260">
        <v>7</v>
      </c>
      <c r="D117" s="274">
        <v>14789.48171</v>
      </c>
      <c r="E117" s="274">
        <v>14300.761931729425</v>
      </c>
      <c r="F117" s="274">
        <v>14920.221618221734</v>
      </c>
      <c r="G117" s="274">
        <v>8138.276933444727</v>
      </c>
      <c r="H117" s="274">
        <v>7976.841500513456</v>
      </c>
      <c r="I117" s="274">
        <v>735.5159699999999</v>
      </c>
      <c r="J117" s="274">
        <v>611.5053620000001</v>
      </c>
      <c r="K117" s="274">
        <v>662.5841680000001</v>
      </c>
      <c r="L117" s="274">
        <v>511.4120520000001</v>
      </c>
      <c r="M117" s="274">
        <v>517.844908</v>
      </c>
      <c r="N117" s="274">
        <v>1161.30652</v>
      </c>
      <c r="O117" s="274">
        <v>1117.8068734800001</v>
      </c>
      <c r="P117" s="274">
        <v>1117.8068734800001</v>
      </c>
      <c r="Q117" s="274">
        <v>1117.8068734800001</v>
      </c>
      <c r="R117" s="305">
        <v>1117.8068734800001</v>
      </c>
      <c r="S117" s="305"/>
      <c r="T117" s="305"/>
      <c r="U117" s="305"/>
      <c r="V117" s="273"/>
      <c r="W117" s="273"/>
      <c r="X117" s="273"/>
      <c r="Y117" s="273"/>
    </row>
    <row r="118" spans="1:25" ht="12.75">
      <c r="A118" s="304">
        <v>317</v>
      </c>
      <c r="B118" s="262" t="s">
        <v>255</v>
      </c>
      <c r="C118" s="275">
        <v>17</v>
      </c>
      <c r="D118" s="274">
        <v>5780.55617</v>
      </c>
      <c r="E118" s="274">
        <v>5942.0427157064605</v>
      </c>
      <c r="F118" s="274">
        <v>6206.622258299273</v>
      </c>
      <c r="G118" s="274">
        <v>3366.206451103674</v>
      </c>
      <c r="H118" s="274">
        <v>3328.5597461618336</v>
      </c>
      <c r="I118" s="274">
        <v>626.05261</v>
      </c>
      <c r="J118" s="274">
        <v>597.6222189999999</v>
      </c>
      <c r="K118" s="274">
        <v>648.1079299999999</v>
      </c>
      <c r="L118" s="274">
        <v>500.23864499999996</v>
      </c>
      <c r="M118" s="274">
        <v>506.530955</v>
      </c>
      <c r="N118" s="274">
        <v>470.24837</v>
      </c>
      <c r="O118" s="274">
        <v>572.82450786</v>
      </c>
      <c r="P118" s="274">
        <v>572.82450786</v>
      </c>
      <c r="Q118" s="274">
        <v>572.82450786</v>
      </c>
      <c r="R118" s="305">
        <v>572.82450786</v>
      </c>
      <c r="S118" s="305"/>
      <c r="T118" s="305"/>
      <c r="U118" s="305"/>
      <c r="V118" s="273"/>
      <c r="W118" s="273"/>
      <c r="X118" s="273"/>
      <c r="Y118" s="273"/>
    </row>
    <row r="119" spans="1:25" ht="12.75">
      <c r="A119" s="304">
        <v>398</v>
      </c>
      <c r="B119" s="262" t="s">
        <v>256</v>
      </c>
      <c r="C119" s="260">
        <v>7</v>
      </c>
      <c r="D119" s="274">
        <v>390175.45144</v>
      </c>
      <c r="E119" s="274">
        <v>405011.84906529135</v>
      </c>
      <c r="F119" s="274">
        <v>423604.50421980215</v>
      </c>
      <c r="G119" s="274">
        <v>217923.60254800977</v>
      </c>
      <c r="H119" s="274">
        <v>213012.12159997673</v>
      </c>
      <c r="I119" s="274">
        <v>26717.54085</v>
      </c>
      <c r="J119" s="274">
        <v>27932.905597</v>
      </c>
      <c r="K119" s="274">
        <v>30266.3234</v>
      </c>
      <c r="L119" s="274">
        <v>23360.9001</v>
      </c>
      <c r="M119" s="274">
        <v>23654.747900000002</v>
      </c>
      <c r="N119" s="274">
        <v>35897.40503</v>
      </c>
      <c r="O119" s="274">
        <v>40745.474527404</v>
      </c>
      <c r="P119" s="274">
        <v>40745.474527404</v>
      </c>
      <c r="Q119" s="274">
        <v>40745.474527404</v>
      </c>
      <c r="R119" s="305">
        <v>40745.474527404</v>
      </c>
      <c r="S119" s="305"/>
      <c r="T119" s="305"/>
      <c r="U119" s="305"/>
      <c r="V119" s="273"/>
      <c r="W119" s="273"/>
      <c r="X119" s="273"/>
      <c r="Y119" s="273"/>
    </row>
    <row r="120" spans="1:25" ht="12.75">
      <c r="A120" s="304">
        <v>399</v>
      </c>
      <c r="B120" s="310" t="s">
        <v>257</v>
      </c>
      <c r="C120" s="260">
        <v>15</v>
      </c>
      <c r="D120" s="274">
        <v>27661.25691</v>
      </c>
      <c r="E120" s="274">
        <v>27746.218165969593</v>
      </c>
      <c r="F120" s="274">
        <v>29323.548054872666</v>
      </c>
      <c r="G120" s="274">
        <v>15782.798285987617</v>
      </c>
      <c r="H120" s="274">
        <v>15512.333647809015</v>
      </c>
      <c r="I120" s="274">
        <v>1132.7511000000002</v>
      </c>
      <c r="J120" s="274">
        <v>1013.692176</v>
      </c>
      <c r="K120" s="274">
        <v>1096.095924</v>
      </c>
      <c r="L120" s="274">
        <v>846.015786</v>
      </c>
      <c r="M120" s="274">
        <v>856.6574939999999</v>
      </c>
      <c r="N120" s="274">
        <v>1217.8584799999999</v>
      </c>
      <c r="O120" s="274">
        <v>1219.7477482800002</v>
      </c>
      <c r="P120" s="274">
        <v>1219.7477482800002</v>
      </c>
      <c r="Q120" s="274">
        <v>1219.7477482800002</v>
      </c>
      <c r="R120" s="305">
        <v>1219.7477482800002</v>
      </c>
      <c r="S120" s="305"/>
      <c r="T120" s="305"/>
      <c r="U120" s="305"/>
      <c r="V120" s="273"/>
      <c r="W120" s="273"/>
      <c r="X120" s="273"/>
      <c r="Y120" s="273"/>
    </row>
    <row r="121" spans="1:25" ht="12.75">
      <c r="A121" s="304">
        <v>400</v>
      </c>
      <c r="B121" s="262" t="s">
        <v>258</v>
      </c>
      <c r="C121" s="260">
        <v>2</v>
      </c>
      <c r="D121" s="274">
        <v>25111.72874</v>
      </c>
      <c r="E121" s="274">
        <v>25899.679882079763</v>
      </c>
      <c r="F121" s="274">
        <v>26460.741422852687</v>
      </c>
      <c r="G121" s="274">
        <v>13735.901716349228</v>
      </c>
      <c r="H121" s="274">
        <v>13391.479398674284</v>
      </c>
      <c r="I121" s="274">
        <v>2074.18797</v>
      </c>
      <c r="J121" s="274">
        <v>2028.9713700000002</v>
      </c>
      <c r="K121" s="274">
        <v>2194.175834</v>
      </c>
      <c r="L121" s="274">
        <v>1693.562901</v>
      </c>
      <c r="M121" s="274">
        <v>1714.865579</v>
      </c>
      <c r="N121" s="274">
        <v>2045.91826</v>
      </c>
      <c r="O121" s="274">
        <v>2041.0851275424</v>
      </c>
      <c r="P121" s="274">
        <v>2041.0851275424</v>
      </c>
      <c r="Q121" s="274">
        <v>2041.0851275424</v>
      </c>
      <c r="R121" s="305">
        <v>2041.0851275424</v>
      </c>
      <c r="S121" s="305"/>
      <c r="T121" s="305"/>
      <c r="U121" s="305"/>
      <c r="V121" s="273"/>
      <c r="W121" s="273"/>
      <c r="X121" s="273"/>
      <c r="Y121" s="273"/>
    </row>
    <row r="122" spans="1:25" ht="12.75">
      <c r="A122" s="304">
        <v>407</v>
      </c>
      <c r="B122" s="262" t="s">
        <v>259</v>
      </c>
      <c r="C122" s="260">
        <v>1</v>
      </c>
      <c r="D122" s="274">
        <v>7595.03934</v>
      </c>
      <c r="E122" s="274">
        <v>7673.648733699367</v>
      </c>
      <c r="F122" s="274">
        <v>7859.837174976592</v>
      </c>
      <c r="G122" s="274">
        <v>4129.338182112624</v>
      </c>
      <c r="H122" s="274">
        <v>4006.581421311012</v>
      </c>
      <c r="I122" s="274">
        <v>508.06006</v>
      </c>
      <c r="J122" s="274">
        <v>563.6946379999999</v>
      </c>
      <c r="K122" s="274">
        <v>611.167598</v>
      </c>
      <c r="L122" s="274">
        <v>471.726447</v>
      </c>
      <c r="M122" s="274">
        <v>477.66011299999997</v>
      </c>
      <c r="N122" s="274">
        <v>547.44998</v>
      </c>
      <c r="O122" s="274">
        <v>536.2959408</v>
      </c>
      <c r="P122" s="274">
        <v>536.2959408</v>
      </c>
      <c r="Q122" s="274">
        <v>536.2959408</v>
      </c>
      <c r="R122" s="305">
        <v>536.2959408</v>
      </c>
      <c r="S122" s="305"/>
      <c r="T122" s="305"/>
      <c r="U122" s="305"/>
      <c r="V122" s="273"/>
      <c r="W122" s="273"/>
      <c r="X122" s="273"/>
      <c r="Y122" s="273"/>
    </row>
    <row r="123" spans="1:25" ht="12.75">
      <c r="A123" s="304">
        <v>402</v>
      </c>
      <c r="B123" s="262" t="s">
        <v>260</v>
      </c>
      <c r="C123" s="260">
        <v>11</v>
      </c>
      <c r="D123" s="274">
        <v>25412.969719999997</v>
      </c>
      <c r="E123" s="274">
        <v>25977.152082291752</v>
      </c>
      <c r="F123" s="274">
        <v>27837.77164941329</v>
      </c>
      <c r="G123" s="274">
        <v>14679.466646782756</v>
      </c>
      <c r="H123" s="274">
        <v>14421.625380770956</v>
      </c>
      <c r="I123" s="274">
        <v>1766.69769</v>
      </c>
      <c r="J123" s="274">
        <v>1596.297154</v>
      </c>
      <c r="K123" s="274">
        <v>1728.438468</v>
      </c>
      <c r="L123" s="274">
        <v>1334.0860020000002</v>
      </c>
      <c r="M123" s="274">
        <v>1350.866958</v>
      </c>
      <c r="N123" s="274">
        <v>2218.98599</v>
      </c>
      <c r="O123" s="274">
        <v>2210.3751061631997</v>
      </c>
      <c r="P123" s="274">
        <v>2210.3751061631997</v>
      </c>
      <c r="Q123" s="274">
        <v>2210.3751061631997</v>
      </c>
      <c r="R123" s="305">
        <v>2210.3751061631997</v>
      </c>
      <c r="S123" s="305"/>
      <c r="T123" s="305"/>
      <c r="U123" s="305"/>
      <c r="V123" s="273"/>
      <c r="W123" s="273"/>
      <c r="X123" s="273"/>
      <c r="Y123" s="273"/>
    </row>
    <row r="124" spans="1:25" ht="12.75">
      <c r="A124" s="304">
        <v>403</v>
      </c>
      <c r="B124" s="262" t="s">
        <v>261</v>
      </c>
      <c r="C124" s="260">
        <v>14</v>
      </c>
      <c r="D124" s="274">
        <v>8037.08397</v>
      </c>
      <c r="E124" s="274">
        <v>7976.3725903426675</v>
      </c>
      <c r="F124" s="274">
        <v>8325.492819721687</v>
      </c>
      <c r="G124" s="274">
        <v>4365.991185608995</v>
      </c>
      <c r="H124" s="274">
        <v>4299.872004145609</v>
      </c>
      <c r="I124" s="274">
        <v>982.2171500000001</v>
      </c>
      <c r="J124" s="274">
        <v>752.4053950000001</v>
      </c>
      <c r="K124" s="274">
        <v>816.2459540000001</v>
      </c>
      <c r="L124" s="274">
        <v>630.015081</v>
      </c>
      <c r="M124" s="274">
        <v>637.9397990000001</v>
      </c>
      <c r="N124" s="274">
        <v>886.44161</v>
      </c>
      <c r="O124" s="274">
        <v>909.5797493760001</v>
      </c>
      <c r="P124" s="274">
        <v>909.5797493760001</v>
      </c>
      <c r="Q124" s="274">
        <v>909.5797493760001</v>
      </c>
      <c r="R124" s="305">
        <v>909.5797493760001</v>
      </c>
      <c r="S124" s="305"/>
      <c r="T124" s="305"/>
      <c r="U124" s="305"/>
      <c r="V124" s="273"/>
      <c r="W124" s="273"/>
      <c r="X124" s="273"/>
      <c r="Y124" s="273"/>
    </row>
    <row r="125" spans="1:25" ht="12.75">
      <c r="A125" s="304">
        <v>405</v>
      </c>
      <c r="B125" s="262" t="s">
        <v>262</v>
      </c>
      <c r="C125" s="260">
        <v>9</v>
      </c>
      <c r="D125" s="274">
        <v>244562.14805000002</v>
      </c>
      <c r="E125" s="274">
        <v>250178.8368866483</v>
      </c>
      <c r="F125" s="274">
        <v>259403.05867450064</v>
      </c>
      <c r="G125" s="274">
        <v>135640.38327354565</v>
      </c>
      <c r="H125" s="274">
        <v>132747.6967058535</v>
      </c>
      <c r="I125" s="274">
        <v>24744.67466</v>
      </c>
      <c r="J125" s="274">
        <v>22355.392385</v>
      </c>
      <c r="K125" s="274">
        <v>24260.613408</v>
      </c>
      <c r="L125" s="274">
        <v>18725.424912</v>
      </c>
      <c r="M125" s="274">
        <v>18960.964848</v>
      </c>
      <c r="N125" s="274">
        <v>24626.3357</v>
      </c>
      <c r="O125" s="274">
        <v>25710.271690776008</v>
      </c>
      <c r="P125" s="274">
        <v>25710.271690776008</v>
      </c>
      <c r="Q125" s="274">
        <v>25710.271690776008</v>
      </c>
      <c r="R125" s="305">
        <v>25710.271690776008</v>
      </c>
      <c r="S125" s="305"/>
      <c r="T125" s="305"/>
      <c r="U125" s="305"/>
      <c r="V125" s="273"/>
      <c r="W125" s="273"/>
      <c r="X125" s="273"/>
      <c r="Y125" s="273"/>
    </row>
    <row r="126" spans="1:25" ht="12.75">
      <c r="A126" s="304">
        <v>408</v>
      </c>
      <c r="B126" s="262" t="s">
        <v>263</v>
      </c>
      <c r="C126" s="275">
        <v>14</v>
      </c>
      <c r="D126" s="274">
        <v>43334.7648</v>
      </c>
      <c r="E126" s="274">
        <v>44368.14793858242</v>
      </c>
      <c r="F126" s="274">
        <v>46815.40711635669</v>
      </c>
      <c r="G126" s="274">
        <v>25344.699846068244</v>
      </c>
      <c r="H126" s="274">
        <v>24821.936758628315</v>
      </c>
      <c r="I126" s="274">
        <v>2467.9442799999997</v>
      </c>
      <c r="J126" s="274">
        <v>2481.1599109999997</v>
      </c>
      <c r="K126" s="274">
        <v>2684.561306</v>
      </c>
      <c r="L126" s="274">
        <v>2072.064309</v>
      </c>
      <c r="M126" s="274">
        <v>2098.128011</v>
      </c>
      <c r="N126" s="274">
        <v>2884.59292</v>
      </c>
      <c r="O126" s="274">
        <v>3001.958889336</v>
      </c>
      <c r="P126" s="274">
        <v>3001.958889336</v>
      </c>
      <c r="Q126" s="274">
        <v>3001.958889336</v>
      </c>
      <c r="R126" s="305">
        <v>3001.958889336</v>
      </c>
      <c r="S126" s="305"/>
      <c r="T126" s="305"/>
      <c r="U126" s="305"/>
      <c r="V126" s="273"/>
      <c r="W126" s="273"/>
      <c r="X126" s="273"/>
      <c r="Y126" s="273"/>
    </row>
    <row r="127" spans="1:25" ht="12.75">
      <c r="A127" s="304">
        <v>410</v>
      </c>
      <c r="B127" s="262" t="s">
        <v>264</v>
      </c>
      <c r="C127" s="260">
        <v>13</v>
      </c>
      <c r="D127" s="274">
        <v>60611.823950000005</v>
      </c>
      <c r="E127" s="274">
        <v>61209.25496130475</v>
      </c>
      <c r="F127" s="274">
        <v>63843.74699048395</v>
      </c>
      <c r="G127" s="274">
        <v>34329.447777021895</v>
      </c>
      <c r="H127" s="274">
        <v>33654.20648413871</v>
      </c>
      <c r="I127" s="274">
        <v>2605.83889</v>
      </c>
      <c r="J127" s="274">
        <v>2617.176833</v>
      </c>
      <c r="K127" s="274">
        <v>2837.6998519999997</v>
      </c>
      <c r="L127" s="274">
        <v>2190.2634780000003</v>
      </c>
      <c r="M127" s="274">
        <v>2217.813962</v>
      </c>
      <c r="N127" s="274">
        <v>4713.23866</v>
      </c>
      <c r="O127" s="274">
        <v>4701.652828512</v>
      </c>
      <c r="P127" s="274">
        <v>4701.652828512</v>
      </c>
      <c r="Q127" s="274">
        <v>4701.652828512</v>
      </c>
      <c r="R127" s="305">
        <v>4701.652828512</v>
      </c>
      <c r="S127" s="305"/>
      <c r="T127" s="305"/>
      <c r="U127" s="305"/>
      <c r="V127" s="273"/>
      <c r="W127" s="273"/>
      <c r="X127" s="273"/>
      <c r="Y127" s="273"/>
    </row>
    <row r="128" spans="1:25" ht="12.75">
      <c r="A128" s="304">
        <v>416</v>
      </c>
      <c r="B128" s="262" t="s">
        <v>265</v>
      </c>
      <c r="C128" s="260">
        <v>9</v>
      </c>
      <c r="D128" s="274">
        <v>9242.79458</v>
      </c>
      <c r="E128" s="274">
        <v>9370.747616797906</v>
      </c>
      <c r="F128" s="274">
        <v>9708.456844779854</v>
      </c>
      <c r="G128" s="274">
        <v>5055.105046413294</v>
      </c>
      <c r="H128" s="274">
        <v>4966.493234807549</v>
      </c>
      <c r="I128" s="274">
        <v>519.83399</v>
      </c>
      <c r="J128" s="274">
        <v>421.070582</v>
      </c>
      <c r="K128" s="274">
        <v>456.426784</v>
      </c>
      <c r="L128" s="274">
        <v>352.29057600000004</v>
      </c>
      <c r="M128" s="274">
        <v>356.72190399999994</v>
      </c>
      <c r="N128" s="274">
        <v>814.70733</v>
      </c>
      <c r="O128" s="274">
        <v>820.4737159680001</v>
      </c>
      <c r="P128" s="274">
        <v>820.4737159680001</v>
      </c>
      <c r="Q128" s="274">
        <v>820.4737159680001</v>
      </c>
      <c r="R128" s="305">
        <v>820.4737159680001</v>
      </c>
      <c r="S128" s="305"/>
      <c r="T128" s="305"/>
      <c r="U128" s="305"/>
      <c r="V128" s="273"/>
      <c r="W128" s="273"/>
      <c r="X128" s="273"/>
      <c r="Y128" s="273"/>
    </row>
    <row r="129" spans="1:25" ht="12.75">
      <c r="A129" s="304">
        <v>418</v>
      </c>
      <c r="B129" s="262" t="s">
        <v>266</v>
      </c>
      <c r="C129" s="260">
        <v>6</v>
      </c>
      <c r="D129" s="274">
        <v>83967.95195</v>
      </c>
      <c r="E129" s="274">
        <v>84504.4079945535</v>
      </c>
      <c r="F129" s="274">
        <v>89372.69449245252</v>
      </c>
      <c r="G129" s="274">
        <v>45718.45963429938</v>
      </c>
      <c r="H129" s="274">
        <v>44182.51448019225</v>
      </c>
      <c r="I129" s="274">
        <v>4684.04767</v>
      </c>
      <c r="J129" s="274">
        <v>4233.695984999999</v>
      </c>
      <c r="K129" s="274">
        <v>4593.012256</v>
      </c>
      <c r="L129" s="274">
        <v>3545.0919840000006</v>
      </c>
      <c r="M129" s="274">
        <v>3589.6843360000007</v>
      </c>
      <c r="N129" s="274">
        <v>5313.7477</v>
      </c>
      <c r="O129" s="274">
        <v>5406.128161548001</v>
      </c>
      <c r="P129" s="274">
        <v>5406.128161548001</v>
      </c>
      <c r="Q129" s="274">
        <v>5406.128161548001</v>
      </c>
      <c r="R129" s="305">
        <v>5406.128161548001</v>
      </c>
      <c r="S129" s="305"/>
      <c r="T129" s="305"/>
      <c r="U129" s="305"/>
      <c r="V129" s="273"/>
      <c r="W129" s="273"/>
      <c r="X129" s="273"/>
      <c r="Y129" s="273"/>
    </row>
    <row r="130" spans="1:25" ht="12.75">
      <c r="A130" s="304">
        <v>420</v>
      </c>
      <c r="B130" s="262" t="s">
        <v>267</v>
      </c>
      <c r="C130" s="260">
        <v>11</v>
      </c>
      <c r="D130" s="274">
        <v>27957.1685</v>
      </c>
      <c r="E130" s="274">
        <v>30267.95911006784</v>
      </c>
      <c r="F130" s="274">
        <v>30944.200845065465</v>
      </c>
      <c r="G130" s="274">
        <v>15970.78320970985</v>
      </c>
      <c r="H130" s="274">
        <v>15722.506345375696</v>
      </c>
      <c r="I130" s="274">
        <v>2820.93862</v>
      </c>
      <c r="J130" s="274">
        <v>2629.9517950000004</v>
      </c>
      <c r="K130" s="274">
        <v>2851.7556440000003</v>
      </c>
      <c r="L130" s="274">
        <v>2201.1123660000003</v>
      </c>
      <c r="M130" s="274">
        <v>2228.7993140000003</v>
      </c>
      <c r="N130" s="274">
        <v>2419.77511</v>
      </c>
      <c r="O130" s="274">
        <v>2422.55707308</v>
      </c>
      <c r="P130" s="274">
        <v>2422.55707308</v>
      </c>
      <c r="Q130" s="274">
        <v>2422.55707308</v>
      </c>
      <c r="R130" s="305">
        <v>2422.55707308</v>
      </c>
      <c r="S130" s="305"/>
      <c r="T130" s="305"/>
      <c r="U130" s="305"/>
      <c r="V130" s="273"/>
      <c r="W130" s="273"/>
      <c r="X130" s="273"/>
      <c r="Y130" s="273"/>
    </row>
    <row r="131" spans="1:25" ht="12.75">
      <c r="A131" s="304">
        <v>421</v>
      </c>
      <c r="B131" s="262" t="s">
        <v>268</v>
      </c>
      <c r="C131" s="260">
        <v>16</v>
      </c>
      <c r="D131" s="274">
        <v>1885.7200500000001</v>
      </c>
      <c r="E131" s="274">
        <v>1902.4871789179178</v>
      </c>
      <c r="F131" s="274">
        <v>1996.9185960725856</v>
      </c>
      <c r="G131" s="274">
        <v>1074.418584543601</v>
      </c>
      <c r="H131" s="274">
        <v>1042.8670458408985</v>
      </c>
      <c r="I131" s="274">
        <v>404.89283</v>
      </c>
      <c r="J131" s="274">
        <v>387.78402900000003</v>
      </c>
      <c r="K131" s="274">
        <v>420.150184</v>
      </c>
      <c r="L131" s="274">
        <v>324.290676</v>
      </c>
      <c r="M131" s="274">
        <v>328.36980400000004</v>
      </c>
      <c r="N131" s="274">
        <v>278.47229999999996</v>
      </c>
      <c r="O131" s="274">
        <v>273.1608245759999</v>
      </c>
      <c r="P131" s="274">
        <v>273.1608245759999</v>
      </c>
      <c r="Q131" s="274">
        <v>273.1608245759999</v>
      </c>
      <c r="R131" s="305">
        <v>273.1608245759999</v>
      </c>
      <c r="S131" s="305"/>
      <c r="T131" s="305"/>
      <c r="U131" s="305"/>
      <c r="V131" s="273"/>
      <c r="W131" s="273"/>
      <c r="X131" s="273"/>
      <c r="Y131" s="273"/>
    </row>
    <row r="132" spans="1:25" ht="12.75">
      <c r="A132" s="304">
        <v>422</v>
      </c>
      <c r="B132" s="262" t="s">
        <v>269</v>
      </c>
      <c r="C132" s="260">
        <v>12</v>
      </c>
      <c r="D132" s="274">
        <v>32294.47521</v>
      </c>
      <c r="E132" s="274">
        <v>31939.514349958088</v>
      </c>
      <c r="F132" s="274">
        <v>33115.188738533354</v>
      </c>
      <c r="G132" s="274">
        <v>16932.682806130517</v>
      </c>
      <c r="H132" s="274">
        <v>16758.05675414342</v>
      </c>
      <c r="I132" s="274">
        <v>5053.80455</v>
      </c>
      <c r="J132" s="274">
        <v>4528.0794319999995</v>
      </c>
      <c r="K132" s="274">
        <v>4908.12201</v>
      </c>
      <c r="L132" s="274">
        <v>3788.3077649999996</v>
      </c>
      <c r="M132" s="274">
        <v>3835.9594349999998</v>
      </c>
      <c r="N132" s="274">
        <v>3282.34641</v>
      </c>
      <c r="O132" s="274">
        <v>3271.7382949343996</v>
      </c>
      <c r="P132" s="274">
        <v>3271.7382949343996</v>
      </c>
      <c r="Q132" s="274">
        <v>3271.7382949343996</v>
      </c>
      <c r="R132" s="305">
        <v>3271.7382949343996</v>
      </c>
      <c r="S132" s="305"/>
      <c r="T132" s="305"/>
      <c r="U132" s="305"/>
      <c r="V132" s="273"/>
      <c r="W132" s="273"/>
      <c r="X132" s="273"/>
      <c r="Y132" s="273"/>
    </row>
    <row r="133" spans="1:25" ht="12.75">
      <c r="A133" s="304">
        <v>423</v>
      </c>
      <c r="B133" s="262" t="s">
        <v>270</v>
      </c>
      <c r="C133" s="260">
        <v>2</v>
      </c>
      <c r="D133" s="274">
        <v>68995.61834999999</v>
      </c>
      <c r="E133" s="274">
        <v>70175.18681302856</v>
      </c>
      <c r="F133" s="274">
        <v>74386.02844810566</v>
      </c>
      <c r="G133" s="274">
        <v>36035.611426062176</v>
      </c>
      <c r="H133" s="274">
        <v>34431.61437614753</v>
      </c>
      <c r="I133" s="274">
        <v>3393.2646600000003</v>
      </c>
      <c r="J133" s="274">
        <v>3683.1076429999994</v>
      </c>
      <c r="K133" s="274">
        <v>3991.2382580000003</v>
      </c>
      <c r="L133" s="274">
        <v>3080.615937</v>
      </c>
      <c r="M133" s="274">
        <v>3119.3658229999996</v>
      </c>
      <c r="N133" s="274">
        <v>3566.5523</v>
      </c>
      <c r="O133" s="274">
        <v>3527.7897189456</v>
      </c>
      <c r="P133" s="274">
        <v>3527.7897189456</v>
      </c>
      <c r="Q133" s="274">
        <v>3527.7897189456</v>
      </c>
      <c r="R133" s="305">
        <v>3527.7897189456</v>
      </c>
      <c r="S133" s="305"/>
      <c r="T133" s="305"/>
      <c r="U133" s="305"/>
      <c r="V133" s="273"/>
      <c r="W133" s="273"/>
      <c r="X133" s="273"/>
      <c r="Y133" s="273"/>
    </row>
    <row r="134" spans="1:25" ht="12.75">
      <c r="A134" s="304">
        <v>425</v>
      </c>
      <c r="B134" s="262" t="s">
        <v>271</v>
      </c>
      <c r="C134" s="260">
        <v>17</v>
      </c>
      <c r="D134" s="274">
        <v>29444.623010000003</v>
      </c>
      <c r="E134" s="274">
        <v>30847.739536862784</v>
      </c>
      <c r="F134" s="274">
        <v>32440.153412121326</v>
      </c>
      <c r="G134" s="274">
        <v>17837.959976902283</v>
      </c>
      <c r="H134" s="274">
        <v>17275.95268027178</v>
      </c>
      <c r="I134" s="274">
        <v>752.48911</v>
      </c>
      <c r="J134" s="274">
        <v>707.2941889999998</v>
      </c>
      <c r="K134" s="274">
        <v>767.3269279999998</v>
      </c>
      <c r="L134" s="274">
        <v>592.257192</v>
      </c>
      <c r="M134" s="274">
        <v>599.706968</v>
      </c>
      <c r="N134" s="274">
        <v>1187.06001</v>
      </c>
      <c r="O134" s="274">
        <v>1245.3857466575998</v>
      </c>
      <c r="P134" s="274">
        <v>1245.3857466575998</v>
      </c>
      <c r="Q134" s="274">
        <v>1245.3857466575998</v>
      </c>
      <c r="R134" s="305">
        <v>1245.3857466575998</v>
      </c>
      <c r="S134" s="305"/>
      <c r="T134" s="305"/>
      <c r="U134" s="305"/>
      <c r="V134" s="273"/>
      <c r="W134" s="273"/>
      <c r="X134" s="273"/>
      <c r="Y134" s="273"/>
    </row>
    <row r="135" spans="1:25" ht="12.75">
      <c r="A135" s="304">
        <v>426</v>
      </c>
      <c r="B135" s="262" t="s">
        <v>272</v>
      </c>
      <c r="C135" s="260">
        <v>12</v>
      </c>
      <c r="D135" s="274">
        <v>36071.22955</v>
      </c>
      <c r="E135" s="274">
        <v>36638.513608034315</v>
      </c>
      <c r="F135" s="274">
        <v>38502.76970184155</v>
      </c>
      <c r="G135" s="274">
        <v>20743.07363814006</v>
      </c>
      <c r="H135" s="274">
        <v>20359.30623879413</v>
      </c>
      <c r="I135" s="274">
        <v>1532.9718500000001</v>
      </c>
      <c r="J135" s="274">
        <v>1335.4797110000002</v>
      </c>
      <c r="K135" s="274">
        <v>1447.3792780000003</v>
      </c>
      <c r="L135" s="274">
        <v>1117.151967</v>
      </c>
      <c r="M135" s="274">
        <v>1131.204193</v>
      </c>
      <c r="N135" s="274">
        <v>2419.39</v>
      </c>
      <c r="O135" s="274">
        <v>2376.1885331784006</v>
      </c>
      <c r="P135" s="274">
        <v>2376.1885331784006</v>
      </c>
      <c r="Q135" s="274">
        <v>2376.1885331784006</v>
      </c>
      <c r="R135" s="305">
        <v>2376.1885331784006</v>
      </c>
      <c r="S135" s="305"/>
      <c r="T135" s="305"/>
      <c r="U135" s="305"/>
      <c r="V135" s="273"/>
      <c r="W135" s="273"/>
      <c r="X135" s="273"/>
      <c r="Y135" s="273"/>
    </row>
    <row r="136" spans="1:25" ht="12.75">
      <c r="A136" s="304">
        <v>444</v>
      </c>
      <c r="B136" s="262" t="s">
        <v>273</v>
      </c>
      <c r="C136" s="260">
        <v>1</v>
      </c>
      <c r="D136" s="274">
        <v>170621.23627000002</v>
      </c>
      <c r="E136" s="274">
        <v>171790.8709879284</v>
      </c>
      <c r="F136" s="274">
        <v>180350.9889574984</v>
      </c>
      <c r="G136" s="274">
        <v>91590.68222688993</v>
      </c>
      <c r="H136" s="274">
        <v>88857.42713956835</v>
      </c>
      <c r="I136" s="274">
        <v>6612.99112</v>
      </c>
      <c r="J136" s="274">
        <v>7004.538543000001</v>
      </c>
      <c r="K136" s="274">
        <v>7592.634905999999</v>
      </c>
      <c r="L136" s="274">
        <v>5860.334709</v>
      </c>
      <c r="M136" s="274">
        <v>5934.0496109999995</v>
      </c>
      <c r="N136" s="274">
        <v>12615.87308</v>
      </c>
      <c r="O136" s="274">
        <v>13409.451680968801</v>
      </c>
      <c r="P136" s="274">
        <v>13409.451680968801</v>
      </c>
      <c r="Q136" s="274">
        <v>13409.451680968801</v>
      </c>
      <c r="R136" s="305">
        <v>13409.451680968801</v>
      </c>
      <c r="S136" s="305"/>
      <c r="T136" s="305"/>
      <c r="U136" s="305"/>
      <c r="V136" s="273"/>
      <c r="W136" s="273"/>
      <c r="X136" s="273"/>
      <c r="Y136" s="273"/>
    </row>
    <row r="137" spans="1:25" ht="12.75">
      <c r="A137" s="304">
        <v>430</v>
      </c>
      <c r="B137" s="262" t="s">
        <v>274</v>
      </c>
      <c r="C137" s="260">
        <v>2</v>
      </c>
      <c r="D137" s="274">
        <v>45769.43767</v>
      </c>
      <c r="E137" s="274">
        <v>46870.520260087374</v>
      </c>
      <c r="F137" s="274">
        <v>48245.17836692472</v>
      </c>
      <c r="G137" s="274">
        <v>24816.34978939418</v>
      </c>
      <c r="H137" s="274">
        <v>24198.754868556018</v>
      </c>
      <c r="I137" s="274">
        <v>3594.8457599999997</v>
      </c>
      <c r="J137" s="274">
        <v>3333.31195</v>
      </c>
      <c r="K137" s="274">
        <v>3609.953476</v>
      </c>
      <c r="L137" s="274">
        <v>2786.323314</v>
      </c>
      <c r="M137" s="274">
        <v>2821.3714059999998</v>
      </c>
      <c r="N137" s="274">
        <v>4149.35948</v>
      </c>
      <c r="O137" s="274">
        <v>4118.255331671999</v>
      </c>
      <c r="P137" s="274">
        <v>4118.255331671999</v>
      </c>
      <c r="Q137" s="274">
        <v>4118.255331671999</v>
      </c>
      <c r="R137" s="305">
        <v>4118.255331671999</v>
      </c>
      <c r="S137" s="305"/>
      <c r="T137" s="305"/>
      <c r="U137" s="305"/>
      <c r="V137" s="273"/>
      <c r="W137" s="273"/>
      <c r="X137" s="273"/>
      <c r="Y137" s="273"/>
    </row>
    <row r="138" spans="1:25" ht="12.75">
      <c r="A138" s="304">
        <v>433</v>
      </c>
      <c r="B138" s="262" t="s">
        <v>275</v>
      </c>
      <c r="C138" s="275">
        <v>5</v>
      </c>
      <c r="D138" s="274">
        <v>25504.035969999997</v>
      </c>
      <c r="E138" s="274">
        <v>25552.073816795633</v>
      </c>
      <c r="F138" s="274">
        <v>26765.177766997676</v>
      </c>
      <c r="G138" s="274">
        <v>14443.319233015858</v>
      </c>
      <c r="H138" s="274">
        <v>14128.241835505252</v>
      </c>
      <c r="I138" s="274">
        <v>1684.53513</v>
      </c>
      <c r="J138" s="274">
        <v>1478.8500649999999</v>
      </c>
      <c r="K138" s="274">
        <v>1602.95192</v>
      </c>
      <c r="L138" s="274">
        <v>1237.2298799999999</v>
      </c>
      <c r="M138" s="274">
        <v>1252.7925199999997</v>
      </c>
      <c r="N138" s="274">
        <v>2028.63338</v>
      </c>
      <c r="O138" s="274">
        <v>2029.1482891752</v>
      </c>
      <c r="P138" s="274">
        <v>2029.1482891752</v>
      </c>
      <c r="Q138" s="274">
        <v>2029.1482891752</v>
      </c>
      <c r="R138" s="305">
        <v>2029.1482891752</v>
      </c>
      <c r="S138" s="305"/>
      <c r="T138" s="305"/>
      <c r="U138" s="305"/>
      <c r="V138" s="273"/>
      <c r="W138" s="273"/>
      <c r="X138" s="273"/>
      <c r="Y138" s="273"/>
    </row>
    <row r="139" spans="1:25" ht="12.75">
      <c r="A139" s="304">
        <v>434</v>
      </c>
      <c r="B139" s="262" t="s">
        <v>276</v>
      </c>
      <c r="C139" s="260">
        <v>1</v>
      </c>
      <c r="D139" s="274">
        <v>47748.57614</v>
      </c>
      <c r="E139" s="274">
        <v>48042.652252716885</v>
      </c>
      <c r="F139" s="274">
        <v>50403.536238153436</v>
      </c>
      <c r="G139" s="274">
        <v>24630.790635611273</v>
      </c>
      <c r="H139" s="274">
        <v>23849.13811620241</v>
      </c>
      <c r="I139" s="274">
        <v>9950.11062</v>
      </c>
      <c r="J139" s="274">
        <v>6404.599003</v>
      </c>
      <c r="K139" s="274">
        <v>6918.134050000001</v>
      </c>
      <c r="L139" s="274">
        <v>5339.724825</v>
      </c>
      <c r="M139" s="274">
        <v>5406.891175</v>
      </c>
      <c r="N139" s="274">
        <v>8252.5865</v>
      </c>
      <c r="O139" s="274">
        <v>7908.616817592001</v>
      </c>
      <c r="P139" s="274">
        <v>7908.616817592001</v>
      </c>
      <c r="Q139" s="274">
        <v>7908.616817592001</v>
      </c>
      <c r="R139" s="305">
        <v>7908.616817592001</v>
      </c>
      <c r="S139" s="305"/>
      <c r="T139" s="305"/>
      <c r="U139" s="305"/>
      <c r="V139" s="273"/>
      <c r="W139" s="273"/>
      <c r="X139" s="273"/>
      <c r="Y139" s="273"/>
    </row>
    <row r="140" spans="1:25" ht="12.75">
      <c r="A140" s="304">
        <v>435</v>
      </c>
      <c r="B140" s="262" t="s">
        <v>277</v>
      </c>
      <c r="C140" s="260">
        <v>13</v>
      </c>
      <c r="D140" s="274">
        <v>1655.46325</v>
      </c>
      <c r="E140" s="274">
        <v>1654.9486945800911</v>
      </c>
      <c r="F140" s="274">
        <v>1737.5238912925129</v>
      </c>
      <c r="G140" s="274">
        <v>765.3767196535237</v>
      </c>
      <c r="H140" s="274">
        <v>742.2392569142735</v>
      </c>
      <c r="I140" s="274">
        <v>286.41287</v>
      </c>
      <c r="J140" s="274">
        <v>292.513729</v>
      </c>
      <c r="K140" s="274">
        <v>317.087354</v>
      </c>
      <c r="L140" s="274">
        <v>244.74218100000002</v>
      </c>
      <c r="M140" s="274">
        <v>247.820699</v>
      </c>
      <c r="N140" s="274">
        <v>494.48649</v>
      </c>
      <c r="O140" s="274">
        <v>580.343104752</v>
      </c>
      <c r="P140" s="274">
        <v>580.343104752</v>
      </c>
      <c r="Q140" s="274">
        <v>580.343104752</v>
      </c>
      <c r="R140" s="305">
        <v>580.343104752</v>
      </c>
      <c r="S140" s="305"/>
      <c r="T140" s="305"/>
      <c r="U140" s="305"/>
      <c r="V140" s="273"/>
      <c r="W140" s="273"/>
      <c r="X140" s="273"/>
      <c r="Y140" s="273"/>
    </row>
    <row r="141" spans="1:25" ht="12.75">
      <c r="A141" s="304">
        <v>436</v>
      </c>
      <c r="B141" s="262" t="s">
        <v>278</v>
      </c>
      <c r="C141" s="260">
        <v>17</v>
      </c>
      <c r="D141" s="274">
        <v>5348.969700000001</v>
      </c>
      <c r="E141" s="274">
        <v>5427.623448990699</v>
      </c>
      <c r="F141" s="274">
        <v>5781.72546589904</v>
      </c>
      <c r="G141" s="274">
        <v>3028.818590602399</v>
      </c>
      <c r="H141" s="274">
        <v>2962.5538196946513</v>
      </c>
      <c r="I141" s="274">
        <v>164.39531</v>
      </c>
      <c r="J141" s="274">
        <v>161.639343</v>
      </c>
      <c r="K141" s="274">
        <v>175.36100200000004</v>
      </c>
      <c r="L141" s="274">
        <v>135.35145300000002</v>
      </c>
      <c r="M141" s="274">
        <v>137.053987</v>
      </c>
      <c r="N141" s="274">
        <v>287.6802</v>
      </c>
      <c r="O141" s="274">
        <v>292.537644828</v>
      </c>
      <c r="P141" s="274">
        <v>292.537644828</v>
      </c>
      <c r="Q141" s="274">
        <v>292.537644828</v>
      </c>
      <c r="R141" s="305">
        <v>292.537644828</v>
      </c>
      <c r="S141" s="305"/>
      <c r="T141" s="305"/>
      <c r="U141" s="305"/>
      <c r="V141" s="273"/>
      <c r="W141" s="273"/>
      <c r="X141" s="273"/>
      <c r="Y141" s="273"/>
    </row>
    <row r="142" spans="1:25" ht="12.75">
      <c r="A142" s="304">
        <v>440</v>
      </c>
      <c r="B142" s="262" t="s">
        <v>279</v>
      </c>
      <c r="C142" s="260">
        <v>15</v>
      </c>
      <c r="D142" s="274">
        <v>13596.19823</v>
      </c>
      <c r="E142" s="274">
        <v>14263.533957587963</v>
      </c>
      <c r="F142" s="274">
        <v>15207.571630192475</v>
      </c>
      <c r="G142" s="274">
        <v>7684.237564187397</v>
      </c>
      <c r="H142" s="274">
        <v>7300.414844752029</v>
      </c>
      <c r="I142" s="274">
        <v>362.07903000000005</v>
      </c>
      <c r="J142" s="274">
        <v>365.2909</v>
      </c>
      <c r="K142" s="274">
        <v>395.370444</v>
      </c>
      <c r="L142" s="274">
        <v>305.164566</v>
      </c>
      <c r="M142" s="274">
        <v>309.003114</v>
      </c>
      <c r="N142" s="274">
        <v>1026.35139</v>
      </c>
      <c r="O142" s="274">
        <v>1048.9477538616002</v>
      </c>
      <c r="P142" s="274">
        <v>1048.9477538616002</v>
      </c>
      <c r="Q142" s="274">
        <v>1048.9477538616002</v>
      </c>
      <c r="R142" s="305">
        <v>1048.9477538616002</v>
      </c>
      <c r="S142" s="305"/>
      <c r="T142" s="305"/>
      <c r="U142" s="305"/>
      <c r="V142" s="273"/>
      <c r="W142" s="273"/>
      <c r="X142" s="273"/>
      <c r="Y142" s="273"/>
    </row>
    <row r="143" spans="1:25" ht="12.75">
      <c r="A143" s="304">
        <v>441</v>
      </c>
      <c r="B143" s="262" t="s">
        <v>280</v>
      </c>
      <c r="C143" s="260">
        <v>9</v>
      </c>
      <c r="D143" s="274">
        <v>13559.21626</v>
      </c>
      <c r="E143" s="274">
        <v>13826.417504563144</v>
      </c>
      <c r="F143" s="274">
        <v>14493.826562636299</v>
      </c>
      <c r="G143" s="274">
        <v>7329.562886613831</v>
      </c>
      <c r="H143" s="274">
        <v>7165.6223867124945</v>
      </c>
      <c r="I143" s="274">
        <v>2201.55856</v>
      </c>
      <c r="J143" s="274">
        <v>1992.1138379999998</v>
      </c>
      <c r="K143" s="274">
        <v>2160.335596</v>
      </c>
      <c r="L143" s="274">
        <v>1667.4434939999999</v>
      </c>
      <c r="M143" s="274">
        <v>1688.4176260000002</v>
      </c>
      <c r="N143" s="274">
        <v>1503.1321599999999</v>
      </c>
      <c r="O143" s="274">
        <v>1495.7157713520003</v>
      </c>
      <c r="P143" s="274">
        <v>1495.7157713520003</v>
      </c>
      <c r="Q143" s="274">
        <v>1495.7157713520003</v>
      </c>
      <c r="R143" s="305">
        <v>1495.7157713520003</v>
      </c>
      <c r="S143" s="305"/>
      <c r="T143" s="305"/>
      <c r="U143" s="305"/>
      <c r="V143" s="273"/>
      <c r="W143" s="273"/>
      <c r="X143" s="273"/>
      <c r="Y143" s="273"/>
    </row>
    <row r="144" spans="1:25" ht="12.75">
      <c r="A144" s="304">
        <v>475</v>
      </c>
      <c r="B144" s="262" t="s">
        <v>282</v>
      </c>
      <c r="C144" s="260">
        <v>15</v>
      </c>
      <c r="D144" s="274">
        <v>17026.97775</v>
      </c>
      <c r="E144" s="274">
        <v>17323.02102609057</v>
      </c>
      <c r="F144" s="274">
        <v>18202.298935322033</v>
      </c>
      <c r="G144" s="274">
        <v>10032.328551866942</v>
      </c>
      <c r="H144" s="274">
        <v>9805.125542052398</v>
      </c>
      <c r="I144" s="274">
        <v>1075.21354</v>
      </c>
      <c r="J144" s="274">
        <v>1120.050158</v>
      </c>
      <c r="K144" s="274">
        <v>1214.4179980000001</v>
      </c>
      <c r="L144" s="274">
        <v>937.3420469999999</v>
      </c>
      <c r="M144" s="274">
        <v>949.1325129999999</v>
      </c>
      <c r="N144" s="274">
        <v>1387.2890300000001</v>
      </c>
      <c r="O144" s="274">
        <v>1398.7054914768</v>
      </c>
      <c r="P144" s="274">
        <v>1398.7054914768</v>
      </c>
      <c r="Q144" s="274">
        <v>1398.7054914768</v>
      </c>
      <c r="R144" s="305">
        <v>1398.7054914768</v>
      </c>
      <c r="S144" s="305"/>
      <c r="T144" s="305"/>
      <c r="U144" s="305"/>
      <c r="V144" s="273"/>
      <c r="W144" s="273"/>
      <c r="X144" s="273"/>
      <c r="Y144" s="273"/>
    </row>
    <row r="145" spans="1:25" ht="12.75">
      <c r="A145" s="304">
        <v>480</v>
      </c>
      <c r="B145" s="262" t="s">
        <v>283</v>
      </c>
      <c r="C145" s="260">
        <v>2</v>
      </c>
      <c r="D145" s="274">
        <v>5950.95631</v>
      </c>
      <c r="E145" s="274">
        <v>5744.929949558096</v>
      </c>
      <c r="F145" s="274">
        <v>6146.056527478781</v>
      </c>
      <c r="G145" s="274">
        <v>3212.8229310933702</v>
      </c>
      <c r="H145" s="274">
        <v>3132.5661052784267</v>
      </c>
      <c r="I145" s="274">
        <v>330.49745</v>
      </c>
      <c r="J145" s="274">
        <v>313.719895</v>
      </c>
      <c r="K145" s="274">
        <v>339.29538999999994</v>
      </c>
      <c r="L145" s="274">
        <v>261.88333500000005</v>
      </c>
      <c r="M145" s="274">
        <v>265.177465</v>
      </c>
      <c r="N145" s="274">
        <v>349.61786</v>
      </c>
      <c r="O145" s="274">
        <v>355.706628384</v>
      </c>
      <c r="P145" s="274">
        <v>355.706628384</v>
      </c>
      <c r="Q145" s="274">
        <v>355.706628384</v>
      </c>
      <c r="R145" s="305">
        <v>355.706628384</v>
      </c>
      <c r="S145" s="305"/>
      <c r="T145" s="305"/>
      <c r="U145" s="305"/>
      <c r="V145" s="273"/>
      <c r="W145" s="273"/>
      <c r="X145" s="273"/>
      <c r="Y145" s="273"/>
    </row>
    <row r="146" spans="1:25" ht="12.75">
      <c r="A146" s="304">
        <v>481</v>
      </c>
      <c r="B146" s="262" t="s">
        <v>284</v>
      </c>
      <c r="C146" s="260">
        <v>2</v>
      </c>
      <c r="D146" s="274">
        <v>36933.10388</v>
      </c>
      <c r="E146" s="274">
        <v>37342.017922060484</v>
      </c>
      <c r="F146" s="274">
        <v>39226.486006054096</v>
      </c>
      <c r="G146" s="274">
        <v>20326.72369024829</v>
      </c>
      <c r="H146" s="274">
        <v>19645.584553746525</v>
      </c>
      <c r="I146" s="274">
        <v>1646.92334</v>
      </c>
      <c r="J146" s="274">
        <v>2404.2416639999997</v>
      </c>
      <c r="K146" s="274">
        <v>2609.1482079999996</v>
      </c>
      <c r="L146" s="274">
        <v>2013.857112</v>
      </c>
      <c r="M146" s="274">
        <v>2039.1886480000003</v>
      </c>
      <c r="N146" s="274">
        <v>1863.83199</v>
      </c>
      <c r="O146" s="274">
        <v>1892.2028149536</v>
      </c>
      <c r="P146" s="274">
        <v>1892.2028149536</v>
      </c>
      <c r="Q146" s="274">
        <v>1892.2028149536</v>
      </c>
      <c r="R146" s="305">
        <v>1892.2028149536</v>
      </c>
      <c r="S146" s="305"/>
      <c r="T146" s="305"/>
      <c r="U146" s="305"/>
      <c r="V146" s="273"/>
      <c r="W146" s="273"/>
      <c r="X146" s="273"/>
      <c r="Y146" s="273"/>
    </row>
    <row r="147" spans="1:25" ht="12.75">
      <c r="A147" s="304">
        <v>483</v>
      </c>
      <c r="B147" s="262" t="s">
        <v>285</v>
      </c>
      <c r="C147" s="260">
        <v>17</v>
      </c>
      <c r="D147" s="274">
        <v>2267.62275</v>
      </c>
      <c r="E147" s="274">
        <v>2227.163452895635</v>
      </c>
      <c r="F147" s="274">
        <v>2422.3638097082658</v>
      </c>
      <c r="G147" s="274">
        <v>1315.9718852574888</v>
      </c>
      <c r="H147" s="274">
        <v>1300.564453688661</v>
      </c>
      <c r="I147" s="274">
        <v>136.155</v>
      </c>
      <c r="J147" s="274">
        <v>121.732216</v>
      </c>
      <c r="K147" s="274">
        <v>131.933524</v>
      </c>
      <c r="L147" s="274">
        <v>101.83218600000001</v>
      </c>
      <c r="M147" s="274">
        <v>103.113094</v>
      </c>
      <c r="N147" s="274">
        <v>202.45713</v>
      </c>
      <c r="O147" s="274">
        <v>329.5824790992</v>
      </c>
      <c r="P147" s="274">
        <v>329.5824790992</v>
      </c>
      <c r="Q147" s="274">
        <v>329.5824790992</v>
      </c>
      <c r="R147" s="305">
        <v>329.5824790992</v>
      </c>
      <c r="S147" s="305"/>
      <c r="T147" s="305"/>
      <c r="U147" s="305"/>
      <c r="V147" s="273"/>
      <c r="W147" s="273"/>
      <c r="X147" s="273"/>
      <c r="Y147" s="273"/>
    </row>
    <row r="148" spans="1:25" ht="12.75">
      <c r="A148" s="304">
        <v>484</v>
      </c>
      <c r="B148" s="262" t="s">
        <v>286</v>
      </c>
      <c r="C148" s="260">
        <v>4</v>
      </c>
      <c r="D148" s="274">
        <v>7977.1304900000005</v>
      </c>
      <c r="E148" s="274">
        <v>7951.596100924241</v>
      </c>
      <c r="F148" s="274">
        <v>8128.681201701496</v>
      </c>
      <c r="G148" s="274">
        <v>3931.5878971585375</v>
      </c>
      <c r="H148" s="274">
        <v>3831.267755890377</v>
      </c>
      <c r="I148" s="274">
        <v>788.76071</v>
      </c>
      <c r="J148" s="274">
        <v>845.196437</v>
      </c>
      <c r="K148" s="274">
        <v>916.8032059999999</v>
      </c>
      <c r="L148" s="274">
        <v>707.629659</v>
      </c>
      <c r="M148" s="274">
        <v>716.530661</v>
      </c>
      <c r="N148" s="274">
        <v>991.85788</v>
      </c>
      <c r="O148" s="274">
        <v>991.8623034671998</v>
      </c>
      <c r="P148" s="274">
        <v>991.8623034671998</v>
      </c>
      <c r="Q148" s="274">
        <v>991.8623034671998</v>
      </c>
      <c r="R148" s="305">
        <v>991.8623034671998</v>
      </c>
      <c r="S148" s="305"/>
      <c r="T148" s="305"/>
      <c r="U148" s="305"/>
      <c r="V148" s="273"/>
      <c r="W148" s="273"/>
      <c r="X148" s="273"/>
      <c r="Y148" s="273"/>
    </row>
    <row r="149" spans="1:25" ht="12.75">
      <c r="A149" s="304">
        <v>489</v>
      </c>
      <c r="B149" s="262" t="s">
        <v>287</v>
      </c>
      <c r="C149" s="275">
        <v>8</v>
      </c>
      <c r="D149" s="274">
        <v>4667.14058</v>
      </c>
      <c r="E149" s="274">
        <v>4528.901599239965</v>
      </c>
      <c r="F149" s="274">
        <v>4733.941509404138</v>
      </c>
      <c r="G149" s="274">
        <v>2365.9841445745637</v>
      </c>
      <c r="H149" s="274">
        <v>2310.260964368366</v>
      </c>
      <c r="I149" s="274">
        <v>834.12248</v>
      </c>
      <c r="J149" s="274">
        <v>791.594892</v>
      </c>
      <c r="K149" s="274">
        <v>858.4351660000001</v>
      </c>
      <c r="L149" s="274">
        <v>662.5785989999999</v>
      </c>
      <c r="M149" s="274">
        <v>670.9129210000001</v>
      </c>
      <c r="N149" s="274">
        <v>495.04477</v>
      </c>
      <c r="O149" s="274">
        <v>504.93137376000004</v>
      </c>
      <c r="P149" s="274">
        <v>504.93137376000004</v>
      </c>
      <c r="Q149" s="274">
        <v>504.93137376000004</v>
      </c>
      <c r="R149" s="305">
        <v>504.93137376000004</v>
      </c>
      <c r="S149" s="305"/>
      <c r="T149" s="305"/>
      <c r="U149" s="305"/>
      <c r="V149" s="273"/>
      <c r="W149" s="273"/>
      <c r="X149" s="273"/>
      <c r="Y149" s="273"/>
    </row>
    <row r="150" spans="1:25" ht="12.75">
      <c r="A150" s="304">
        <v>491</v>
      </c>
      <c r="B150" s="262" t="s">
        <v>288</v>
      </c>
      <c r="C150" s="260">
        <v>10</v>
      </c>
      <c r="D150" s="274">
        <v>169358.3808</v>
      </c>
      <c r="E150" s="274">
        <v>173366.63007964846</v>
      </c>
      <c r="F150" s="274">
        <v>180334.56383139815</v>
      </c>
      <c r="G150" s="274">
        <v>92115.59428736621</v>
      </c>
      <c r="H150" s="274">
        <v>89787.76974345432</v>
      </c>
      <c r="I150" s="274">
        <v>13293.10576</v>
      </c>
      <c r="J150" s="274">
        <v>13610.844017000001</v>
      </c>
      <c r="K150" s="274">
        <v>14771.047278</v>
      </c>
      <c r="L150" s="274">
        <v>11400.953967</v>
      </c>
      <c r="M150" s="274">
        <v>11544.362193</v>
      </c>
      <c r="N150" s="274">
        <v>18947.3332</v>
      </c>
      <c r="O150" s="274">
        <v>19188.927898519196</v>
      </c>
      <c r="P150" s="274">
        <v>19188.927898519196</v>
      </c>
      <c r="Q150" s="274">
        <v>19188.927898519196</v>
      </c>
      <c r="R150" s="305">
        <v>19188.927898519196</v>
      </c>
      <c r="S150" s="305"/>
      <c r="T150" s="305"/>
      <c r="U150" s="305"/>
      <c r="V150" s="273"/>
      <c r="W150" s="273"/>
      <c r="X150" s="273"/>
      <c r="Y150" s="273"/>
    </row>
    <row r="151" spans="1:25" ht="12.75">
      <c r="A151" s="304">
        <v>494</v>
      </c>
      <c r="B151" s="262" t="s">
        <v>289</v>
      </c>
      <c r="C151" s="260">
        <v>17</v>
      </c>
      <c r="D151" s="274">
        <v>24970.072600000003</v>
      </c>
      <c r="E151" s="274">
        <v>26090.59264830734</v>
      </c>
      <c r="F151" s="274">
        <v>27305.47328996011</v>
      </c>
      <c r="G151" s="274">
        <v>14329.766470814862</v>
      </c>
      <c r="H151" s="274">
        <v>13993.06642883908</v>
      </c>
      <c r="I151" s="274">
        <v>1204.75899</v>
      </c>
      <c r="J151" s="274">
        <v>760.7060809999999</v>
      </c>
      <c r="K151" s="274">
        <v>818.40813</v>
      </c>
      <c r="L151" s="274">
        <v>631.683945</v>
      </c>
      <c r="M151" s="274">
        <v>639.629655</v>
      </c>
      <c r="N151" s="274">
        <v>3661.90971</v>
      </c>
      <c r="O151" s="274">
        <v>3636.4712360064</v>
      </c>
      <c r="P151" s="274">
        <v>3636.4712360064</v>
      </c>
      <c r="Q151" s="274">
        <v>3636.4712360064</v>
      </c>
      <c r="R151" s="305">
        <v>3636.4712360064</v>
      </c>
      <c r="S151" s="305"/>
      <c r="T151" s="305"/>
      <c r="U151" s="305"/>
      <c r="V151" s="273"/>
      <c r="W151" s="273"/>
      <c r="X151" s="273"/>
      <c r="Y151" s="273"/>
    </row>
    <row r="152" spans="1:25" ht="12.75">
      <c r="A152" s="304">
        <v>495</v>
      </c>
      <c r="B152" s="262" t="s">
        <v>290</v>
      </c>
      <c r="C152" s="260">
        <v>13</v>
      </c>
      <c r="D152" s="274">
        <v>3973.2375</v>
      </c>
      <c r="E152" s="274">
        <v>4044.418850798439</v>
      </c>
      <c r="F152" s="274">
        <v>4176.396057036675</v>
      </c>
      <c r="G152" s="274">
        <v>2305.23334685018</v>
      </c>
      <c r="H152" s="274">
        <v>2280.5969913783115</v>
      </c>
      <c r="I152" s="274">
        <v>1080.65754</v>
      </c>
      <c r="J152" s="274">
        <v>1108.390412</v>
      </c>
      <c r="K152" s="274">
        <v>1201.618394</v>
      </c>
      <c r="L152" s="274">
        <v>927.462741</v>
      </c>
      <c r="M152" s="274">
        <v>939.1289390000002</v>
      </c>
      <c r="N152" s="274">
        <v>403.81428000000005</v>
      </c>
      <c r="O152" s="274">
        <v>398.78419366800006</v>
      </c>
      <c r="P152" s="274">
        <v>398.78419366800006</v>
      </c>
      <c r="Q152" s="274">
        <v>398.78419366800006</v>
      </c>
      <c r="R152" s="305">
        <v>398.78419366800006</v>
      </c>
      <c r="S152" s="305"/>
      <c r="T152" s="305"/>
      <c r="U152" s="305"/>
      <c r="V152" s="273"/>
      <c r="W152" s="273"/>
      <c r="X152" s="273"/>
      <c r="Y152" s="273"/>
    </row>
    <row r="153" spans="1:25" ht="12.75">
      <c r="A153" s="304">
        <v>498</v>
      </c>
      <c r="B153" s="262" t="s">
        <v>291</v>
      </c>
      <c r="C153" s="260">
        <v>19</v>
      </c>
      <c r="D153" s="274">
        <v>7044.08808</v>
      </c>
      <c r="E153" s="274">
        <v>7422.500285458292</v>
      </c>
      <c r="F153" s="274">
        <v>7507.401007833406</v>
      </c>
      <c r="G153" s="274">
        <v>4183.560052695863</v>
      </c>
      <c r="H153" s="274">
        <v>4095.973845943384</v>
      </c>
      <c r="I153" s="274">
        <v>728.14525</v>
      </c>
      <c r="J153" s="274">
        <v>721.72262</v>
      </c>
      <c r="K153" s="274">
        <v>782.391708</v>
      </c>
      <c r="L153" s="274">
        <v>603.884862</v>
      </c>
      <c r="M153" s="274">
        <v>611.4808979999999</v>
      </c>
      <c r="N153" s="274">
        <v>965.8595600000001</v>
      </c>
      <c r="O153" s="274">
        <v>941.5437839760001</v>
      </c>
      <c r="P153" s="274">
        <v>941.5437839760001</v>
      </c>
      <c r="Q153" s="274">
        <v>941.5437839760001</v>
      </c>
      <c r="R153" s="305">
        <v>941.5437839760001</v>
      </c>
      <c r="S153" s="305"/>
      <c r="T153" s="305"/>
      <c r="U153" s="305"/>
      <c r="V153" s="273"/>
      <c r="W153" s="273"/>
      <c r="X153" s="273"/>
      <c r="Y153" s="273"/>
    </row>
    <row r="154" spans="1:25" ht="12.75">
      <c r="A154" s="304">
        <v>499</v>
      </c>
      <c r="B154" s="262" t="s">
        <v>292</v>
      </c>
      <c r="C154" s="260">
        <v>15</v>
      </c>
      <c r="D154" s="274">
        <v>69596.1353</v>
      </c>
      <c r="E154" s="274">
        <v>69947.12500761004</v>
      </c>
      <c r="F154" s="274">
        <v>73772.15637815885</v>
      </c>
      <c r="G154" s="274">
        <v>38392.65335269755</v>
      </c>
      <c r="H154" s="274">
        <v>37268.12496014056</v>
      </c>
      <c r="I154" s="274">
        <v>2650.0315</v>
      </c>
      <c r="J154" s="274">
        <v>2429.4754040000003</v>
      </c>
      <c r="K154" s="274">
        <v>2629.3304400000006</v>
      </c>
      <c r="L154" s="274">
        <v>2029.4346600000001</v>
      </c>
      <c r="M154" s="274">
        <v>2054.96214</v>
      </c>
      <c r="N154" s="274">
        <v>4578.7266500000005</v>
      </c>
      <c r="O154" s="274">
        <v>4552.9041108480005</v>
      </c>
      <c r="P154" s="274">
        <v>4552.9041108480005</v>
      </c>
      <c r="Q154" s="274">
        <v>4552.9041108480005</v>
      </c>
      <c r="R154" s="305">
        <v>4552.9041108480005</v>
      </c>
      <c r="S154" s="305"/>
      <c r="T154" s="305"/>
      <c r="U154" s="305"/>
      <c r="V154" s="273"/>
      <c r="W154" s="273"/>
      <c r="X154" s="273"/>
      <c r="Y154" s="273"/>
    </row>
    <row r="155" spans="1:25" ht="12.75">
      <c r="A155" s="304">
        <v>500</v>
      </c>
      <c r="B155" s="262" t="s">
        <v>293</v>
      </c>
      <c r="C155" s="275">
        <v>13</v>
      </c>
      <c r="D155" s="274">
        <v>34204.22168</v>
      </c>
      <c r="E155" s="274">
        <v>35942.34106142786</v>
      </c>
      <c r="F155" s="274">
        <v>36989.489304260336</v>
      </c>
      <c r="G155" s="274">
        <v>17961.56715471618</v>
      </c>
      <c r="H155" s="274">
        <v>17220.798883696447</v>
      </c>
      <c r="I155" s="274">
        <v>2316.3331200000002</v>
      </c>
      <c r="J155" s="274">
        <v>2174.881221</v>
      </c>
      <c r="K155" s="274">
        <v>2358.781988</v>
      </c>
      <c r="L155" s="274">
        <v>1820.6132820000003</v>
      </c>
      <c r="M155" s="274">
        <v>1843.5140780000002</v>
      </c>
      <c r="N155" s="274">
        <v>2133.90664</v>
      </c>
      <c r="O155" s="274">
        <v>2216.042131608</v>
      </c>
      <c r="P155" s="274">
        <v>2216.042131608</v>
      </c>
      <c r="Q155" s="274">
        <v>2216.042131608</v>
      </c>
      <c r="R155" s="305">
        <v>2216.042131608</v>
      </c>
      <c r="S155" s="305"/>
      <c r="T155" s="305"/>
      <c r="U155" s="305"/>
      <c r="V155" s="273"/>
      <c r="W155" s="273"/>
      <c r="X155" s="273"/>
      <c r="Y155" s="273"/>
    </row>
    <row r="156" spans="1:25" ht="12.75">
      <c r="A156" s="304">
        <v>503</v>
      </c>
      <c r="B156" s="262" t="s">
        <v>294</v>
      </c>
      <c r="C156" s="260">
        <v>2</v>
      </c>
      <c r="D156" s="274">
        <v>25159.87345</v>
      </c>
      <c r="E156" s="274">
        <v>25514.333257570685</v>
      </c>
      <c r="F156" s="274">
        <v>26379.342278131353</v>
      </c>
      <c r="G156" s="274">
        <v>13919.23502310068</v>
      </c>
      <c r="H156" s="274">
        <v>13574.165256099917</v>
      </c>
      <c r="I156" s="274">
        <v>1113.38083</v>
      </c>
      <c r="J156" s="274">
        <v>1004.687963</v>
      </c>
      <c r="K156" s="274">
        <v>1088.3736020000001</v>
      </c>
      <c r="L156" s="274">
        <v>840.0553530000002</v>
      </c>
      <c r="M156" s="274">
        <v>850.6220870000002</v>
      </c>
      <c r="N156" s="274">
        <v>1586.66058</v>
      </c>
      <c r="O156" s="274">
        <v>1584.9068469599997</v>
      </c>
      <c r="P156" s="274">
        <v>1584.9068469599997</v>
      </c>
      <c r="Q156" s="274">
        <v>1584.9068469599997</v>
      </c>
      <c r="R156" s="305">
        <v>1584.9068469599997</v>
      </c>
      <c r="S156" s="305"/>
      <c r="T156" s="305"/>
      <c r="U156" s="305"/>
      <c r="V156" s="273"/>
      <c r="W156" s="273"/>
      <c r="X156" s="273"/>
      <c r="Y156" s="273"/>
    </row>
    <row r="157" spans="1:25" ht="12.75">
      <c r="A157" s="304">
        <v>504</v>
      </c>
      <c r="B157" s="262" t="s">
        <v>295</v>
      </c>
      <c r="C157" s="260">
        <v>1</v>
      </c>
      <c r="D157" s="274">
        <v>5514.83207</v>
      </c>
      <c r="E157" s="274">
        <v>5743.741473042954</v>
      </c>
      <c r="F157" s="274">
        <v>5977.838651993814</v>
      </c>
      <c r="G157" s="274">
        <v>3279.640212839149</v>
      </c>
      <c r="H157" s="274">
        <v>3221.412341922382</v>
      </c>
      <c r="I157" s="274">
        <v>463.33703</v>
      </c>
      <c r="J157" s="274">
        <v>445.59004300000004</v>
      </c>
      <c r="K157" s="274">
        <v>482.946812</v>
      </c>
      <c r="L157" s="274">
        <v>372.759918</v>
      </c>
      <c r="M157" s="274">
        <v>377.448722</v>
      </c>
      <c r="N157" s="274">
        <v>399.92536</v>
      </c>
      <c r="O157" s="274">
        <v>394.568696832</v>
      </c>
      <c r="P157" s="274">
        <v>394.568696832</v>
      </c>
      <c r="Q157" s="274">
        <v>394.568696832</v>
      </c>
      <c r="R157" s="305">
        <v>394.568696832</v>
      </c>
      <c r="S157" s="305"/>
      <c r="T157" s="305"/>
      <c r="U157" s="305"/>
      <c r="V157" s="273"/>
      <c r="W157" s="273"/>
      <c r="X157" s="273"/>
      <c r="Y157" s="273"/>
    </row>
    <row r="158" spans="1:25" ht="12.75">
      <c r="A158" s="304">
        <v>505</v>
      </c>
      <c r="B158" s="262" t="s">
        <v>296</v>
      </c>
      <c r="C158" s="260">
        <v>1</v>
      </c>
      <c r="D158" s="274">
        <v>71548.65866</v>
      </c>
      <c r="E158" s="274">
        <v>71825.51297957831</v>
      </c>
      <c r="F158" s="274">
        <v>76510.82597956437</v>
      </c>
      <c r="G158" s="274">
        <v>39256.45430981201</v>
      </c>
      <c r="H158" s="274">
        <v>37918.50253146353</v>
      </c>
      <c r="I158" s="274">
        <v>2876.55252</v>
      </c>
      <c r="J158" s="274">
        <v>2861.468654999999</v>
      </c>
      <c r="K158" s="274">
        <v>3101.7337599999996</v>
      </c>
      <c r="L158" s="274">
        <v>2394.05664</v>
      </c>
      <c r="M158" s="274">
        <v>2424.17056</v>
      </c>
      <c r="N158" s="274">
        <v>6885.17036</v>
      </c>
      <c r="O158" s="274">
        <v>6779.412080232</v>
      </c>
      <c r="P158" s="274">
        <v>6779.412080232</v>
      </c>
      <c r="Q158" s="274">
        <v>6779.412080232</v>
      </c>
      <c r="R158" s="305">
        <v>6779.412080232</v>
      </c>
      <c r="S158" s="305"/>
      <c r="T158" s="305"/>
      <c r="U158" s="305"/>
      <c r="V158" s="273"/>
      <c r="W158" s="273"/>
      <c r="X158" s="273"/>
      <c r="Y158" s="273"/>
    </row>
    <row r="159" spans="1:25" ht="12.75">
      <c r="A159" s="304">
        <v>508</v>
      </c>
      <c r="B159" s="262" t="s">
        <v>297</v>
      </c>
      <c r="C159" s="260">
        <v>6</v>
      </c>
      <c r="D159" s="274">
        <v>35687.24553</v>
      </c>
      <c r="E159" s="274">
        <v>35301.99760001992</v>
      </c>
      <c r="F159" s="274">
        <v>36447.110565618044</v>
      </c>
      <c r="G159" s="274">
        <v>19524.787847782725</v>
      </c>
      <c r="H159" s="274">
        <v>19291.09532217202</v>
      </c>
      <c r="I159" s="274">
        <v>1771.51496</v>
      </c>
      <c r="J159" s="274">
        <v>2156.9007930000002</v>
      </c>
      <c r="K159" s="274">
        <v>2334.4472080000005</v>
      </c>
      <c r="L159" s="274">
        <v>1801.8306120000002</v>
      </c>
      <c r="M159" s="274">
        <v>1824.495148</v>
      </c>
      <c r="N159" s="274">
        <v>3181.6765699999996</v>
      </c>
      <c r="O159" s="274">
        <v>3147.9769597679997</v>
      </c>
      <c r="P159" s="274">
        <v>3147.9769597679997</v>
      </c>
      <c r="Q159" s="274">
        <v>3147.9769597679997</v>
      </c>
      <c r="R159" s="305">
        <v>3147.9769597679997</v>
      </c>
      <c r="S159" s="305"/>
      <c r="T159" s="305"/>
      <c r="U159" s="305"/>
      <c r="V159" s="273"/>
      <c r="W159" s="273"/>
      <c r="X159" s="273"/>
      <c r="Y159" s="273"/>
    </row>
    <row r="160" spans="1:25" ht="12.75">
      <c r="A160" s="304">
        <v>507</v>
      </c>
      <c r="B160" s="262" t="s">
        <v>298</v>
      </c>
      <c r="C160" s="260">
        <v>10</v>
      </c>
      <c r="D160" s="274">
        <v>16105.32085</v>
      </c>
      <c r="E160" s="274">
        <v>16269.11113093734</v>
      </c>
      <c r="F160" s="274">
        <v>16662.30141271331</v>
      </c>
      <c r="G160" s="274">
        <v>8138.987274542612</v>
      </c>
      <c r="H160" s="274">
        <v>7927.056583827798</v>
      </c>
      <c r="I160" s="274">
        <v>2345.95218</v>
      </c>
      <c r="J160" s="274">
        <v>2287.217722</v>
      </c>
      <c r="K160" s="274">
        <v>2479.3356599999997</v>
      </c>
      <c r="L160" s="274">
        <v>1913.6619899999998</v>
      </c>
      <c r="M160" s="274">
        <v>1937.7332099999996</v>
      </c>
      <c r="N160" s="274">
        <v>2567.5928900000004</v>
      </c>
      <c r="O160" s="274">
        <v>2806.318233708</v>
      </c>
      <c r="P160" s="274">
        <v>2806.318233708</v>
      </c>
      <c r="Q160" s="274">
        <v>2806.318233708</v>
      </c>
      <c r="R160" s="305">
        <v>2806.318233708</v>
      </c>
      <c r="S160" s="305"/>
      <c r="T160" s="305"/>
      <c r="U160" s="305"/>
      <c r="V160" s="273"/>
      <c r="W160" s="273"/>
      <c r="X160" s="273"/>
      <c r="Y160" s="273"/>
    </row>
    <row r="161" spans="1:25" ht="12.75">
      <c r="A161" s="304">
        <v>529</v>
      </c>
      <c r="B161" s="262" t="s">
        <v>299</v>
      </c>
      <c r="C161" s="260">
        <v>2</v>
      </c>
      <c r="D161" s="274">
        <v>71893.90068</v>
      </c>
      <c r="E161" s="274">
        <v>75676.71494658127</v>
      </c>
      <c r="F161" s="274">
        <v>77605.54187272266</v>
      </c>
      <c r="G161" s="274">
        <v>36246.88336327887</v>
      </c>
      <c r="H161" s="274">
        <v>34500.51776408494</v>
      </c>
      <c r="I161" s="274">
        <v>7868.23139</v>
      </c>
      <c r="J161" s="274">
        <v>10079.557018</v>
      </c>
      <c r="K161" s="274">
        <v>10942.171628</v>
      </c>
      <c r="L161" s="274">
        <v>8445.656742000001</v>
      </c>
      <c r="M161" s="274">
        <v>8551.891418</v>
      </c>
      <c r="N161" s="274">
        <v>6545.56179</v>
      </c>
      <c r="O161" s="274">
        <v>6603.633168912001</v>
      </c>
      <c r="P161" s="274">
        <v>6603.633168912001</v>
      </c>
      <c r="Q161" s="274">
        <v>6603.633168912001</v>
      </c>
      <c r="R161" s="305">
        <v>6603.633168912001</v>
      </c>
      <c r="S161" s="305"/>
      <c r="T161" s="305"/>
      <c r="U161" s="305"/>
      <c r="V161" s="273"/>
      <c r="W161" s="273"/>
      <c r="X161" s="273"/>
      <c r="Y161" s="273"/>
    </row>
    <row r="162" spans="1:25" ht="12.75">
      <c r="A162" s="304">
        <v>531</v>
      </c>
      <c r="B162" s="262" t="s">
        <v>300</v>
      </c>
      <c r="C162" s="260">
        <v>4</v>
      </c>
      <c r="D162" s="274">
        <v>16885.4575</v>
      </c>
      <c r="E162" s="274">
        <v>17793.282321967956</v>
      </c>
      <c r="F162" s="274">
        <v>18445.6674252048</v>
      </c>
      <c r="G162" s="274">
        <v>9629.818836264927</v>
      </c>
      <c r="H162" s="274">
        <v>9467.620686526509</v>
      </c>
      <c r="I162" s="274">
        <v>693.74287</v>
      </c>
      <c r="J162" s="274">
        <v>575.661515</v>
      </c>
      <c r="K162" s="274">
        <v>621.299296</v>
      </c>
      <c r="L162" s="274">
        <v>479.54654400000004</v>
      </c>
      <c r="M162" s="274">
        <v>485.57857600000006</v>
      </c>
      <c r="N162" s="274">
        <v>1340.02977</v>
      </c>
      <c r="O162" s="274">
        <v>1313.150300592</v>
      </c>
      <c r="P162" s="274">
        <v>1313.150300592</v>
      </c>
      <c r="Q162" s="274">
        <v>1313.150300592</v>
      </c>
      <c r="R162" s="305">
        <v>1313.150300592</v>
      </c>
      <c r="S162" s="305"/>
      <c r="T162" s="305"/>
      <c r="U162" s="305"/>
      <c r="V162" s="273"/>
      <c r="W162" s="273"/>
      <c r="X162" s="273"/>
      <c r="Y162" s="273"/>
    </row>
    <row r="163" spans="1:25" ht="12.75">
      <c r="A163" s="304">
        <v>535</v>
      </c>
      <c r="B163" s="262" t="s">
        <v>301</v>
      </c>
      <c r="C163" s="260">
        <v>17</v>
      </c>
      <c r="D163" s="274">
        <v>27412.30508</v>
      </c>
      <c r="E163" s="274">
        <v>28177.208763237497</v>
      </c>
      <c r="F163" s="274">
        <v>29263.59393892693</v>
      </c>
      <c r="G163" s="274">
        <v>15863.36088707504</v>
      </c>
      <c r="H163" s="274">
        <v>15612.605033384183</v>
      </c>
      <c r="I163" s="274">
        <v>1231.7588600000001</v>
      </c>
      <c r="J163" s="274">
        <v>1157.413923</v>
      </c>
      <c r="K163" s="274">
        <v>1253.488576</v>
      </c>
      <c r="L163" s="274">
        <v>967.498464</v>
      </c>
      <c r="M163" s="274">
        <v>979.668256</v>
      </c>
      <c r="N163" s="274">
        <v>2334.22308</v>
      </c>
      <c r="O163" s="274">
        <v>2446.881579156</v>
      </c>
      <c r="P163" s="274">
        <v>2446.881579156</v>
      </c>
      <c r="Q163" s="274">
        <v>2446.881579156</v>
      </c>
      <c r="R163" s="305">
        <v>2446.881579156</v>
      </c>
      <c r="S163" s="305"/>
      <c r="T163" s="305"/>
      <c r="U163" s="305"/>
      <c r="V163" s="273"/>
      <c r="W163" s="273"/>
      <c r="X163" s="273"/>
      <c r="Y163" s="273"/>
    </row>
    <row r="164" spans="1:25" ht="12.75">
      <c r="A164" s="304">
        <v>536</v>
      </c>
      <c r="B164" s="262" t="s">
        <v>302</v>
      </c>
      <c r="C164" s="260">
        <v>6</v>
      </c>
      <c r="D164" s="274">
        <v>114222.08299</v>
      </c>
      <c r="E164" s="274">
        <v>120770.85474266743</v>
      </c>
      <c r="F164" s="274">
        <v>126379.33418283054</v>
      </c>
      <c r="G164" s="274">
        <v>63998.86137208904</v>
      </c>
      <c r="H164" s="274">
        <v>62198.9094575509</v>
      </c>
      <c r="I164" s="274">
        <v>7239.76991</v>
      </c>
      <c r="J164" s="274">
        <v>9263.471346000002</v>
      </c>
      <c r="K164" s="274">
        <v>10058.501874000001</v>
      </c>
      <c r="L164" s="274">
        <v>7763.600961</v>
      </c>
      <c r="M164" s="274">
        <v>7861.256319</v>
      </c>
      <c r="N164" s="274">
        <v>8614.280480000001</v>
      </c>
      <c r="O164" s="274">
        <v>8841.591810012</v>
      </c>
      <c r="P164" s="274">
        <v>8841.591810012</v>
      </c>
      <c r="Q164" s="274">
        <v>8841.591810012</v>
      </c>
      <c r="R164" s="305">
        <v>8841.591810012</v>
      </c>
      <c r="S164" s="305"/>
      <c r="T164" s="305"/>
      <c r="U164" s="305"/>
      <c r="V164" s="273"/>
      <c r="W164" s="273"/>
      <c r="X164" s="273"/>
      <c r="Y164" s="273"/>
    </row>
    <row r="165" spans="1:25" ht="12.75">
      <c r="A165" s="304">
        <v>538</v>
      </c>
      <c r="B165" s="262" t="s">
        <v>303</v>
      </c>
      <c r="C165" s="260">
        <v>2</v>
      </c>
      <c r="D165" s="274">
        <v>16097.8206</v>
      </c>
      <c r="E165" s="274">
        <v>17028.685149419947</v>
      </c>
      <c r="F165" s="274">
        <v>17781.49929454113</v>
      </c>
      <c r="G165" s="274">
        <v>9592.272750337916</v>
      </c>
      <c r="H165" s="274">
        <v>9348.877127895132</v>
      </c>
      <c r="I165" s="274">
        <v>462.21416</v>
      </c>
      <c r="J165" s="274">
        <v>458.93018900000004</v>
      </c>
      <c r="K165" s="274">
        <v>497.059254</v>
      </c>
      <c r="L165" s="274">
        <v>383.65253099999995</v>
      </c>
      <c r="M165" s="274">
        <v>388.478349</v>
      </c>
      <c r="N165" s="274">
        <v>852.56157</v>
      </c>
      <c r="O165" s="274">
        <v>851.2478279040001</v>
      </c>
      <c r="P165" s="274">
        <v>851.2478279040001</v>
      </c>
      <c r="Q165" s="274">
        <v>851.2478279040001</v>
      </c>
      <c r="R165" s="305">
        <v>851.2478279040001</v>
      </c>
      <c r="S165" s="305"/>
      <c r="T165" s="305"/>
      <c r="U165" s="305"/>
      <c r="V165" s="273"/>
      <c r="W165" s="273"/>
      <c r="X165" s="273"/>
      <c r="Y165" s="273"/>
    </row>
    <row r="166" spans="1:25" ht="12.75">
      <c r="A166" s="304">
        <v>541</v>
      </c>
      <c r="B166" s="262" t="s">
        <v>304</v>
      </c>
      <c r="C166" s="260">
        <v>12</v>
      </c>
      <c r="D166" s="274">
        <v>19706.26224</v>
      </c>
      <c r="E166" s="274">
        <v>19875.53405368859</v>
      </c>
      <c r="F166" s="274">
        <v>20689.423275281344</v>
      </c>
      <c r="G166" s="274">
        <v>10510.22326914436</v>
      </c>
      <c r="H166" s="274">
        <v>10347.841451333832</v>
      </c>
      <c r="I166" s="274">
        <v>2881.04495</v>
      </c>
      <c r="J166" s="274">
        <v>2607.9726379999997</v>
      </c>
      <c r="K166" s="274">
        <v>2827.158214</v>
      </c>
      <c r="L166" s="274">
        <v>2182.1269709999997</v>
      </c>
      <c r="M166" s="274">
        <v>2209.5751089999994</v>
      </c>
      <c r="N166" s="274">
        <v>1652.36874</v>
      </c>
      <c r="O166" s="274">
        <v>1660.7561965032</v>
      </c>
      <c r="P166" s="274">
        <v>1660.7561965032</v>
      </c>
      <c r="Q166" s="274">
        <v>1660.7561965032</v>
      </c>
      <c r="R166" s="305">
        <v>1660.7561965032</v>
      </c>
      <c r="S166" s="305"/>
      <c r="T166" s="305"/>
      <c r="U166" s="305"/>
      <c r="V166" s="273"/>
      <c r="W166" s="273"/>
      <c r="X166" s="273"/>
      <c r="Y166" s="273"/>
    </row>
    <row r="167" spans="1:25" ht="12.75">
      <c r="A167" s="304">
        <v>543</v>
      </c>
      <c r="B167" s="262" t="s">
        <v>305</v>
      </c>
      <c r="C167" s="260">
        <v>1</v>
      </c>
      <c r="D167" s="274">
        <v>165825.21944</v>
      </c>
      <c r="E167" s="274">
        <v>168835.48778141674</v>
      </c>
      <c r="F167" s="274">
        <v>178706.13536300504</v>
      </c>
      <c r="G167" s="274">
        <v>86311.90872342713</v>
      </c>
      <c r="H167" s="274">
        <v>82184.72269405876</v>
      </c>
      <c r="I167" s="274">
        <v>7810.30671</v>
      </c>
      <c r="J167" s="274">
        <v>7737.963161000001</v>
      </c>
      <c r="K167" s="274">
        <v>8391.179898000002</v>
      </c>
      <c r="L167" s="274">
        <v>6476.6873970000015</v>
      </c>
      <c r="M167" s="274">
        <v>6558.155163</v>
      </c>
      <c r="N167" s="274">
        <v>8972.20283</v>
      </c>
      <c r="O167" s="274">
        <v>9370.9856228352</v>
      </c>
      <c r="P167" s="274">
        <v>9370.9856228352</v>
      </c>
      <c r="Q167" s="274">
        <v>9370.9856228352</v>
      </c>
      <c r="R167" s="305">
        <v>9370.9856228352</v>
      </c>
      <c r="S167" s="305"/>
      <c r="T167" s="305"/>
      <c r="U167" s="305"/>
      <c r="V167" s="273"/>
      <c r="W167" s="273"/>
      <c r="X167" s="273"/>
      <c r="Y167" s="273"/>
    </row>
    <row r="168" spans="1:25" ht="12.75">
      <c r="A168" s="304">
        <v>545</v>
      </c>
      <c r="B168" s="262" t="s">
        <v>306</v>
      </c>
      <c r="C168" s="260">
        <v>15</v>
      </c>
      <c r="D168" s="274">
        <v>26287.72295</v>
      </c>
      <c r="E168" s="274">
        <v>26787.4057495176</v>
      </c>
      <c r="F168" s="274">
        <v>27851.09811390769</v>
      </c>
      <c r="G168" s="274">
        <v>15389.866297176133</v>
      </c>
      <c r="H168" s="274">
        <v>15020.267521536474</v>
      </c>
      <c r="I168" s="274">
        <v>2618.978</v>
      </c>
      <c r="J168" s="274">
        <v>2558.114618</v>
      </c>
      <c r="K168" s="274">
        <v>2773.1680860000006</v>
      </c>
      <c r="L168" s="274">
        <v>2140.454979</v>
      </c>
      <c r="M168" s="274">
        <v>2167.378941</v>
      </c>
      <c r="N168" s="274">
        <v>2909.82163</v>
      </c>
      <c r="O168" s="274">
        <v>2975.5729992</v>
      </c>
      <c r="P168" s="274">
        <v>2975.5729992</v>
      </c>
      <c r="Q168" s="274">
        <v>2975.5729992</v>
      </c>
      <c r="R168" s="305">
        <v>2975.5729992</v>
      </c>
      <c r="S168" s="305"/>
      <c r="T168" s="305"/>
      <c r="U168" s="305"/>
      <c r="V168" s="273"/>
      <c r="W168" s="273"/>
      <c r="X168" s="273"/>
      <c r="Y168" s="273"/>
    </row>
    <row r="169" spans="1:25" ht="12.75">
      <c r="A169" s="304">
        <v>560</v>
      </c>
      <c r="B169" s="262" t="s">
        <v>307</v>
      </c>
      <c r="C169" s="260">
        <v>7</v>
      </c>
      <c r="D169" s="274">
        <v>48767.958</v>
      </c>
      <c r="E169" s="274">
        <v>49456.4990545275</v>
      </c>
      <c r="F169" s="274">
        <v>51420.88062785284</v>
      </c>
      <c r="G169" s="274">
        <v>26737.750467668033</v>
      </c>
      <c r="H169" s="274">
        <v>26103.86499575333</v>
      </c>
      <c r="I169" s="274">
        <v>2691.32123</v>
      </c>
      <c r="J169" s="274">
        <v>2407.074792</v>
      </c>
      <c r="K169" s="274">
        <v>2604.6751240000003</v>
      </c>
      <c r="L169" s="274">
        <v>2010.404586</v>
      </c>
      <c r="M169" s="274">
        <v>2035.692694</v>
      </c>
      <c r="N169" s="274">
        <v>4380.449549999999</v>
      </c>
      <c r="O169" s="274">
        <v>4305.385274376</v>
      </c>
      <c r="P169" s="274">
        <v>4305.385274376</v>
      </c>
      <c r="Q169" s="274">
        <v>4305.385274376</v>
      </c>
      <c r="R169" s="305">
        <v>4305.385274376</v>
      </c>
      <c r="S169" s="305"/>
      <c r="T169" s="305"/>
      <c r="U169" s="305"/>
      <c r="V169" s="273"/>
      <c r="W169" s="273"/>
      <c r="X169" s="273"/>
      <c r="Y169" s="273"/>
    </row>
    <row r="170" spans="1:25" ht="12.75">
      <c r="A170" s="304">
        <v>561</v>
      </c>
      <c r="B170" s="262" t="s">
        <v>308</v>
      </c>
      <c r="C170" s="260">
        <v>2</v>
      </c>
      <c r="D170" s="274">
        <v>3458.23634</v>
      </c>
      <c r="E170" s="274">
        <v>3454.2097259034886</v>
      </c>
      <c r="F170" s="274">
        <v>3600.2853367171015</v>
      </c>
      <c r="G170" s="274">
        <v>1803.706746193418</v>
      </c>
      <c r="H170" s="274">
        <v>1740.1467803006856</v>
      </c>
      <c r="I170" s="274">
        <v>387.94514000000004</v>
      </c>
      <c r="J170" s="274">
        <v>362.92500699999994</v>
      </c>
      <c r="K170" s="274">
        <v>393.275836</v>
      </c>
      <c r="L170" s="274">
        <v>303.547854</v>
      </c>
      <c r="M170" s="274">
        <v>307.366066</v>
      </c>
      <c r="N170" s="274">
        <v>327.06822999999997</v>
      </c>
      <c r="O170" s="274">
        <v>318.149799036</v>
      </c>
      <c r="P170" s="274">
        <v>318.149799036</v>
      </c>
      <c r="Q170" s="274">
        <v>318.149799036</v>
      </c>
      <c r="R170" s="305">
        <v>318.149799036</v>
      </c>
      <c r="S170" s="305"/>
      <c r="T170" s="305"/>
      <c r="U170" s="305"/>
      <c r="V170" s="273"/>
      <c r="W170" s="273"/>
      <c r="X170" s="273"/>
      <c r="Y170" s="273"/>
    </row>
    <row r="171" spans="1:25" ht="12.75">
      <c r="A171" s="304">
        <v>562</v>
      </c>
      <c r="B171" s="310" t="s">
        <v>309</v>
      </c>
      <c r="C171" s="260">
        <v>6</v>
      </c>
      <c r="D171" s="274">
        <v>28773.740329999997</v>
      </c>
      <c r="E171" s="274">
        <v>28877.33784562815</v>
      </c>
      <c r="F171" s="274">
        <v>30010.96087739281</v>
      </c>
      <c r="G171" s="274">
        <v>16636.827095321452</v>
      </c>
      <c r="H171" s="274">
        <v>16357.655258163708</v>
      </c>
      <c r="I171" s="274">
        <v>1971.6158400000002</v>
      </c>
      <c r="J171" s="274">
        <v>1933.3091939999997</v>
      </c>
      <c r="K171" s="274">
        <v>2095.96451</v>
      </c>
      <c r="L171" s="274">
        <v>1617.7590149999999</v>
      </c>
      <c r="M171" s="274">
        <v>1638.108185</v>
      </c>
      <c r="N171" s="274">
        <v>3022.21868</v>
      </c>
      <c r="O171" s="274">
        <v>2977.240722252</v>
      </c>
      <c r="P171" s="274">
        <v>2977.240722252</v>
      </c>
      <c r="Q171" s="274">
        <v>2977.240722252</v>
      </c>
      <c r="R171" s="305">
        <v>2977.240722252</v>
      </c>
      <c r="S171" s="305"/>
      <c r="T171" s="305"/>
      <c r="U171" s="305"/>
      <c r="V171" s="273"/>
      <c r="W171" s="273"/>
      <c r="X171" s="273"/>
      <c r="Y171" s="273"/>
    </row>
    <row r="172" spans="1:25" ht="12.75">
      <c r="A172" s="304">
        <v>563</v>
      </c>
      <c r="B172" s="262" t="s">
        <v>310</v>
      </c>
      <c r="C172" s="260">
        <v>17</v>
      </c>
      <c r="D172" s="274">
        <v>21435.77922</v>
      </c>
      <c r="E172" s="274">
        <v>21754.68666456912</v>
      </c>
      <c r="F172" s="274">
        <v>22477.345959979575</v>
      </c>
      <c r="G172" s="274">
        <v>12098.00583827983</v>
      </c>
      <c r="H172" s="274">
        <v>11890.480652142856</v>
      </c>
      <c r="I172" s="274">
        <v>1278.53695</v>
      </c>
      <c r="J172" s="274">
        <v>1147.889329</v>
      </c>
      <c r="K172" s="274">
        <v>1241.67324</v>
      </c>
      <c r="L172" s="274">
        <v>958.3788600000001</v>
      </c>
      <c r="M172" s="274">
        <v>970.43394</v>
      </c>
      <c r="N172" s="274">
        <v>1901.73713</v>
      </c>
      <c r="O172" s="274">
        <v>2022.2148890879998</v>
      </c>
      <c r="P172" s="274">
        <v>2022.2148890879998</v>
      </c>
      <c r="Q172" s="274">
        <v>2022.2148890879998</v>
      </c>
      <c r="R172" s="305">
        <v>2022.2148890879998</v>
      </c>
      <c r="S172" s="305"/>
      <c r="T172" s="305"/>
      <c r="U172" s="305"/>
      <c r="V172" s="273"/>
      <c r="W172" s="273"/>
      <c r="X172" s="273"/>
      <c r="Y172" s="273"/>
    </row>
    <row r="173" spans="1:25" ht="12.75">
      <c r="A173" s="304">
        <v>564</v>
      </c>
      <c r="B173" s="262" t="s">
        <v>311</v>
      </c>
      <c r="C173" s="260">
        <v>17</v>
      </c>
      <c r="D173" s="274">
        <v>665846.24416</v>
      </c>
      <c r="E173" s="274">
        <v>677908.6261596072</v>
      </c>
      <c r="F173" s="274">
        <v>715764.2830030351</v>
      </c>
      <c r="G173" s="274">
        <v>359938.70320594247</v>
      </c>
      <c r="H173" s="274">
        <v>346817.59325276833</v>
      </c>
      <c r="I173" s="274">
        <v>42612.01964</v>
      </c>
      <c r="J173" s="274">
        <v>45800.972078000006</v>
      </c>
      <c r="K173" s="274">
        <v>49636.46426000001</v>
      </c>
      <c r="L173" s="274">
        <v>38311.63988999999</v>
      </c>
      <c r="M173" s="274">
        <v>38793.54731</v>
      </c>
      <c r="N173" s="274">
        <v>56087.361619999996</v>
      </c>
      <c r="O173" s="274">
        <v>57023.261212411184</v>
      </c>
      <c r="P173" s="274">
        <v>57023.261212411184</v>
      </c>
      <c r="Q173" s="274">
        <v>57023.261212411184</v>
      </c>
      <c r="R173" s="305">
        <v>57023.261212411184</v>
      </c>
      <c r="S173" s="305"/>
      <c r="T173" s="305"/>
      <c r="U173" s="305"/>
      <c r="V173" s="273"/>
      <c r="W173" s="273"/>
      <c r="X173" s="273"/>
      <c r="Y173" s="273"/>
    </row>
    <row r="174" spans="1:25" ht="12.75">
      <c r="A174" s="304">
        <v>309</v>
      </c>
      <c r="B174" s="309" t="s">
        <v>312</v>
      </c>
      <c r="C174" s="260">
        <v>12</v>
      </c>
      <c r="D174" s="274">
        <v>19165.56128</v>
      </c>
      <c r="E174" s="274">
        <v>18879.055522049828</v>
      </c>
      <c r="F174" s="274">
        <v>19624.631157188396</v>
      </c>
      <c r="G174" s="274">
        <v>10555.863484150525</v>
      </c>
      <c r="H174" s="274">
        <v>10465.478184532532</v>
      </c>
      <c r="I174" s="274">
        <v>1435.6551000000002</v>
      </c>
      <c r="J174" s="274">
        <v>1269.557746</v>
      </c>
      <c r="K174" s="274">
        <v>1372.583974</v>
      </c>
      <c r="L174" s="274">
        <v>1059.421611</v>
      </c>
      <c r="M174" s="274">
        <v>1072.7476689999999</v>
      </c>
      <c r="N174" s="274">
        <v>1763.5146100000002</v>
      </c>
      <c r="O174" s="274">
        <v>1742.498699316</v>
      </c>
      <c r="P174" s="274">
        <v>1742.498699316</v>
      </c>
      <c r="Q174" s="274">
        <v>1742.498699316</v>
      </c>
      <c r="R174" s="305">
        <v>1742.498699316</v>
      </c>
      <c r="S174" s="305"/>
      <c r="T174" s="305"/>
      <c r="U174" s="305"/>
      <c r="V174" s="273"/>
      <c r="W174" s="273"/>
      <c r="X174" s="273"/>
      <c r="Y174" s="273"/>
    </row>
    <row r="175" spans="1:25" ht="12.75">
      <c r="A175" s="304">
        <v>576</v>
      </c>
      <c r="B175" s="262" t="s">
        <v>313</v>
      </c>
      <c r="C175" s="260">
        <v>7</v>
      </c>
      <c r="D175" s="274">
        <v>7978.5055999999995</v>
      </c>
      <c r="E175" s="274">
        <v>8239.256749143131</v>
      </c>
      <c r="F175" s="274">
        <v>8384.895859520133</v>
      </c>
      <c r="G175" s="274">
        <v>4421.122839112395</v>
      </c>
      <c r="H175" s="274">
        <v>4342.491507035963</v>
      </c>
      <c r="I175" s="274">
        <v>1271.46296</v>
      </c>
      <c r="J175" s="274">
        <v>1193.765409</v>
      </c>
      <c r="K175" s="274">
        <v>1293.8604559999999</v>
      </c>
      <c r="L175" s="274">
        <v>998.6592840000001</v>
      </c>
      <c r="M175" s="274">
        <v>1011.2210360000001</v>
      </c>
      <c r="N175" s="274">
        <v>1464.82079</v>
      </c>
      <c r="O175" s="274">
        <v>1463.9436712656</v>
      </c>
      <c r="P175" s="274">
        <v>1463.9436712656</v>
      </c>
      <c r="Q175" s="274">
        <v>1463.9436712656</v>
      </c>
      <c r="R175" s="305">
        <v>1463.9436712656</v>
      </c>
      <c r="S175" s="305"/>
      <c r="T175" s="305"/>
      <c r="U175" s="305"/>
      <c r="V175" s="273"/>
      <c r="W175" s="273"/>
      <c r="X175" s="273"/>
      <c r="Y175" s="273"/>
    </row>
    <row r="176" spans="1:25" ht="12.75">
      <c r="A176" s="304">
        <v>577</v>
      </c>
      <c r="B176" s="262" t="s">
        <v>314</v>
      </c>
      <c r="C176" s="260">
        <v>2</v>
      </c>
      <c r="D176" s="274">
        <v>38295.58845</v>
      </c>
      <c r="E176" s="274">
        <v>38746.85805957287</v>
      </c>
      <c r="F176" s="274">
        <v>40626.70678796053</v>
      </c>
      <c r="G176" s="274">
        <v>21106.842683129475</v>
      </c>
      <c r="H176" s="274">
        <v>20488.551526573894</v>
      </c>
      <c r="I176" s="274">
        <v>1494.15814</v>
      </c>
      <c r="J176" s="274">
        <v>1317.104032</v>
      </c>
      <c r="K176" s="274">
        <v>1423.8792099999998</v>
      </c>
      <c r="L176" s="274">
        <v>1099.013565</v>
      </c>
      <c r="M176" s="274">
        <v>1112.837635</v>
      </c>
      <c r="N176" s="274">
        <v>2301.59245</v>
      </c>
      <c r="O176" s="274">
        <v>2437.834862736</v>
      </c>
      <c r="P176" s="274">
        <v>2437.834862736</v>
      </c>
      <c r="Q176" s="274">
        <v>2437.834862736</v>
      </c>
      <c r="R176" s="305">
        <v>2437.834862736</v>
      </c>
      <c r="S176" s="305"/>
      <c r="T176" s="305"/>
      <c r="U176" s="305"/>
      <c r="V176" s="273"/>
      <c r="W176" s="273"/>
      <c r="X176" s="273"/>
      <c r="Y176" s="273"/>
    </row>
    <row r="177" spans="1:25" ht="12.75">
      <c r="A177" s="304">
        <v>578</v>
      </c>
      <c r="B177" s="310" t="s">
        <v>315</v>
      </c>
      <c r="C177" s="260">
        <v>18</v>
      </c>
      <c r="D177" s="274">
        <v>9355.89754</v>
      </c>
      <c r="E177" s="274">
        <v>9289.352699126273</v>
      </c>
      <c r="F177" s="274">
        <v>9606.692331905762</v>
      </c>
      <c r="G177" s="274">
        <v>5267.4299741400355</v>
      </c>
      <c r="H177" s="274">
        <v>5205.624678175272</v>
      </c>
      <c r="I177" s="274">
        <v>672.88525</v>
      </c>
      <c r="J177" s="274">
        <v>607.3638790000001</v>
      </c>
      <c r="K177" s="274">
        <v>657.4547680000002</v>
      </c>
      <c r="L177" s="274">
        <v>507.452952</v>
      </c>
      <c r="M177" s="274">
        <v>513.836008</v>
      </c>
      <c r="N177" s="274">
        <v>1287.84989</v>
      </c>
      <c r="O177" s="274">
        <v>1264.528154592</v>
      </c>
      <c r="P177" s="274">
        <v>1264.528154592</v>
      </c>
      <c r="Q177" s="274">
        <v>1264.528154592</v>
      </c>
      <c r="R177" s="305">
        <v>1264.528154592</v>
      </c>
      <c r="S177" s="305"/>
      <c r="T177" s="305"/>
      <c r="U177" s="305"/>
      <c r="V177" s="273"/>
      <c r="W177" s="273"/>
      <c r="X177" s="273"/>
      <c r="Y177" s="273"/>
    </row>
    <row r="178" spans="1:25" ht="12.75">
      <c r="A178" s="304">
        <v>445</v>
      </c>
      <c r="B178" s="262" t="s">
        <v>130</v>
      </c>
      <c r="C178" s="260">
        <v>2</v>
      </c>
      <c r="D178" s="274">
        <v>54789.26513</v>
      </c>
      <c r="E178" s="274">
        <v>55690.68635257784</v>
      </c>
      <c r="F178" s="274">
        <v>57621.50035054636</v>
      </c>
      <c r="G178" s="274">
        <v>28220.104462055548</v>
      </c>
      <c r="H178" s="274">
        <v>27236.26927093828</v>
      </c>
      <c r="I178" s="274">
        <v>2254.31277</v>
      </c>
      <c r="J178" s="274">
        <v>2361.82339</v>
      </c>
      <c r="K178" s="274">
        <v>2548.51458</v>
      </c>
      <c r="L178" s="274">
        <v>1967.05737</v>
      </c>
      <c r="M178" s="274">
        <v>1991.8002299999998</v>
      </c>
      <c r="N178" s="274">
        <v>9189.96085</v>
      </c>
      <c r="O178" s="274">
        <v>9185.1182282928</v>
      </c>
      <c r="P178" s="274">
        <v>9185.1182282928</v>
      </c>
      <c r="Q178" s="274">
        <v>9185.1182282928</v>
      </c>
      <c r="R178" s="305">
        <v>9185.1182282928</v>
      </c>
      <c r="S178" s="305"/>
      <c r="T178" s="305"/>
      <c r="U178" s="305"/>
      <c r="V178" s="273"/>
      <c r="W178" s="273"/>
      <c r="X178" s="273"/>
      <c r="Y178" s="273"/>
    </row>
    <row r="179" spans="1:25" ht="12.75">
      <c r="A179" s="304">
        <v>580</v>
      </c>
      <c r="B179" s="262" t="s">
        <v>316</v>
      </c>
      <c r="C179" s="260">
        <v>9</v>
      </c>
      <c r="D179" s="274">
        <v>12734.162900000001</v>
      </c>
      <c r="E179" s="274">
        <v>12496.985021109243</v>
      </c>
      <c r="F179" s="274">
        <v>12997.755848272991</v>
      </c>
      <c r="G179" s="274">
        <v>6181.589147587231</v>
      </c>
      <c r="H179" s="274">
        <v>6017.49372801537</v>
      </c>
      <c r="I179" s="274">
        <v>1747.5066399999998</v>
      </c>
      <c r="J179" s="274">
        <v>1442.566963</v>
      </c>
      <c r="K179" s="274">
        <v>1564.64416</v>
      </c>
      <c r="L179" s="274">
        <v>1207.66224</v>
      </c>
      <c r="M179" s="274">
        <v>1222.85296</v>
      </c>
      <c r="N179" s="274">
        <v>1332.454</v>
      </c>
      <c r="O179" s="274">
        <v>1360.2372609599997</v>
      </c>
      <c r="P179" s="274">
        <v>1360.2372609599997</v>
      </c>
      <c r="Q179" s="274">
        <v>1360.2372609599997</v>
      </c>
      <c r="R179" s="305">
        <v>1360.2372609599997</v>
      </c>
      <c r="S179" s="305"/>
      <c r="T179" s="305"/>
      <c r="U179" s="305"/>
      <c r="V179" s="273"/>
      <c r="W179" s="273"/>
      <c r="X179" s="273"/>
      <c r="Y179" s="273"/>
    </row>
    <row r="180" spans="1:25" ht="12.75">
      <c r="A180" s="304">
        <v>581</v>
      </c>
      <c r="B180" s="262" t="s">
        <v>317</v>
      </c>
      <c r="C180" s="260">
        <v>6</v>
      </c>
      <c r="D180" s="274">
        <v>18015.01942</v>
      </c>
      <c r="E180" s="274">
        <v>18905.040671234157</v>
      </c>
      <c r="F180" s="274">
        <v>20091.755422163096</v>
      </c>
      <c r="G180" s="274">
        <v>10883.000854404769</v>
      </c>
      <c r="H180" s="274">
        <v>10779.973107803535</v>
      </c>
      <c r="I180" s="274">
        <v>2180.81509</v>
      </c>
      <c r="J180" s="274">
        <v>2081.169361</v>
      </c>
      <c r="K180" s="274">
        <v>2253.4787020000003</v>
      </c>
      <c r="L180" s="274">
        <v>1739.335503</v>
      </c>
      <c r="M180" s="274">
        <v>1761.2139370000002</v>
      </c>
      <c r="N180" s="274">
        <v>1868.03528</v>
      </c>
      <c r="O180" s="274">
        <v>1906.9952579256</v>
      </c>
      <c r="P180" s="274">
        <v>1906.9952579256</v>
      </c>
      <c r="Q180" s="274">
        <v>1906.9952579256</v>
      </c>
      <c r="R180" s="305">
        <v>1906.9952579256</v>
      </c>
      <c r="S180" s="305"/>
      <c r="T180" s="305"/>
      <c r="U180" s="305"/>
      <c r="V180" s="273"/>
      <c r="W180" s="273"/>
      <c r="X180" s="273"/>
      <c r="Y180" s="273"/>
    </row>
    <row r="181" spans="1:25" ht="12.75">
      <c r="A181" s="304">
        <v>599</v>
      </c>
      <c r="B181" s="262" t="s">
        <v>131</v>
      </c>
      <c r="C181" s="260">
        <v>15</v>
      </c>
      <c r="D181" s="274">
        <v>30169.19296</v>
      </c>
      <c r="E181" s="274">
        <v>30814.15385699493</v>
      </c>
      <c r="F181" s="274">
        <v>32441.21299617296</v>
      </c>
      <c r="G181" s="274">
        <v>17270.608867099123</v>
      </c>
      <c r="H181" s="274">
        <v>16635.377777485675</v>
      </c>
      <c r="I181" s="274">
        <v>3209.70089</v>
      </c>
      <c r="J181" s="274">
        <v>2724.594944</v>
      </c>
      <c r="K181" s="274">
        <v>2954.3912299999997</v>
      </c>
      <c r="L181" s="274">
        <v>2280.331095</v>
      </c>
      <c r="M181" s="274">
        <v>2309.0145049999996</v>
      </c>
      <c r="N181" s="274">
        <v>2183.72845</v>
      </c>
      <c r="O181" s="274">
        <v>2192.1265373592</v>
      </c>
      <c r="P181" s="274">
        <v>2192.1265373592</v>
      </c>
      <c r="Q181" s="274">
        <v>2192.1265373592</v>
      </c>
      <c r="R181" s="305">
        <v>2192.1265373592</v>
      </c>
      <c r="S181" s="305"/>
      <c r="T181" s="305"/>
      <c r="U181" s="305"/>
      <c r="V181" s="273"/>
      <c r="W181" s="273"/>
      <c r="X181" s="273"/>
      <c r="Y181" s="273"/>
    </row>
    <row r="182" spans="1:25" ht="12.75">
      <c r="A182" s="304">
        <v>583</v>
      </c>
      <c r="B182" s="262" t="s">
        <v>318</v>
      </c>
      <c r="C182" s="260">
        <v>19</v>
      </c>
      <c r="D182" s="274">
        <v>2883.4213</v>
      </c>
      <c r="E182" s="274">
        <v>2911.1268730333986</v>
      </c>
      <c r="F182" s="274">
        <v>3009.965430069767</v>
      </c>
      <c r="G182" s="274">
        <v>1694.0808697902933</v>
      </c>
      <c r="H182" s="274">
        <v>1679.228779844832</v>
      </c>
      <c r="I182" s="274">
        <v>342.74262</v>
      </c>
      <c r="J182" s="274">
        <v>357.29513499999996</v>
      </c>
      <c r="K182" s="274">
        <v>387.02455999999995</v>
      </c>
      <c r="L182" s="274">
        <v>298.72284</v>
      </c>
      <c r="M182" s="274">
        <v>302.48036</v>
      </c>
      <c r="N182" s="274">
        <v>1750.74331</v>
      </c>
      <c r="O182" s="274">
        <v>1973.3264534999998</v>
      </c>
      <c r="P182" s="274">
        <v>1973.3264534999998</v>
      </c>
      <c r="Q182" s="274">
        <v>1973.3264534999998</v>
      </c>
      <c r="R182" s="305">
        <v>1973.3264534999998</v>
      </c>
      <c r="S182" s="305"/>
      <c r="T182" s="305"/>
      <c r="U182" s="305"/>
      <c r="V182" s="273"/>
      <c r="W182" s="273"/>
      <c r="X182" s="273"/>
      <c r="Y182" s="273"/>
    </row>
    <row r="183" spans="1:25" ht="12.75">
      <c r="A183" s="304">
        <v>854</v>
      </c>
      <c r="B183" s="262" t="s">
        <v>319</v>
      </c>
      <c r="C183" s="260">
        <v>19</v>
      </c>
      <c r="D183" s="274">
        <v>9553.70592</v>
      </c>
      <c r="E183" s="274">
        <v>10298.272122670742</v>
      </c>
      <c r="F183" s="274">
        <v>10561.88505181824</v>
      </c>
      <c r="G183" s="274">
        <v>5544.51222873316</v>
      </c>
      <c r="H183" s="274">
        <v>5449.091203908172</v>
      </c>
      <c r="I183" s="274">
        <v>790.90446</v>
      </c>
      <c r="J183" s="274">
        <v>788.298008</v>
      </c>
      <c r="K183" s="274">
        <v>852.343746</v>
      </c>
      <c r="L183" s="274">
        <v>657.8769689999999</v>
      </c>
      <c r="M183" s="274">
        <v>666.1521510000001</v>
      </c>
      <c r="N183" s="274">
        <v>745.52423</v>
      </c>
      <c r="O183" s="274">
        <v>734.9015712552001</v>
      </c>
      <c r="P183" s="274">
        <v>734.9015712552001</v>
      </c>
      <c r="Q183" s="274">
        <v>734.9015712552001</v>
      </c>
      <c r="R183" s="305">
        <v>734.9015712552001</v>
      </c>
      <c r="S183" s="305"/>
      <c r="T183" s="305"/>
      <c r="U183" s="305"/>
      <c r="V183" s="273"/>
      <c r="W183" s="273"/>
      <c r="X183" s="273"/>
      <c r="Y183" s="273"/>
    </row>
    <row r="184" spans="1:25" ht="12.75">
      <c r="A184" s="304">
        <v>584</v>
      </c>
      <c r="B184" s="262" t="s">
        <v>320</v>
      </c>
      <c r="C184" s="260">
        <v>16</v>
      </c>
      <c r="D184" s="274">
        <v>6568.90618</v>
      </c>
      <c r="E184" s="274">
        <v>6584.208938915333</v>
      </c>
      <c r="F184" s="274">
        <v>6856.519034664125</v>
      </c>
      <c r="G184" s="274">
        <v>3704.9464031054245</v>
      </c>
      <c r="H184" s="274">
        <v>3651.791758000853</v>
      </c>
      <c r="I184" s="274">
        <v>650.13243</v>
      </c>
      <c r="J184" s="274">
        <v>630.844134</v>
      </c>
      <c r="K184" s="274">
        <v>683.2566800000001</v>
      </c>
      <c r="L184" s="274">
        <v>527.36802</v>
      </c>
      <c r="M184" s="274">
        <v>534.00158</v>
      </c>
      <c r="N184" s="274">
        <v>582.60734</v>
      </c>
      <c r="O184" s="274">
        <v>733.0239639552001</v>
      </c>
      <c r="P184" s="274">
        <v>733.0239639552001</v>
      </c>
      <c r="Q184" s="274">
        <v>733.0239639552001</v>
      </c>
      <c r="R184" s="305">
        <v>733.0239639552001</v>
      </c>
      <c r="S184" s="305"/>
      <c r="T184" s="305"/>
      <c r="U184" s="305"/>
      <c r="V184" s="273"/>
      <c r="W184" s="273"/>
      <c r="X184" s="273"/>
      <c r="Y184" s="273"/>
    </row>
    <row r="185" spans="1:25" ht="12.75">
      <c r="A185" s="304">
        <v>588</v>
      </c>
      <c r="B185" s="262" t="s">
        <v>321</v>
      </c>
      <c r="C185" s="260">
        <v>10</v>
      </c>
      <c r="D185" s="274">
        <v>4125.61348</v>
      </c>
      <c r="E185" s="274">
        <v>4000.212749680229</v>
      </c>
      <c r="F185" s="274">
        <v>4329.022937573089</v>
      </c>
      <c r="G185" s="274">
        <v>2321.508230454672</v>
      </c>
      <c r="H185" s="274">
        <v>2288.0439251015914</v>
      </c>
      <c r="I185" s="274">
        <v>841.2985699999999</v>
      </c>
      <c r="J185" s="274">
        <v>813.643335</v>
      </c>
      <c r="K185" s="274">
        <v>882.48958</v>
      </c>
      <c r="L185" s="274">
        <v>681.14487</v>
      </c>
      <c r="M185" s="274">
        <v>689.71273</v>
      </c>
      <c r="N185" s="274">
        <v>812.99468</v>
      </c>
      <c r="O185" s="274">
        <v>813.77501592</v>
      </c>
      <c r="P185" s="274">
        <v>813.77501592</v>
      </c>
      <c r="Q185" s="274">
        <v>813.77501592</v>
      </c>
      <c r="R185" s="305">
        <v>813.77501592</v>
      </c>
      <c r="S185" s="305"/>
      <c r="T185" s="305"/>
      <c r="U185" s="305"/>
      <c r="V185" s="273"/>
      <c r="W185" s="273"/>
      <c r="X185" s="273"/>
      <c r="Y185" s="273"/>
    </row>
    <row r="186" spans="1:25" ht="12.75">
      <c r="A186" s="304">
        <v>592</v>
      </c>
      <c r="B186" s="262" t="s">
        <v>322</v>
      </c>
      <c r="C186" s="260">
        <v>13</v>
      </c>
      <c r="D186" s="274">
        <v>11046.083929999999</v>
      </c>
      <c r="E186" s="274">
        <v>11374.20578448383</v>
      </c>
      <c r="F186" s="274">
        <v>11816.744464649068</v>
      </c>
      <c r="G186" s="274">
        <v>6411.830906840828</v>
      </c>
      <c r="H186" s="274">
        <v>6327.801413137417</v>
      </c>
      <c r="I186" s="274">
        <v>1081.2243600000002</v>
      </c>
      <c r="J186" s="274">
        <v>1193.1470310000002</v>
      </c>
      <c r="K186" s="274">
        <v>1295.741854</v>
      </c>
      <c r="L186" s="274">
        <v>1000.1114309999999</v>
      </c>
      <c r="M186" s="274">
        <v>1012.691449</v>
      </c>
      <c r="N186" s="274">
        <v>881.90606</v>
      </c>
      <c r="O186" s="274">
        <v>933.4847575560002</v>
      </c>
      <c r="P186" s="274">
        <v>933.4847575560002</v>
      </c>
      <c r="Q186" s="274">
        <v>933.4847575560002</v>
      </c>
      <c r="R186" s="305">
        <v>933.4847575560002</v>
      </c>
      <c r="S186" s="305"/>
      <c r="T186" s="305"/>
      <c r="U186" s="305"/>
      <c r="V186" s="273"/>
      <c r="W186" s="273"/>
      <c r="X186" s="273"/>
      <c r="Y186" s="273"/>
    </row>
    <row r="187" spans="1:25" ht="12.75">
      <c r="A187" s="304">
        <v>593</v>
      </c>
      <c r="B187" s="262" t="s">
        <v>323</v>
      </c>
      <c r="C187" s="260">
        <v>10</v>
      </c>
      <c r="D187" s="274">
        <v>58000.08907</v>
      </c>
      <c r="E187" s="274">
        <v>58827.039503181484</v>
      </c>
      <c r="F187" s="274">
        <v>60339.0024309562</v>
      </c>
      <c r="G187" s="274">
        <v>32912.27490777775</v>
      </c>
      <c r="H187" s="274">
        <v>32525.799972330107</v>
      </c>
      <c r="I187" s="274">
        <v>4818.115589999999</v>
      </c>
      <c r="J187" s="274">
        <v>4588.191765999999</v>
      </c>
      <c r="K187" s="274">
        <v>4969.053719999999</v>
      </c>
      <c r="L187" s="274">
        <v>3835.33758</v>
      </c>
      <c r="M187" s="274">
        <v>3883.5808199999997</v>
      </c>
      <c r="N187" s="274">
        <v>4151.77066</v>
      </c>
      <c r="O187" s="274">
        <v>4229.962266744001</v>
      </c>
      <c r="P187" s="274">
        <v>4229.962266744001</v>
      </c>
      <c r="Q187" s="274">
        <v>4229.962266744001</v>
      </c>
      <c r="R187" s="305">
        <v>4229.962266744001</v>
      </c>
      <c r="S187" s="305"/>
      <c r="T187" s="305"/>
      <c r="U187" s="305"/>
      <c r="V187" s="273"/>
      <c r="W187" s="273"/>
      <c r="X187" s="273"/>
      <c r="Y187" s="273"/>
    </row>
    <row r="188" spans="1:25" ht="12.75">
      <c r="A188" s="304">
        <v>595</v>
      </c>
      <c r="B188" s="262" t="s">
        <v>324</v>
      </c>
      <c r="C188" s="260">
        <v>11</v>
      </c>
      <c r="D188" s="274">
        <v>10347.824460000002</v>
      </c>
      <c r="E188" s="274">
        <v>10925.634530044385</v>
      </c>
      <c r="F188" s="274">
        <v>11437.423744322063</v>
      </c>
      <c r="G188" s="274">
        <v>6264.904580537416</v>
      </c>
      <c r="H188" s="274">
        <v>6188.207464596125</v>
      </c>
      <c r="I188" s="274">
        <v>1534.2822800000001</v>
      </c>
      <c r="J188" s="274">
        <v>1469.865464</v>
      </c>
      <c r="K188" s="274">
        <v>1592.2458939999997</v>
      </c>
      <c r="L188" s="274">
        <v>1228.966491</v>
      </c>
      <c r="M188" s="274">
        <v>1244.425189</v>
      </c>
      <c r="N188" s="274">
        <v>1178.22404</v>
      </c>
      <c r="O188" s="274">
        <v>1168.5977441639998</v>
      </c>
      <c r="P188" s="274">
        <v>1168.5977441639998</v>
      </c>
      <c r="Q188" s="274">
        <v>1168.5977441639998</v>
      </c>
      <c r="R188" s="305">
        <v>1168.5977441639998</v>
      </c>
      <c r="S188" s="305"/>
      <c r="T188" s="305"/>
      <c r="U188" s="305"/>
      <c r="V188" s="273"/>
      <c r="W188" s="273"/>
      <c r="X188" s="273"/>
      <c r="Y188" s="273"/>
    </row>
    <row r="189" spans="1:25" ht="12.75">
      <c r="A189" s="304">
        <v>598</v>
      </c>
      <c r="B189" s="262" t="s">
        <v>325</v>
      </c>
      <c r="C189" s="260">
        <v>15</v>
      </c>
      <c r="D189" s="274">
        <v>66694.29665</v>
      </c>
      <c r="E189" s="274">
        <v>68689.78993556555</v>
      </c>
      <c r="F189" s="274">
        <v>70827.52133591207</v>
      </c>
      <c r="G189" s="274">
        <v>37676.69903668605</v>
      </c>
      <c r="H189" s="274">
        <v>36874.00486188354</v>
      </c>
      <c r="I189" s="274">
        <v>5922.0047</v>
      </c>
      <c r="J189" s="274">
        <v>6428.967078</v>
      </c>
      <c r="K189" s="274">
        <v>6976.280022000001</v>
      </c>
      <c r="L189" s="274">
        <v>5384.604482999999</v>
      </c>
      <c r="M189" s="274">
        <v>5452.335357000001</v>
      </c>
      <c r="N189" s="274">
        <v>5118.64318</v>
      </c>
      <c r="O189" s="274">
        <v>5816.362016855999</v>
      </c>
      <c r="P189" s="274">
        <v>5816.362016855999</v>
      </c>
      <c r="Q189" s="274">
        <v>5816.362016855999</v>
      </c>
      <c r="R189" s="305">
        <v>5816.362016855999</v>
      </c>
      <c r="S189" s="305"/>
      <c r="T189" s="305"/>
      <c r="U189" s="305"/>
      <c r="V189" s="273"/>
      <c r="W189" s="273"/>
      <c r="X189" s="273"/>
      <c r="Y189" s="273"/>
    </row>
    <row r="190" spans="1:25" ht="12.75">
      <c r="A190" s="304">
        <v>601</v>
      </c>
      <c r="B190" s="262" t="s">
        <v>326</v>
      </c>
      <c r="C190" s="260">
        <v>13</v>
      </c>
      <c r="D190" s="274">
        <v>9872.01149</v>
      </c>
      <c r="E190" s="274">
        <v>9709.16123981069</v>
      </c>
      <c r="F190" s="274">
        <v>10155.764913225377</v>
      </c>
      <c r="G190" s="274">
        <v>5322.152853766357</v>
      </c>
      <c r="H190" s="274">
        <v>5248.9454181232395</v>
      </c>
      <c r="I190" s="274">
        <v>1628.50253</v>
      </c>
      <c r="J190" s="274">
        <v>1601.416962</v>
      </c>
      <c r="K190" s="274">
        <v>1735.593054</v>
      </c>
      <c r="L190" s="274">
        <v>1339.608231</v>
      </c>
      <c r="M190" s="274">
        <v>1356.458649</v>
      </c>
      <c r="N190" s="274">
        <v>934.65691</v>
      </c>
      <c r="O190" s="274">
        <v>933.5329382304</v>
      </c>
      <c r="P190" s="274">
        <v>933.5329382304</v>
      </c>
      <c r="Q190" s="274">
        <v>933.5329382304</v>
      </c>
      <c r="R190" s="305">
        <v>933.5329382304</v>
      </c>
      <c r="S190" s="305"/>
      <c r="T190" s="305"/>
      <c r="U190" s="305"/>
      <c r="V190" s="273"/>
      <c r="W190" s="273"/>
      <c r="X190" s="273"/>
      <c r="Y190" s="273"/>
    </row>
    <row r="191" spans="1:25" ht="12.75">
      <c r="A191" s="304">
        <v>604</v>
      </c>
      <c r="B191" s="262" t="s">
        <v>327</v>
      </c>
      <c r="C191" s="260">
        <v>6</v>
      </c>
      <c r="D191" s="274">
        <v>76540.90536</v>
      </c>
      <c r="E191" s="274">
        <v>78185.65422936734</v>
      </c>
      <c r="F191" s="274">
        <v>83449.4182811277</v>
      </c>
      <c r="G191" s="274">
        <v>42146.70226430493</v>
      </c>
      <c r="H191" s="274">
        <v>40139.28695966781</v>
      </c>
      <c r="I191" s="274">
        <v>3742.91857</v>
      </c>
      <c r="J191" s="274">
        <v>3918.965976</v>
      </c>
      <c r="K191" s="274">
        <v>4254.447136</v>
      </c>
      <c r="L191" s="274">
        <v>3283.7723039999996</v>
      </c>
      <c r="M191" s="274">
        <v>3325.0776159999996</v>
      </c>
      <c r="N191" s="274">
        <v>5163.99709</v>
      </c>
      <c r="O191" s="274">
        <v>5249.354465831999</v>
      </c>
      <c r="P191" s="274">
        <v>5249.354465831999</v>
      </c>
      <c r="Q191" s="274">
        <v>5249.354465831999</v>
      </c>
      <c r="R191" s="305">
        <v>5249.354465831999</v>
      </c>
      <c r="S191" s="305"/>
      <c r="T191" s="305"/>
      <c r="U191" s="305"/>
      <c r="V191" s="273"/>
      <c r="W191" s="273"/>
      <c r="X191" s="273"/>
      <c r="Y191" s="273"/>
    </row>
    <row r="192" spans="1:25" ht="12.75">
      <c r="A192" s="304">
        <v>607</v>
      </c>
      <c r="B192" s="262" t="s">
        <v>328</v>
      </c>
      <c r="C192" s="260">
        <v>12</v>
      </c>
      <c r="D192" s="274">
        <v>9965.655279999999</v>
      </c>
      <c r="E192" s="274">
        <v>9878.481733943743</v>
      </c>
      <c r="F192" s="274">
        <v>10389.073614104796</v>
      </c>
      <c r="G192" s="274">
        <v>5276.398223140017</v>
      </c>
      <c r="H192" s="274">
        <v>5164.036492128834</v>
      </c>
      <c r="I192" s="274">
        <v>1240.76352</v>
      </c>
      <c r="J192" s="274">
        <v>1332.933873</v>
      </c>
      <c r="K192" s="274">
        <v>1446.79671</v>
      </c>
      <c r="L192" s="274">
        <v>1116.7023149999998</v>
      </c>
      <c r="M192" s="274">
        <v>1130.7488849999997</v>
      </c>
      <c r="N192" s="274">
        <v>908.63712</v>
      </c>
      <c r="O192" s="274">
        <v>897.86310246</v>
      </c>
      <c r="P192" s="274">
        <v>897.86310246</v>
      </c>
      <c r="Q192" s="274">
        <v>897.86310246</v>
      </c>
      <c r="R192" s="305">
        <v>897.86310246</v>
      </c>
      <c r="S192" s="305"/>
      <c r="T192" s="305"/>
      <c r="U192" s="305"/>
      <c r="V192" s="273"/>
      <c r="W192" s="273"/>
      <c r="X192" s="273"/>
      <c r="Y192" s="273"/>
    </row>
    <row r="193" spans="1:25" ht="12.75">
      <c r="A193" s="304">
        <v>608</v>
      </c>
      <c r="B193" s="262" t="s">
        <v>329</v>
      </c>
      <c r="C193" s="260">
        <v>4</v>
      </c>
      <c r="D193" s="274">
        <v>5495.01669</v>
      </c>
      <c r="E193" s="274">
        <v>5441.648389155695</v>
      </c>
      <c r="F193" s="274">
        <v>5674.704687031243</v>
      </c>
      <c r="G193" s="274">
        <v>2850.959114031237</v>
      </c>
      <c r="H193" s="274">
        <v>2809.8230709802633</v>
      </c>
      <c r="I193" s="274">
        <v>528.17542</v>
      </c>
      <c r="J193" s="274">
        <v>549.879507</v>
      </c>
      <c r="K193" s="274">
        <v>596.676116</v>
      </c>
      <c r="L193" s="274">
        <v>460.541274</v>
      </c>
      <c r="M193" s="274">
        <v>466.334246</v>
      </c>
      <c r="N193" s="274">
        <v>535.41239</v>
      </c>
      <c r="O193" s="274">
        <v>528.4013909639999</v>
      </c>
      <c r="P193" s="274">
        <v>528.4013909639999</v>
      </c>
      <c r="Q193" s="274">
        <v>528.4013909639999</v>
      </c>
      <c r="R193" s="305">
        <v>528.4013909639999</v>
      </c>
      <c r="S193" s="305"/>
      <c r="T193" s="305"/>
      <c r="U193" s="305"/>
      <c r="V193" s="273"/>
      <c r="W193" s="273"/>
      <c r="X193" s="273"/>
      <c r="Y193" s="273"/>
    </row>
    <row r="194" spans="1:25" ht="12.75">
      <c r="A194" s="304">
        <v>609</v>
      </c>
      <c r="B194" s="262" t="s">
        <v>330</v>
      </c>
      <c r="C194" s="260">
        <v>4</v>
      </c>
      <c r="D194" s="274">
        <v>263373.27754</v>
      </c>
      <c r="E194" s="274">
        <v>271569.63160436106</v>
      </c>
      <c r="F194" s="274">
        <v>280864.03280798515</v>
      </c>
      <c r="G194" s="274">
        <v>136373.88198846777</v>
      </c>
      <c r="H194" s="274">
        <v>132771.87647937392</v>
      </c>
      <c r="I194" s="274">
        <v>16961.20033</v>
      </c>
      <c r="J194" s="274">
        <v>16821.441284</v>
      </c>
      <c r="K194" s="274">
        <v>18220.935046</v>
      </c>
      <c r="L194" s="274">
        <v>14063.731419000003</v>
      </c>
      <c r="M194" s="274">
        <v>14240.633701</v>
      </c>
      <c r="N194" s="274">
        <v>23139.41776</v>
      </c>
      <c r="O194" s="274">
        <v>24180.7002834696</v>
      </c>
      <c r="P194" s="274">
        <v>24180.7002834696</v>
      </c>
      <c r="Q194" s="274">
        <v>24180.7002834696</v>
      </c>
      <c r="R194" s="305">
        <v>24180.7002834696</v>
      </c>
      <c r="S194" s="305"/>
      <c r="T194" s="305"/>
      <c r="U194" s="305"/>
      <c r="V194" s="273"/>
      <c r="W194" s="273"/>
      <c r="X194" s="273"/>
      <c r="Y194" s="273"/>
    </row>
    <row r="195" spans="1:25" ht="12.75">
      <c r="A195" s="304">
        <v>611</v>
      </c>
      <c r="B195" s="262" t="s">
        <v>331</v>
      </c>
      <c r="C195" s="260">
        <v>1</v>
      </c>
      <c r="D195" s="274">
        <v>18040.7618</v>
      </c>
      <c r="E195" s="274">
        <v>18265.866706598164</v>
      </c>
      <c r="F195" s="274">
        <v>19105.77660445959</v>
      </c>
      <c r="G195" s="274">
        <v>10071.893829248662</v>
      </c>
      <c r="H195" s="274">
        <v>9616.196317137941</v>
      </c>
      <c r="I195" s="274">
        <v>626.8663100000001</v>
      </c>
      <c r="J195" s="274">
        <v>740.7996509999999</v>
      </c>
      <c r="K195" s="274">
        <v>805.1320479999998</v>
      </c>
      <c r="L195" s="274">
        <v>621.4368719999999</v>
      </c>
      <c r="M195" s="274">
        <v>629.253688</v>
      </c>
      <c r="N195" s="274">
        <v>1129.01444</v>
      </c>
      <c r="O195" s="274">
        <v>1137.4688712000002</v>
      </c>
      <c r="P195" s="274">
        <v>1137.4688712000002</v>
      </c>
      <c r="Q195" s="274">
        <v>1137.4688712000002</v>
      </c>
      <c r="R195" s="305">
        <v>1137.4688712000002</v>
      </c>
      <c r="S195" s="305"/>
      <c r="T195" s="305"/>
      <c r="U195" s="305"/>
      <c r="V195" s="273"/>
      <c r="W195" s="273"/>
      <c r="X195" s="273"/>
      <c r="Y195" s="273"/>
    </row>
    <row r="196" spans="1:25" ht="12.75">
      <c r="A196" s="304">
        <v>638</v>
      </c>
      <c r="B196" s="262" t="s">
        <v>332</v>
      </c>
      <c r="C196" s="260">
        <v>1</v>
      </c>
      <c r="D196" s="274">
        <v>190592.35681</v>
      </c>
      <c r="E196" s="274">
        <v>195454.898176206</v>
      </c>
      <c r="F196" s="274">
        <v>204332.56374672826</v>
      </c>
      <c r="G196" s="274">
        <v>99840.99640700768</v>
      </c>
      <c r="H196" s="274">
        <v>95976.38323158858</v>
      </c>
      <c r="I196" s="274">
        <v>13930.63565</v>
      </c>
      <c r="J196" s="274">
        <v>22344.548995999998</v>
      </c>
      <c r="K196" s="274">
        <v>24244.690225999995</v>
      </c>
      <c r="L196" s="274">
        <v>18713.134689</v>
      </c>
      <c r="M196" s="274">
        <v>18948.520031</v>
      </c>
      <c r="N196" s="274">
        <v>16658.30445</v>
      </c>
      <c r="O196" s="274">
        <v>16660.473167280004</v>
      </c>
      <c r="P196" s="274">
        <v>16660.473167280004</v>
      </c>
      <c r="Q196" s="274">
        <v>16660.473167280004</v>
      </c>
      <c r="R196" s="305">
        <v>16660.473167280004</v>
      </c>
      <c r="S196" s="305"/>
      <c r="T196" s="305"/>
      <c r="U196" s="305"/>
      <c r="V196" s="273"/>
      <c r="W196" s="273"/>
      <c r="X196" s="273"/>
      <c r="Y196" s="273"/>
    </row>
    <row r="197" spans="1:25" ht="12.75">
      <c r="A197" s="304">
        <v>614</v>
      </c>
      <c r="B197" s="262" t="s">
        <v>333</v>
      </c>
      <c r="C197" s="260">
        <v>19</v>
      </c>
      <c r="D197" s="274">
        <v>8589.60721</v>
      </c>
      <c r="E197" s="274">
        <v>8278.65482735557</v>
      </c>
      <c r="F197" s="274">
        <v>8774.020425775725</v>
      </c>
      <c r="G197" s="274">
        <v>4774.553301127926</v>
      </c>
      <c r="H197" s="274">
        <v>4708.677729291199</v>
      </c>
      <c r="I197" s="274">
        <v>822.9604499999999</v>
      </c>
      <c r="J197" s="274">
        <v>675.027289</v>
      </c>
      <c r="K197" s="274">
        <v>730.3973080000001</v>
      </c>
      <c r="L197" s="274">
        <v>563.7532620000001</v>
      </c>
      <c r="M197" s="274">
        <v>570.844498</v>
      </c>
      <c r="N197" s="274">
        <v>1239.79608</v>
      </c>
      <c r="O197" s="274">
        <v>1248.6142679759998</v>
      </c>
      <c r="P197" s="274">
        <v>1248.6142679759998</v>
      </c>
      <c r="Q197" s="274">
        <v>1248.6142679759998</v>
      </c>
      <c r="R197" s="305">
        <v>1248.6142679759998</v>
      </c>
      <c r="S197" s="305"/>
      <c r="T197" s="305"/>
      <c r="U197" s="305"/>
      <c r="V197" s="273"/>
      <c r="W197" s="273"/>
      <c r="X197" s="273"/>
      <c r="Y197" s="273"/>
    </row>
    <row r="198" spans="1:25" ht="12.75">
      <c r="A198" s="304">
        <v>615</v>
      </c>
      <c r="B198" s="262" t="s">
        <v>334</v>
      </c>
      <c r="C198" s="260">
        <v>17</v>
      </c>
      <c r="D198" s="274">
        <v>18464.642640000002</v>
      </c>
      <c r="E198" s="274">
        <v>18345.291666954297</v>
      </c>
      <c r="F198" s="274">
        <v>19064.54020853612</v>
      </c>
      <c r="G198" s="274">
        <v>9823.154442295643</v>
      </c>
      <c r="H198" s="274">
        <v>9662.280800346707</v>
      </c>
      <c r="I198" s="274">
        <v>2832.28344</v>
      </c>
      <c r="J198" s="274">
        <v>2665.125802</v>
      </c>
      <c r="K198" s="274">
        <v>2886.384656</v>
      </c>
      <c r="L198" s="274">
        <v>2227.8405840000005</v>
      </c>
      <c r="M198" s="274">
        <v>2255.8637360000002</v>
      </c>
      <c r="N198" s="274">
        <v>1970.82621</v>
      </c>
      <c r="O198" s="274">
        <v>2084.0255901384</v>
      </c>
      <c r="P198" s="274">
        <v>2084.0255901384</v>
      </c>
      <c r="Q198" s="274">
        <v>2084.0255901384</v>
      </c>
      <c r="R198" s="305">
        <v>2084.0255901384</v>
      </c>
      <c r="S198" s="305"/>
      <c r="T198" s="305"/>
      <c r="U198" s="305"/>
      <c r="V198" s="273"/>
      <c r="W198" s="273"/>
      <c r="X198" s="273"/>
      <c r="Y198" s="273"/>
    </row>
    <row r="199" spans="1:25" ht="12.75">
      <c r="A199" s="304">
        <v>616</v>
      </c>
      <c r="B199" s="262" t="s">
        <v>335</v>
      </c>
      <c r="C199" s="260">
        <v>1</v>
      </c>
      <c r="D199" s="274">
        <v>6555.94125</v>
      </c>
      <c r="E199" s="274">
        <v>6085.702637190287</v>
      </c>
      <c r="F199" s="274">
        <v>6615.922655931624</v>
      </c>
      <c r="G199" s="274">
        <v>3582.033066964393</v>
      </c>
      <c r="H199" s="274">
        <v>3493.145025565514</v>
      </c>
      <c r="I199" s="274">
        <v>455.35276</v>
      </c>
      <c r="J199" s="274">
        <v>273.997034</v>
      </c>
      <c r="K199" s="274">
        <v>295.254032</v>
      </c>
      <c r="L199" s="274">
        <v>227.890248</v>
      </c>
      <c r="M199" s="274">
        <v>230.756792</v>
      </c>
      <c r="N199" s="274">
        <v>444.81344</v>
      </c>
      <c r="O199" s="274">
        <v>440.291165556</v>
      </c>
      <c r="P199" s="274">
        <v>440.291165556</v>
      </c>
      <c r="Q199" s="274">
        <v>440.291165556</v>
      </c>
      <c r="R199" s="305">
        <v>440.291165556</v>
      </c>
      <c r="S199" s="305"/>
      <c r="T199" s="305"/>
      <c r="U199" s="305"/>
      <c r="V199" s="273"/>
      <c r="W199" s="273"/>
      <c r="X199" s="273"/>
      <c r="Y199" s="273"/>
    </row>
    <row r="200" spans="1:25" ht="12.75">
      <c r="A200" s="304">
        <v>619</v>
      </c>
      <c r="B200" s="262" t="s">
        <v>336</v>
      </c>
      <c r="C200" s="260">
        <v>6</v>
      </c>
      <c r="D200" s="274">
        <v>7772.22771</v>
      </c>
      <c r="E200" s="274">
        <v>7767.882301255661</v>
      </c>
      <c r="F200" s="274">
        <v>8208.883057763733</v>
      </c>
      <c r="G200" s="274">
        <v>4478.827289989503</v>
      </c>
      <c r="H200" s="274">
        <v>4433.276788014633</v>
      </c>
      <c r="I200" s="274">
        <v>603.31624</v>
      </c>
      <c r="J200" s="274">
        <v>477.3299849999999</v>
      </c>
      <c r="K200" s="274">
        <v>516.76954</v>
      </c>
      <c r="L200" s="274">
        <v>398.86581</v>
      </c>
      <c r="M200" s="274">
        <v>403.88298999999995</v>
      </c>
      <c r="N200" s="274">
        <v>605.54545</v>
      </c>
      <c r="O200" s="274">
        <v>656.13132792</v>
      </c>
      <c r="P200" s="274">
        <v>656.13132792</v>
      </c>
      <c r="Q200" s="274">
        <v>656.13132792</v>
      </c>
      <c r="R200" s="305">
        <v>656.13132792</v>
      </c>
      <c r="S200" s="305"/>
      <c r="T200" s="305"/>
      <c r="U200" s="305"/>
      <c r="V200" s="273"/>
      <c r="W200" s="273"/>
      <c r="X200" s="273"/>
      <c r="Y200" s="273"/>
    </row>
    <row r="201" spans="1:25" ht="12.75">
      <c r="A201" s="304">
        <v>620</v>
      </c>
      <c r="B201" s="262" t="s">
        <v>337</v>
      </c>
      <c r="C201" s="260">
        <v>18</v>
      </c>
      <c r="D201" s="274">
        <v>6696.57151</v>
      </c>
      <c r="E201" s="274">
        <v>6608.160332023802</v>
      </c>
      <c r="F201" s="274">
        <v>6912.508329405555</v>
      </c>
      <c r="G201" s="274">
        <v>3736.5131308907426</v>
      </c>
      <c r="H201" s="274">
        <v>3677.4370542878896</v>
      </c>
      <c r="I201" s="274">
        <v>1367.42381</v>
      </c>
      <c r="J201" s="274">
        <v>1253.562874</v>
      </c>
      <c r="K201" s="274">
        <v>1357.81604</v>
      </c>
      <c r="L201" s="274">
        <v>1048.0230600000002</v>
      </c>
      <c r="M201" s="274">
        <v>1061.20574</v>
      </c>
      <c r="N201" s="274">
        <v>797.7903299999999</v>
      </c>
      <c r="O201" s="274">
        <v>790.4164668264</v>
      </c>
      <c r="P201" s="274">
        <v>790.4164668264</v>
      </c>
      <c r="Q201" s="274">
        <v>790.4164668264</v>
      </c>
      <c r="R201" s="305">
        <v>790.4164668264</v>
      </c>
      <c r="S201" s="305"/>
      <c r="T201" s="305"/>
      <c r="U201" s="305"/>
      <c r="V201" s="273"/>
      <c r="W201" s="273"/>
      <c r="X201" s="273"/>
      <c r="Y201" s="273"/>
    </row>
    <row r="202" spans="1:25" ht="12.75">
      <c r="A202" s="304">
        <v>623</v>
      </c>
      <c r="B202" s="262" t="s">
        <v>338</v>
      </c>
      <c r="C202" s="260">
        <v>10</v>
      </c>
      <c r="D202" s="274">
        <v>5724.10623</v>
      </c>
      <c r="E202" s="274">
        <v>5881.883638585958</v>
      </c>
      <c r="F202" s="274">
        <v>5971.472192757039</v>
      </c>
      <c r="G202" s="274">
        <v>3001.2042829133047</v>
      </c>
      <c r="H202" s="274">
        <v>2907.825673519002</v>
      </c>
      <c r="I202" s="274">
        <v>1470.34771</v>
      </c>
      <c r="J202" s="274">
        <v>1465.8988119999997</v>
      </c>
      <c r="K202" s="274">
        <v>1589.2914419999997</v>
      </c>
      <c r="L202" s="274">
        <v>1226.686113</v>
      </c>
      <c r="M202" s="274">
        <v>1242.1161269999998</v>
      </c>
      <c r="N202" s="274">
        <v>1725.9956399999999</v>
      </c>
      <c r="O202" s="274">
        <v>1711.9093723464002</v>
      </c>
      <c r="P202" s="274">
        <v>1711.9093723464002</v>
      </c>
      <c r="Q202" s="274">
        <v>1711.9093723464002</v>
      </c>
      <c r="R202" s="305">
        <v>1711.9093723464002</v>
      </c>
      <c r="S202" s="305"/>
      <c r="T202" s="305"/>
      <c r="U202" s="305"/>
      <c r="V202" s="273"/>
      <c r="W202" s="273"/>
      <c r="X202" s="273"/>
      <c r="Y202" s="273"/>
    </row>
    <row r="203" spans="1:25" ht="12.75">
      <c r="A203" s="304">
        <v>624</v>
      </c>
      <c r="B203" s="262" t="s">
        <v>132</v>
      </c>
      <c r="C203" s="260">
        <v>8</v>
      </c>
      <c r="D203" s="274">
        <v>17914.3285</v>
      </c>
      <c r="E203" s="274">
        <v>18069.975850526393</v>
      </c>
      <c r="F203" s="274">
        <v>18814.502184651585</v>
      </c>
      <c r="G203" s="274">
        <v>9380.642733606734</v>
      </c>
      <c r="H203" s="274">
        <v>9121.138969313766</v>
      </c>
      <c r="I203" s="274">
        <v>783.82277</v>
      </c>
      <c r="J203" s="274">
        <v>803.86869</v>
      </c>
      <c r="K203" s="274">
        <v>872.3869280000001</v>
      </c>
      <c r="L203" s="274">
        <v>673.3471920000001</v>
      </c>
      <c r="M203" s="274">
        <v>681.816968</v>
      </c>
      <c r="N203" s="274">
        <v>2005.4096599999998</v>
      </c>
      <c r="O203" s="274">
        <v>2061.4298920632</v>
      </c>
      <c r="P203" s="274">
        <v>2061.4298920632</v>
      </c>
      <c r="Q203" s="274">
        <v>2061.4298920632</v>
      </c>
      <c r="R203" s="305">
        <v>2061.4298920632</v>
      </c>
      <c r="S203" s="305"/>
      <c r="T203" s="305"/>
      <c r="U203" s="305"/>
      <c r="V203" s="273"/>
      <c r="W203" s="273"/>
      <c r="X203" s="273"/>
      <c r="Y203" s="273"/>
    </row>
    <row r="204" spans="1:25" ht="12.75">
      <c r="A204" s="304">
        <v>625</v>
      </c>
      <c r="B204" s="262" t="s">
        <v>339</v>
      </c>
      <c r="C204" s="260">
        <v>17</v>
      </c>
      <c r="D204" s="274">
        <v>9093.858380000001</v>
      </c>
      <c r="E204" s="274">
        <v>9015.991692475585</v>
      </c>
      <c r="F204" s="274">
        <v>9311.325805838069</v>
      </c>
      <c r="G204" s="274">
        <v>4636.050669777722</v>
      </c>
      <c r="H204" s="274">
        <v>4545.725613570463</v>
      </c>
      <c r="I204" s="274">
        <v>651.2756899999999</v>
      </c>
      <c r="J204" s="274">
        <v>592.911126</v>
      </c>
      <c r="K204" s="274">
        <v>643.3989760000001</v>
      </c>
      <c r="L204" s="274">
        <v>496.604064</v>
      </c>
      <c r="M204" s="274">
        <v>502.8506560000001</v>
      </c>
      <c r="N204" s="274">
        <v>907.31691</v>
      </c>
      <c r="O204" s="274">
        <v>1487.89943082</v>
      </c>
      <c r="P204" s="274">
        <v>1487.89943082</v>
      </c>
      <c r="Q204" s="274">
        <v>1487.89943082</v>
      </c>
      <c r="R204" s="305">
        <v>1487.89943082</v>
      </c>
      <c r="S204" s="305"/>
      <c r="T204" s="305"/>
      <c r="U204" s="305"/>
      <c r="V204" s="273"/>
      <c r="W204" s="273"/>
      <c r="X204" s="273"/>
      <c r="Y204" s="273"/>
    </row>
    <row r="205" spans="1:25" ht="12.75">
      <c r="A205" s="304">
        <v>626</v>
      </c>
      <c r="B205" s="262" t="s">
        <v>133</v>
      </c>
      <c r="C205" s="260">
        <v>17</v>
      </c>
      <c r="D205" s="274">
        <v>14172.15141</v>
      </c>
      <c r="E205" s="274">
        <v>14801.274446985575</v>
      </c>
      <c r="F205" s="274">
        <v>15196.092578503107</v>
      </c>
      <c r="G205" s="274">
        <v>7744.100174131493</v>
      </c>
      <c r="H205" s="274">
        <v>7615.492906738657</v>
      </c>
      <c r="I205" s="274">
        <v>6238.6905</v>
      </c>
      <c r="J205" s="274">
        <v>4883.128882</v>
      </c>
      <c r="K205" s="274">
        <v>5298.657222</v>
      </c>
      <c r="L205" s="274">
        <v>4089.740283</v>
      </c>
      <c r="M205" s="274">
        <v>4141.183556999999</v>
      </c>
      <c r="N205" s="274">
        <v>1193.61817</v>
      </c>
      <c r="O205" s="274">
        <v>1233.199306752</v>
      </c>
      <c r="P205" s="274">
        <v>1233.199306752</v>
      </c>
      <c r="Q205" s="274">
        <v>1233.199306752</v>
      </c>
      <c r="R205" s="305">
        <v>1233.199306752</v>
      </c>
      <c r="S205" s="305"/>
      <c r="T205" s="305"/>
      <c r="U205" s="305"/>
      <c r="V205" s="273"/>
      <c r="W205" s="273"/>
      <c r="X205" s="273"/>
      <c r="Y205" s="273"/>
    </row>
    <row r="206" spans="1:25" ht="12.75">
      <c r="A206" s="304">
        <v>630</v>
      </c>
      <c r="B206" s="262" t="s">
        <v>340</v>
      </c>
      <c r="C206" s="260">
        <v>17</v>
      </c>
      <c r="D206" s="274">
        <v>3768.7666200000003</v>
      </c>
      <c r="E206" s="274">
        <v>3788.549851142598</v>
      </c>
      <c r="F206" s="274">
        <v>3902.9458376984912</v>
      </c>
      <c r="G206" s="274">
        <v>1930.5298743676362</v>
      </c>
      <c r="H206" s="274">
        <v>1882.0475142552496</v>
      </c>
      <c r="I206" s="274">
        <v>591.07052</v>
      </c>
      <c r="J206" s="274">
        <v>639.561807</v>
      </c>
      <c r="K206" s="274">
        <v>694.2721180000001</v>
      </c>
      <c r="L206" s="274">
        <v>535.870227</v>
      </c>
      <c r="M206" s="274">
        <v>542.6107330000001</v>
      </c>
      <c r="N206" s="274">
        <v>433.01669</v>
      </c>
      <c r="O206" s="274">
        <v>470.18419405199995</v>
      </c>
      <c r="P206" s="274">
        <v>470.18419405199995</v>
      </c>
      <c r="Q206" s="274">
        <v>470.18419405199995</v>
      </c>
      <c r="R206" s="305">
        <v>470.18419405199995</v>
      </c>
      <c r="S206" s="305"/>
      <c r="T206" s="305"/>
      <c r="U206" s="305"/>
      <c r="V206" s="273"/>
      <c r="W206" s="273"/>
      <c r="X206" s="273"/>
      <c r="Y206" s="273"/>
    </row>
    <row r="207" spans="1:25" ht="12.75">
      <c r="A207" s="304">
        <v>631</v>
      </c>
      <c r="B207" s="262" t="s">
        <v>341</v>
      </c>
      <c r="C207" s="260">
        <v>2</v>
      </c>
      <c r="D207" s="274">
        <v>6960.40352</v>
      </c>
      <c r="E207" s="274">
        <v>7446.9835797353535</v>
      </c>
      <c r="F207" s="274">
        <v>7501.932335362789</v>
      </c>
      <c r="G207" s="274">
        <v>4020.2237614011915</v>
      </c>
      <c r="H207" s="274">
        <v>3971.1412997972825</v>
      </c>
      <c r="I207" s="274">
        <v>311.67018</v>
      </c>
      <c r="J207" s="274">
        <v>315.407063</v>
      </c>
      <c r="K207" s="274">
        <v>341.2911179999999</v>
      </c>
      <c r="L207" s="274">
        <v>263.423727</v>
      </c>
      <c r="M207" s="274">
        <v>266.737233</v>
      </c>
      <c r="N207" s="274">
        <v>852.66009</v>
      </c>
      <c r="O207" s="274">
        <v>856.494181344</v>
      </c>
      <c r="P207" s="274">
        <v>856.494181344</v>
      </c>
      <c r="Q207" s="274">
        <v>856.494181344</v>
      </c>
      <c r="R207" s="305">
        <v>856.494181344</v>
      </c>
      <c r="S207" s="305"/>
      <c r="T207" s="305"/>
      <c r="U207" s="305"/>
      <c r="V207" s="273"/>
      <c r="W207" s="273"/>
      <c r="X207" s="273"/>
      <c r="Y207" s="273"/>
    </row>
    <row r="208" spans="1:25" ht="12.75">
      <c r="A208" s="304">
        <v>635</v>
      </c>
      <c r="B208" s="262" t="s">
        <v>342</v>
      </c>
      <c r="C208" s="260">
        <v>6</v>
      </c>
      <c r="D208" s="274">
        <v>19571.02287</v>
      </c>
      <c r="E208" s="274">
        <v>19576.921735135402</v>
      </c>
      <c r="F208" s="274">
        <v>20244.327145376483</v>
      </c>
      <c r="G208" s="274">
        <v>10741.424005652905</v>
      </c>
      <c r="H208" s="274">
        <v>10494.77077262629</v>
      </c>
      <c r="I208" s="274">
        <v>1341.2381699999999</v>
      </c>
      <c r="J208" s="274">
        <v>1224.4993149999998</v>
      </c>
      <c r="K208" s="274">
        <v>1327.006886</v>
      </c>
      <c r="L208" s="274">
        <v>1024.2431789999998</v>
      </c>
      <c r="M208" s="274">
        <v>1037.1267409999998</v>
      </c>
      <c r="N208" s="274">
        <v>2168.17696</v>
      </c>
      <c r="O208" s="274">
        <v>2159.665410756</v>
      </c>
      <c r="P208" s="274">
        <v>2159.665410756</v>
      </c>
      <c r="Q208" s="274">
        <v>2159.665410756</v>
      </c>
      <c r="R208" s="305">
        <v>2159.665410756</v>
      </c>
      <c r="S208" s="305"/>
      <c r="T208" s="305"/>
      <c r="U208" s="305"/>
      <c r="V208" s="273"/>
      <c r="W208" s="273"/>
      <c r="X208" s="273"/>
      <c r="Y208" s="273"/>
    </row>
    <row r="209" spans="1:25" ht="12.75">
      <c r="A209" s="304">
        <v>636</v>
      </c>
      <c r="B209" s="262" t="s">
        <v>343</v>
      </c>
      <c r="C209" s="260">
        <v>2</v>
      </c>
      <c r="D209" s="274">
        <v>24228.143399999997</v>
      </c>
      <c r="E209" s="274">
        <v>24540.081901045083</v>
      </c>
      <c r="F209" s="274">
        <v>25608.613302356505</v>
      </c>
      <c r="G209" s="274">
        <v>13903.08329551335</v>
      </c>
      <c r="H209" s="274">
        <v>13563.820577929007</v>
      </c>
      <c r="I209" s="274">
        <v>1763.93584</v>
      </c>
      <c r="J209" s="274">
        <v>1674.05461</v>
      </c>
      <c r="K209" s="274">
        <v>1814.309362</v>
      </c>
      <c r="L209" s="274">
        <v>1400.364993</v>
      </c>
      <c r="M209" s="274">
        <v>1417.979647</v>
      </c>
      <c r="N209" s="274">
        <v>1708.60564</v>
      </c>
      <c r="O209" s="274">
        <v>1893.9545943360001</v>
      </c>
      <c r="P209" s="274">
        <v>1893.9545943360001</v>
      </c>
      <c r="Q209" s="274">
        <v>1893.9545943360001</v>
      </c>
      <c r="R209" s="305">
        <v>1893.9545943360001</v>
      </c>
      <c r="S209" s="305"/>
      <c r="T209" s="305"/>
      <c r="U209" s="305"/>
      <c r="V209" s="273"/>
      <c r="W209" s="273"/>
      <c r="X209" s="273"/>
      <c r="Y209" s="273"/>
    </row>
    <row r="210" spans="1:25" ht="12.75">
      <c r="A210" s="304">
        <v>678</v>
      </c>
      <c r="B210" s="262" t="s">
        <v>344</v>
      </c>
      <c r="C210" s="260">
        <v>17</v>
      </c>
      <c r="D210" s="274">
        <v>81213.38968000001</v>
      </c>
      <c r="E210" s="274">
        <v>83758.75919870396</v>
      </c>
      <c r="F210" s="274">
        <v>86040.73745139764</v>
      </c>
      <c r="G210" s="274">
        <v>44393.69466231589</v>
      </c>
      <c r="H210" s="274">
        <v>43524.25333003948</v>
      </c>
      <c r="I210" s="274">
        <v>3472.8353700000002</v>
      </c>
      <c r="J210" s="274">
        <v>3438.546251</v>
      </c>
      <c r="K210" s="274">
        <v>3666.0890939999995</v>
      </c>
      <c r="L210" s="274">
        <v>2829.6512909999997</v>
      </c>
      <c r="M210" s="274">
        <v>2865.2443889999995</v>
      </c>
      <c r="N210" s="274">
        <v>6209.87655</v>
      </c>
      <c r="O210" s="274">
        <v>6967.109074584</v>
      </c>
      <c r="P210" s="274">
        <v>6967.109074584</v>
      </c>
      <c r="Q210" s="274">
        <v>6967.109074584</v>
      </c>
      <c r="R210" s="305">
        <v>6967.109074584</v>
      </c>
      <c r="S210" s="305"/>
      <c r="T210" s="305"/>
      <c r="U210" s="305"/>
      <c r="V210" s="273"/>
      <c r="W210" s="273"/>
      <c r="X210" s="273"/>
      <c r="Y210" s="273"/>
    </row>
    <row r="211" spans="1:25" ht="12.75">
      <c r="A211" s="304">
        <v>710</v>
      </c>
      <c r="B211" s="262" t="s">
        <v>134</v>
      </c>
      <c r="C211" s="260">
        <v>1</v>
      </c>
      <c r="D211" s="274">
        <v>100338.49681</v>
      </c>
      <c r="E211" s="274">
        <v>99855.40773331154</v>
      </c>
      <c r="F211" s="274">
        <v>104350.67595013561</v>
      </c>
      <c r="G211" s="274">
        <v>57555.94088696674</v>
      </c>
      <c r="H211" s="274">
        <v>56386.1113885636</v>
      </c>
      <c r="I211" s="274">
        <v>4321.47112</v>
      </c>
      <c r="J211" s="274">
        <v>4586.875751</v>
      </c>
      <c r="K211" s="274">
        <v>4970.042108</v>
      </c>
      <c r="L211" s="274">
        <v>3836.100462</v>
      </c>
      <c r="M211" s="274">
        <v>3884.3532980000004</v>
      </c>
      <c r="N211" s="274">
        <v>11145.19332</v>
      </c>
      <c r="O211" s="274">
        <v>11374.0408261296</v>
      </c>
      <c r="P211" s="274">
        <v>11374.0408261296</v>
      </c>
      <c r="Q211" s="274">
        <v>11374.0408261296</v>
      </c>
      <c r="R211" s="305">
        <v>11374.0408261296</v>
      </c>
      <c r="S211" s="305"/>
      <c r="T211" s="305"/>
      <c r="U211" s="305"/>
      <c r="V211" s="273"/>
      <c r="W211" s="273"/>
      <c r="X211" s="273"/>
      <c r="Y211" s="273"/>
    </row>
    <row r="212" spans="1:25" ht="12.75">
      <c r="A212" s="304">
        <v>680</v>
      </c>
      <c r="B212" s="262" t="s">
        <v>345</v>
      </c>
      <c r="C212" s="260">
        <v>2</v>
      </c>
      <c r="D212" s="274">
        <v>85961.5128</v>
      </c>
      <c r="E212" s="274">
        <v>88284.36632432161</v>
      </c>
      <c r="F212" s="274">
        <v>91198.92618081019</v>
      </c>
      <c r="G212" s="274">
        <v>44472.36630767721</v>
      </c>
      <c r="H212" s="274">
        <v>42900.9386453608</v>
      </c>
      <c r="I212" s="274">
        <v>5902.33876</v>
      </c>
      <c r="J212" s="274">
        <v>5790.111724</v>
      </c>
      <c r="K212" s="274">
        <v>6265.835462</v>
      </c>
      <c r="L212" s="274">
        <v>4836.2516430000005</v>
      </c>
      <c r="M212" s="274">
        <v>4897.084997000001</v>
      </c>
      <c r="N212" s="274">
        <v>7710.19199</v>
      </c>
      <c r="O212" s="274">
        <v>7631.591460739201</v>
      </c>
      <c r="P212" s="274">
        <v>7631.591460739201</v>
      </c>
      <c r="Q212" s="274">
        <v>7631.591460739201</v>
      </c>
      <c r="R212" s="305">
        <v>7631.591460739201</v>
      </c>
      <c r="S212" s="305"/>
      <c r="T212" s="305"/>
      <c r="U212" s="305"/>
      <c r="V212" s="273"/>
      <c r="W212" s="273"/>
      <c r="X212" s="273"/>
      <c r="Y212" s="273"/>
    </row>
    <row r="213" spans="1:25" ht="12.75">
      <c r="A213" s="304">
        <v>681</v>
      </c>
      <c r="B213" s="262" t="s">
        <v>346</v>
      </c>
      <c r="C213" s="260">
        <v>10</v>
      </c>
      <c r="D213" s="274">
        <v>9065.90784</v>
      </c>
      <c r="E213" s="274">
        <v>8960.14985793514</v>
      </c>
      <c r="F213" s="274">
        <v>9411.227117891378</v>
      </c>
      <c r="G213" s="274">
        <v>4918.128936390786</v>
      </c>
      <c r="H213" s="274">
        <v>4842.458078273584</v>
      </c>
      <c r="I213" s="274">
        <v>1119.02017</v>
      </c>
      <c r="J213" s="274">
        <v>1074.594233</v>
      </c>
      <c r="K213" s="274">
        <v>1164.871496</v>
      </c>
      <c r="L213" s="274">
        <v>899.0998440000001</v>
      </c>
      <c r="M213" s="274">
        <v>910.4092759999999</v>
      </c>
      <c r="N213" s="274">
        <v>1055.0756399999998</v>
      </c>
      <c r="O213" s="274">
        <v>1071.6955447824</v>
      </c>
      <c r="P213" s="274">
        <v>1071.6955447824</v>
      </c>
      <c r="Q213" s="274">
        <v>1071.6955447824</v>
      </c>
      <c r="R213" s="305">
        <v>1071.6955447824</v>
      </c>
      <c r="S213" s="305"/>
      <c r="T213" s="305"/>
      <c r="U213" s="305"/>
      <c r="V213" s="273"/>
      <c r="W213" s="273"/>
      <c r="X213" s="273"/>
      <c r="Y213" s="273"/>
    </row>
    <row r="214" spans="1:25" ht="12.75">
      <c r="A214" s="304">
        <v>683</v>
      </c>
      <c r="B214" s="262" t="s">
        <v>347</v>
      </c>
      <c r="C214" s="260">
        <v>19</v>
      </c>
      <c r="D214" s="274">
        <v>8659.634199999999</v>
      </c>
      <c r="E214" s="274">
        <v>8570.895215162633</v>
      </c>
      <c r="F214" s="274">
        <v>8867.680898112103</v>
      </c>
      <c r="G214" s="274">
        <v>4432.072606610492</v>
      </c>
      <c r="H214" s="274">
        <v>4318.414793949025</v>
      </c>
      <c r="I214" s="274">
        <v>623.29192</v>
      </c>
      <c r="J214" s="274">
        <v>607.679439</v>
      </c>
      <c r="K214" s="274">
        <v>657.9431940000001</v>
      </c>
      <c r="L214" s="274">
        <v>507.82994099999996</v>
      </c>
      <c r="M214" s="274">
        <v>514.217739</v>
      </c>
      <c r="N214" s="274">
        <v>790.32335</v>
      </c>
      <c r="O214" s="274">
        <v>871.0300940400001</v>
      </c>
      <c r="P214" s="274">
        <v>871.0300940400001</v>
      </c>
      <c r="Q214" s="274">
        <v>871.0300940400001</v>
      </c>
      <c r="R214" s="305">
        <v>871.0300940400001</v>
      </c>
      <c r="S214" s="305"/>
      <c r="T214" s="305"/>
      <c r="U214" s="305"/>
      <c r="V214" s="273"/>
      <c r="W214" s="273"/>
      <c r="X214" s="273"/>
      <c r="Y214" s="273"/>
    </row>
    <row r="215" spans="1:25" ht="12.75">
      <c r="A215" s="304">
        <v>684</v>
      </c>
      <c r="B215" s="262" t="s">
        <v>348</v>
      </c>
      <c r="C215" s="260">
        <v>4</v>
      </c>
      <c r="D215" s="274">
        <v>150651.65117</v>
      </c>
      <c r="E215" s="274">
        <v>150975.62743610668</v>
      </c>
      <c r="F215" s="274">
        <v>156509.15409301614</v>
      </c>
      <c r="G215" s="274">
        <v>77001.9396566388</v>
      </c>
      <c r="H215" s="274">
        <v>74889.02794244053</v>
      </c>
      <c r="I215" s="274">
        <v>23054.37836</v>
      </c>
      <c r="J215" s="274">
        <v>16865.163504999997</v>
      </c>
      <c r="K215" s="274">
        <v>18269.958308</v>
      </c>
      <c r="L215" s="274">
        <v>14101.569762000001</v>
      </c>
      <c r="M215" s="274">
        <v>14278.947998000001</v>
      </c>
      <c r="N215" s="274">
        <v>8057.29847</v>
      </c>
      <c r="O215" s="274">
        <v>8124.306375312</v>
      </c>
      <c r="P215" s="274">
        <v>8124.306375312</v>
      </c>
      <c r="Q215" s="274">
        <v>8124.306375312</v>
      </c>
      <c r="R215" s="305">
        <v>8124.306375312</v>
      </c>
      <c r="S215" s="305"/>
      <c r="T215" s="305"/>
      <c r="U215" s="305"/>
      <c r="V215" s="273"/>
      <c r="W215" s="273"/>
      <c r="X215" s="273"/>
      <c r="Y215" s="273"/>
    </row>
    <row r="216" spans="1:25" ht="12.75">
      <c r="A216" s="304">
        <v>686</v>
      </c>
      <c r="B216" s="262" t="s">
        <v>349</v>
      </c>
      <c r="C216" s="260">
        <v>11</v>
      </c>
      <c r="D216" s="274">
        <v>8806.304470000001</v>
      </c>
      <c r="E216" s="274">
        <v>8727.550131343596</v>
      </c>
      <c r="F216" s="274">
        <v>8898.413445721952</v>
      </c>
      <c r="G216" s="274">
        <v>4972.038638719592</v>
      </c>
      <c r="H216" s="274">
        <v>4893.023936573169</v>
      </c>
      <c r="I216" s="274">
        <v>773.19825</v>
      </c>
      <c r="J216" s="274">
        <v>740.086861</v>
      </c>
      <c r="K216" s="274">
        <v>801.5946160000001</v>
      </c>
      <c r="L216" s="274">
        <v>618.706524</v>
      </c>
      <c r="M216" s="274">
        <v>626.488996</v>
      </c>
      <c r="N216" s="274">
        <v>1104.65303</v>
      </c>
      <c r="O216" s="274">
        <v>1129.160676792</v>
      </c>
      <c r="P216" s="274">
        <v>1129.160676792</v>
      </c>
      <c r="Q216" s="274">
        <v>1129.160676792</v>
      </c>
      <c r="R216" s="305">
        <v>1129.160676792</v>
      </c>
      <c r="S216" s="305"/>
      <c r="T216" s="305"/>
      <c r="U216" s="305"/>
      <c r="V216" s="273"/>
      <c r="W216" s="273"/>
      <c r="X216" s="273"/>
      <c r="Y216" s="273"/>
    </row>
    <row r="217" spans="1:25" ht="12.75">
      <c r="A217" s="304">
        <v>687</v>
      </c>
      <c r="B217" s="262" t="s">
        <v>350</v>
      </c>
      <c r="C217" s="260">
        <v>11</v>
      </c>
      <c r="D217" s="274">
        <v>3699.74426</v>
      </c>
      <c r="E217" s="274">
        <v>3911.625131521787</v>
      </c>
      <c r="F217" s="274">
        <v>4056.9640101979185</v>
      </c>
      <c r="G217" s="274">
        <v>2222.877555383697</v>
      </c>
      <c r="H217" s="274">
        <v>2210.510328647451</v>
      </c>
      <c r="I217" s="274">
        <v>1401.08539</v>
      </c>
      <c r="J217" s="274">
        <v>1393.8192719999997</v>
      </c>
      <c r="K217" s="274">
        <v>1511.1715039999997</v>
      </c>
      <c r="L217" s="274">
        <v>1166.389656</v>
      </c>
      <c r="M217" s="274">
        <v>1181.0612239999998</v>
      </c>
      <c r="N217" s="274">
        <v>362.26303</v>
      </c>
      <c r="O217" s="274">
        <v>434.26732065360005</v>
      </c>
      <c r="P217" s="274">
        <v>434.26732065360005</v>
      </c>
      <c r="Q217" s="274">
        <v>434.26732065360005</v>
      </c>
      <c r="R217" s="305">
        <v>434.26732065360005</v>
      </c>
      <c r="S217" s="305"/>
      <c r="T217" s="305"/>
      <c r="U217" s="305"/>
      <c r="V217" s="273"/>
      <c r="W217" s="273"/>
      <c r="X217" s="273"/>
      <c r="Y217" s="273"/>
    </row>
    <row r="218" spans="1:25" ht="12.75">
      <c r="A218" s="304">
        <v>689</v>
      </c>
      <c r="B218" s="262" t="s">
        <v>351</v>
      </c>
      <c r="C218" s="260">
        <v>9</v>
      </c>
      <c r="D218" s="274">
        <v>10558.55454</v>
      </c>
      <c r="E218" s="274">
        <v>10183.797302834171</v>
      </c>
      <c r="F218" s="274">
        <v>10504.58775116012</v>
      </c>
      <c r="G218" s="274">
        <v>5174.494502354331</v>
      </c>
      <c r="H218" s="274">
        <v>5062.867070982314</v>
      </c>
      <c r="I218" s="274">
        <v>1455.80729</v>
      </c>
      <c r="J218" s="274">
        <v>1407.4034809999998</v>
      </c>
      <c r="K218" s="274">
        <v>1529.3363779999997</v>
      </c>
      <c r="L218" s="274">
        <v>1180.410117</v>
      </c>
      <c r="M218" s="274">
        <v>1195.2580429999998</v>
      </c>
      <c r="N218" s="274">
        <v>760.59167</v>
      </c>
      <c r="O218" s="274">
        <v>748.8730061520001</v>
      </c>
      <c r="P218" s="274">
        <v>748.8730061520001</v>
      </c>
      <c r="Q218" s="274">
        <v>748.8730061520001</v>
      </c>
      <c r="R218" s="305">
        <v>748.8730061520001</v>
      </c>
      <c r="S218" s="305"/>
      <c r="T218" s="305"/>
      <c r="U218" s="305"/>
      <c r="V218" s="273"/>
      <c r="W218" s="273"/>
      <c r="X218" s="273"/>
      <c r="Y218" s="273"/>
    </row>
    <row r="219" spans="1:25" ht="12.75">
      <c r="A219" s="304">
        <v>691</v>
      </c>
      <c r="B219" s="262" t="s">
        <v>352</v>
      </c>
      <c r="C219" s="260">
        <v>17</v>
      </c>
      <c r="D219" s="274">
        <v>7136.28201</v>
      </c>
      <c r="E219" s="274">
        <v>7319.351726299913</v>
      </c>
      <c r="F219" s="274">
        <v>7714.136715506249</v>
      </c>
      <c r="G219" s="274">
        <v>4361.274308582499</v>
      </c>
      <c r="H219" s="274">
        <v>4305.855803961831</v>
      </c>
      <c r="I219" s="274">
        <v>415.07327000000004</v>
      </c>
      <c r="J219" s="274">
        <v>376.656976</v>
      </c>
      <c r="K219" s="274">
        <v>407.992064</v>
      </c>
      <c r="L219" s="274">
        <v>314.906496</v>
      </c>
      <c r="M219" s="274">
        <v>318.867584</v>
      </c>
      <c r="N219" s="274">
        <v>690.75119</v>
      </c>
      <c r="O219" s="274">
        <v>693.239005548</v>
      </c>
      <c r="P219" s="274">
        <v>693.239005548</v>
      </c>
      <c r="Q219" s="274">
        <v>693.239005548</v>
      </c>
      <c r="R219" s="305">
        <v>693.239005548</v>
      </c>
      <c r="S219" s="305"/>
      <c r="T219" s="305"/>
      <c r="U219" s="305"/>
      <c r="V219" s="273"/>
      <c r="W219" s="273"/>
      <c r="X219" s="273"/>
      <c r="Y219" s="273"/>
    </row>
    <row r="220" spans="1:25" ht="12.75">
      <c r="A220" s="304">
        <v>694</v>
      </c>
      <c r="B220" s="262" t="s">
        <v>353</v>
      </c>
      <c r="C220" s="260">
        <v>5</v>
      </c>
      <c r="D220" s="274">
        <v>103383.62432999999</v>
      </c>
      <c r="E220" s="274">
        <v>104273.50535297666</v>
      </c>
      <c r="F220" s="274">
        <v>109776.37480736818</v>
      </c>
      <c r="G220" s="274">
        <v>55736.4674874154</v>
      </c>
      <c r="H220" s="274">
        <v>54142.771647538124</v>
      </c>
      <c r="I220" s="274">
        <v>8703.23147</v>
      </c>
      <c r="J220" s="274">
        <v>8284.898307</v>
      </c>
      <c r="K220" s="274">
        <v>8983.830362000002</v>
      </c>
      <c r="L220" s="274">
        <v>6934.121493000001</v>
      </c>
      <c r="M220" s="274">
        <v>7021.3431470000005</v>
      </c>
      <c r="N220" s="274">
        <v>9621.50637</v>
      </c>
      <c r="O220" s="274">
        <v>9694.0331917368</v>
      </c>
      <c r="P220" s="274">
        <v>9694.0331917368</v>
      </c>
      <c r="Q220" s="274">
        <v>9694.0331917368</v>
      </c>
      <c r="R220" s="305">
        <v>9694.0331917368</v>
      </c>
      <c r="S220" s="305"/>
      <c r="T220" s="305"/>
      <c r="U220" s="305"/>
      <c r="V220" s="273"/>
      <c r="W220" s="273"/>
      <c r="X220" s="273"/>
      <c r="Y220" s="273"/>
    </row>
    <row r="221" spans="1:25" ht="12.75">
      <c r="A221" s="304">
        <v>697</v>
      </c>
      <c r="B221" s="262" t="s">
        <v>354</v>
      </c>
      <c r="C221" s="260">
        <v>18</v>
      </c>
      <c r="D221" s="274">
        <v>3762.76109</v>
      </c>
      <c r="E221" s="274">
        <v>3662.464115583787</v>
      </c>
      <c r="F221" s="274">
        <v>3805.211628778299</v>
      </c>
      <c r="G221" s="274">
        <v>2022.5818365906646</v>
      </c>
      <c r="H221" s="274">
        <v>2008.211519098257</v>
      </c>
      <c r="I221" s="274">
        <v>493.97198</v>
      </c>
      <c r="J221" s="274">
        <v>456.94152099999997</v>
      </c>
      <c r="K221" s="274">
        <v>494.93683599999997</v>
      </c>
      <c r="L221" s="274">
        <v>382.01435399999997</v>
      </c>
      <c r="M221" s="274">
        <v>386.819566</v>
      </c>
      <c r="N221" s="274">
        <v>825.65369</v>
      </c>
      <c r="O221" s="274">
        <v>809.055160536</v>
      </c>
      <c r="P221" s="274">
        <v>809.055160536</v>
      </c>
      <c r="Q221" s="274">
        <v>809.055160536</v>
      </c>
      <c r="R221" s="305">
        <v>809.055160536</v>
      </c>
      <c r="S221" s="305"/>
      <c r="T221" s="305"/>
      <c r="U221" s="305"/>
      <c r="V221" s="273"/>
      <c r="W221" s="273"/>
      <c r="X221" s="273"/>
      <c r="Y221" s="273"/>
    </row>
    <row r="222" spans="1:25" ht="12.75">
      <c r="A222" s="304">
        <v>698</v>
      </c>
      <c r="B222" s="304" t="s">
        <v>355</v>
      </c>
      <c r="C222" s="260">
        <v>19</v>
      </c>
      <c r="D222" s="274">
        <v>207250.91654</v>
      </c>
      <c r="E222" s="274">
        <v>211682.62095236868</v>
      </c>
      <c r="F222" s="274">
        <v>220693.64258168527</v>
      </c>
      <c r="G222" s="274">
        <v>116898.88355259784</v>
      </c>
      <c r="H222" s="274">
        <v>113884.38805833762</v>
      </c>
      <c r="I222" s="274">
        <v>11869.921470000001</v>
      </c>
      <c r="J222" s="274">
        <v>10382.330597000002</v>
      </c>
      <c r="K222" s="274">
        <v>11251.804666000002</v>
      </c>
      <c r="L222" s="274">
        <v>8684.645349000002</v>
      </c>
      <c r="M222" s="274">
        <v>8793.886171000002</v>
      </c>
      <c r="N222" s="274">
        <v>30474.13655</v>
      </c>
      <c r="O222" s="274">
        <v>30525.717783803997</v>
      </c>
      <c r="P222" s="274">
        <v>30525.717783803997</v>
      </c>
      <c r="Q222" s="274">
        <v>30525.717783803997</v>
      </c>
      <c r="R222" s="305">
        <v>30525.717783803997</v>
      </c>
      <c r="S222" s="305"/>
      <c r="T222" s="305"/>
      <c r="U222" s="305"/>
      <c r="V222" s="273"/>
      <c r="W222" s="273"/>
      <c r="X222" s="273"/>
      <c r="Y222" s="273"/>
    </row>
    <row r="223" spans="1:25" ht="12.75">
      <c r="A223" s="304">
        <v>700</v>
      </c>
      <c r="B223" s="304" t="s">
        <v>356</v>
      </c>
      <c r="C223" s="260">
        <v>9</v>
      </c>
      <c r="D223" s="274">
        <v>17009.44504</v>
      </c>
      <c r="E223" s="274">
        <v>17213.1603160574</v>
      </c>
      <c r="F223" s="274">
        <v>17561.322261161564</v>
      </c>
      <c r="G223" s="274">
        <v>8775.35147848347</v>
      </c>
      <c r="H223" s="274">
        <v>8614.262498961718</v>
      </c>
      <c r="I223" s="274">
        <v>2056.45618</v>
      </c>
      <c r="J223" s="274">
        <v>2037.554651</v>
      </c>
      <c r="K223" s="274">
        <v>2210.526054</v>
      </c>
      <c r="L223" s="274">
        <v>1706.1827310000003</v>
      </c>
      <c r="M223" s="274">
        <v>1727.644149</v>
      </c>
      <c r="N223" s="274">
        <v>1793.1323200000002</v>
      </c>
      <c r="O223" s="274">
        <v>1787.5845813432002</v>
      </c>
      <c r="P223" s="274">
        <v>1787.5845813432002</v>
      </c>
      <c r="Q223" s="274">
        <v>1787.5845813432002</v>
      </c>
      <c r="R223" s="305">
        <v>1787.5845813432002</v>
      </c>
      <c r="S223" s="305"/>
      <c r="T223" s="305"/>
      <c r="U223" s="305"/>
      <c r="V223" s="273"/>
      <c r="W223" s="273"/>
      <c r="X223" s="273"/>
      <c r="Y223" s="273"/>
    </row>
    <row r="224" spans="1:25" ht="12.75">
      <c r="A224" s="304">
        <v>702</v>
      </c>
      <c r="B224" s="306" t="s">
        <v>357</v>
      </c>
      <c r="C224" s="260">
        <v>6</v>
      </c>
      <c r="D224" s="274">
        <v>13311.66977</v>
      </c>
      <c r="E224" s="274">
        <v>12956.904147374515</v>
      </c>
      <c r="F224" s="274">
        <v>13488.54005133754</v>
      </c>
      <c r="G224" s="274">
        <v>7290.894912650324</v>
      </c>
      <c r="H224" s="274">
        <v>7236.4043012182</v>
      </c>
      <c r="I224" s="274">
        <v>1657.5929099999998</v>
      </c>
      <c r="J224" s="274">
        <v>1579.573605</v>
      </c>
      <c r="K224" s="274">
        <v>1712.7647519999998</v>
      </c>
      <c r="L224" s="274">
        <v>1321.988328</v>
      </c>
      <c r="M224" s="274">
        <v>1338.617112</v>
      </c>
      <c r="N224" s="274">
        <v>1604.40184</v>
      </c>
      <c r="O224" s="274">
        <v>1597.590460344</v>
      </c>
      <c r="P224" s="274">
        <v>1597.590460344</v>
      </c>
      <c r="Q224" s="274">
        <v>1597.590460344</v>
      </c>
      <c r="R224" s="305">
        <v>1597.590460344</v>
      </c>
      <c r="S224" s="305"/>
      <c r="T224" s="305"/>
      <c r="U224" s="305"/>
      <c r="V224" s="273"/>
      <c r="W224" s="273"/>
      <c r="X224" s="273"/>
      <c r="Y224" s="273"/>
    </row>
    <row r="225" spans="1:25" ht="12.75">
      <c r="A225" s="304">
        <v>704</v>
      </c>
      <c r="B225" s="262" t="s">
        <v>358</v>
      </c>
      <c r="C225" s="260">
        <v>2</v>
      </c>
      <c r="D225" s="274">
        <v>21838.49187</v>
      </c>
      <c r="E225" s="274">
        <v>22963.001452961416</v>
      </c>
      <c r="F225" s="274">
        <v>23757.05408589389</v>
      </c>
      <c r="G225" s="274">
        <v>11867.92746941658</v>
      </c>
      <c r="H225" s="274">
        <v>11328.282558130732</v>
      </c>
      <c r="I225" s="274">
        <v>1298.67108</v>
      </c>
      <c r="J225" s="274">
        <v>1280.1227439999998</v>
      </c>
      <c r="K225" s="274">
        <v>1387.654316</v>
      </c>
      <c r="L225" s="274">
        <v>1071.053574</v>
      </c>
      <c r="M225" s="274">
        <v>1084.525946</v>
      </c>
      <c r="N225" s="274">
        <v>1171.77444</v>
      </c>
      <c r="O225" s="274">
        <v>1174.3050284928</v>
      </c>
      <c r="P225" s="274">
        <v>1174.3050284928</v>
      </c>
      <c r="Q225" s="274">
        <v>1174.3050284928</v>
      </c>
      <c r="R225" s="305">
        <v>1174.3050284928</v>
      </c>
      <c r="S225" s="305"/>
      <c r="T225" s="305"/>
      <c r="U225" s="305"/>
      <c r="V225" s="273"/>
      <c r="W225" s="273"/>
      <c r="X225" s="273"/>
      <c r="Y225" s="273"/>
    </row>
    <row r="226" spans="1:25" ht="12.75">
      <c r="A226" s="304">
        <v>707</v>
      </c>
      <c r="B226" s="262" t="s">
        <v>359</v>
      </c>
      <c r="C226" s="260">
        <v>12</v>
      </c>
      <c r="D226" s="274">
        <v>4877.26643</v>
      </c>
      <c r="E226" s="274">
        <v>4930.894235062774</v>
      </c>
      <c r="F226" s="274">
        <v>5057.935081268905</v>
      </c>
      <c r="G226" s="274">
        <v>2819.1413677215</v>
      </c>
      <c r="H226" s="274">
        <v>2768.2700310473288</v>
      </c>
      <c r="I226" s="274">
        <v>542.11968</v>
      </c>
      <c r="J226" s="274">
        <v>490.802543</v>
      </c>
      <c r="K226" s="274">
        <v>532.00221</v>
      </c>
      <c r="L226" s="274">
        <v>410.623065</v>
      </c>
      <c r="M226" s="274">
        <v>415.78813500000007</v>
      </c>
      <c r="N226" s="274">
        <v>643.31669</v>
      </c>
      <c r="O226" s="274">
        <v>639.401176896</v>
      </c>
      <c r="P226" s="274">
        <v>639.401176896</v>
      </c>
      <c r="Q226" s="274">
        <v>639.401176896</v>
      </c>
      <c r="R226" s="305">
        <v>639.401176896</v>
      </c>
      <c r="S226" s="305"/>
      <c r="T226" s="305"/>
      <c r="U226" s="305"/>
      <c r="V226" s="273"/>
      <c r="W226" s="273"/>
      <c r="X226" s="273"/>
      <c r="Y226" s="273"/>
    </row>
    <row r="227" spans="1:25" ht="12.75">
      <c r="A227" s="304">
        <v>729</v>
      </c>
      <c r="B227" s="262" t="s">
        <v>360</v>
      </c>
      <c r="C227" s="260">
        <v>13</v>
      </c>
      <c r="D227" s="274">
        <v>25932.81075</v>
      </c>
      <c r="E227" s="274">
        <v>25679.606894531942</v>
      </c>
      <c r="F227" s="274">
        <v>26797.300055792093</v>
      </c>
      <c r="G227" s="274">
        <v>14272.458948314781</v>
      </c>
      <c r="H227" s="274">
        <v>14143.20889966063</v>
      </c>
      <c r="I227" s="274">
        <v>2207.99584</v>
      </c>
      <c r="J227" s="274">
        <v>2239.160776</v>
      </c>
      <c r="K227" s="274">
        <v>2424.237252</v>
      </c>
      <c r="L227" s="274">
        <v>1871.134578</v>
      </c>
      <c r="M227" s="274">
        <v>1894.6708620000002</v>
      </c>
      <c r="N227" s="274">
        <v>2328.5072</v>
      </c>
      <c r="O227" s="274">
        <v>2317.254132516</v>
      </c>
      <c r="P227" s="274">
        <v>2317.254132516</v>
      </c>
      <c r="Q227" s="274">
        <v>2317.254132516</v>
      </c>
      <c r="R227" s="305">
        <v>2317.254132516</v>
      </c>
      <c r="S227" s="305"/>
      <c r="T227" s="305"/>
      <c r="U227" s="305"/>
      <c r="V227" s="273"/>
      <c r="W227" s="273"/>
      <c r="X227" s="273"/>
      <c r="Y227" s="273"/>
    </row>
    <row r="228" spans="1:25" ht="12.75">
      <c r="A228" s="304">
        <v>732</v>
      </c>
      <c r="B228" s="262" t="s">
        <v>361</v>
      </c>
      <c r="C228" s="260">
        <v>19</v>
      </c>
      <c r="D228" s="274">
        <v>9002.506660000001</v>
      </c>
      <c r="E228" s="274">
        <v>8920.040023855941</v>
      </c>
      <c r="F228" s="274">
        <v>9260.966071551864</v>
      </c>
      <c r="G228" s="274">
        <v>4712.60022273698</v>
      </c>
      <c r="H228" s="274">
        <v>4637.492762529578</v>
      </c>
      <c r="I228" s="274">
        <v>1301.02112</v>
      </c>
      <c r="J228" s="274">
        <v>1097.3736900000001</v>
      </c>
      <c r="K228" s="274">
        <v>1188.391752</v>
      </c>
      <c r="L228" s="274">
        <v>917.253828</v>
      </c>
      <c r="M228" s="274">
        <v>928.7916119999999</v>
      </c>
      <c r="N228" s="274">
        <v>1288.98007</v>
      </c>
      <c r="O228" s="274">
        <v>1318.274790552</v>
      </c>
      <c r="P228" s="274">
        <v>1318.274790552</v>
      </c>
      <c r="Q228" s="274">
        <v>1318.274790552</v>
      </c>
      <c r="R228" s="305">
        <v>1318.274790552</v>
      </c>
      <c r="S228" s="305"/>
      <c r="T228" s="305"/>
      <c r="U228" s="305"/>
      <c r="V228" s="273"/>
      <c r="W228" s="273"/>
      <c r="X228" s="273"/>
      <c r="Y228" s="273"/>
    </row>
    <row r="229" spans="1:25" ht="12.75">
      <c r="A229" s="304">
        <v>734</v>
      </c>
      <c r="B229" s="262" t="s">
        <v>362</v>
      </c>
      <c r="C229" s="260">
        <v>2</v>
      </c>
      <c r="D229" s="274">
        <v>169253.0355</v>
      </c>
      <c r="E229" s="274">
        <v>162562.28420369665</v>
      </c>
      <c r="F229" s="274">
        <v>173513.42690660467</v>
      </c>
      <c r="G229" s="274">
        <v>89098.63543220716</v>
      </c>
      <c r="H229" s="274">
        <v>87237.59030450613</v>
      </c>
      <c r="I229" s="274">
        <v>12320.98887</v>
      </c>
      <c r="J229" s="274">
        <v>11917.404777000002</v>
      </c>
      <c r="K229" s="274">
        <v>12756.41816</v>
      </c>
      <c r="L229" s="274">
        <v>9845.97324</v>
      </c>
      <c r="M229" s="274">
        <v>9969.82196</v>
      </c>
      <c r="N229" s="274">
        <v>14550.00713</v>
      </c>
      <c r="O229" s="274">
        <v>14394.906750501603</v>
      </c>
      <c r="P229" s="274">
        <v>14394.906750501603</v>
      </c>
      <c r="Q229" s="274">
        <v>14394.906750501603</v>
      </c>
      <c r="R229" s="305">
        <v>14394.906750501603</v>
      </c>
      <c r="S229" s="305"/>
      <c r="T229" s="305"/>
      <c r="U229" s="305"/>
      <c r="V229" s="273"/>
      <c r="W229" s="273"/>
      <c r="X229" s="273"/>
      <c r="Y229" s="273"/>
    </row>
    <row r="230" spans="1:25" ht="12.75">
      <c r="A230" s="304">
        <v>790</v>
      </c>
      <c r="B230" s="262" t="s">
        <v>135</v>
      </c>
      <c r="C230" s="260">
        <v>6</v>
      </c>
      <c r="D230" s="274">
        <v>72032.60491</v>
      </c>
      <c r="E230" s="274">
        <v>72800.78755640086</v>
      </c>
      <c r="F230" s="274">
        <v>75487.5933589246</v>
      </c>
      <c r="G230" s="274">
        <v>39240.9084977599</v>
      </c>
      <c r="H230" s="274">
        <v>38356.632644803074</v>
      </c>
      <c r="I230" s="274">
        <v>4787.91387</v>
      </c>
      <c r="J230" s="274">
        <v>4757.160634000001</v>
      </c>
      <c r="K230" s="274">
        <v>5156.836934</v>
      </c>
      <c r="L230" s="274">
        <v>3980.277051</v>
      </c>
      <c r="M230" s="274">
        <v>4030.3434289999996</v>
      </c>
      <c r="N230" s="274">
        <v>5718.30056</v>
      </c>
      <c r="O230" s="274">
        <v>5708.255883758401</v>
      </c>
      <c r="P230" s="274">
        <v>5708.255883758401</v>
      </c>
      <c r="Q230" s="274">
        <v>5708.255883758401</v>
      </c>
      <c r="R230" s="305">
        <v>5708.255883758401</v>
      </c>
      <c r="S230" s="305"/>
      <c r="T230" s="305"/>
      <c r="U230" s="305"/>
      <c r="V230" s="273"/>
      <c r="W230" s="273"/>
      <c r="X230" s="273"/>
      <c r="Y230" s="273"/>
    </row>
    <row r="231" spans="1:25" ht="12.75">
      <c r="A231" s="304">
        <v>738</v>
      </c>
      <c r="B231" s="310" t="s">
        <v>363</v>
      </c>
      <c r="C231" s="260">
        <v>2</v>
      </c>
      <c r="D231" s="274">
        <v>10059.559650000001</v>
      </c>
      <c r="E231" s="274">
        <v>10175.978711253492</v>
      </c>
      <c r="F231" s="274">
        <v>10659.310884349119</v>
      </c>
      <c r="G231" s="274">
        <v>5799.798899935771</v>
      </c>
      <c r="H231" s="274">
        <v>5639.874852635707</v>
      </c>
      <c r="I231" s="274">
        <v>450.73788</v>
      </c>
      <c r="J231" s="274">
        <v>481.15449</v>
      </c>
      <c r="K231" s="274">
        <v>522.2868380000001</v>
      </c>
      <c r="L231" s="274">
        <v>403.124307</v>
      </c>
      <c r="M231" s="274">
        <v>408.195053</v>
      </c>
      <c r="N231" s="274">
        <v>1089.07985</v>
      </c>
      <c r="O231" s="274">
        <v>1147.3256287200002</v>
      </c>
      <c r="P231" s="274">
        <v>1147.3256287200002</v>
      </c>
      <c r="Q231" s="274">
        <v>1147.3256287200002</v>
      </c>
      <c r="R231" s="305">
        <v>1147.3256287200002</v>
      </c>
      <c r="S231" s="305"/>
      <c r="T231" s="305"/>
      <c r="U231" s="305"/>
      <c r="V231" s="273"/>
      <c r="W231" s="273"/>
      <c r="X231" s="273"/>
      <c r="Y231" s="273"/>
    </row>
    <row r="232" spans="1:25" ht="12.75">
      <c r="A232" s="304">
        <v>739</v>
      </c>
      <c r="B232" s="262" t="s">
        <v>364</v>
      </c>
      <c r="C232" s="260">
        <v>9</v>
      </c>
      <c r="D232" s="274">
        <v>9601.550140000001</v>
      </c>
      <c r="E232" s="274">
        <v>9821.029783762262</v>
      </c>
      <c r="F232" s="274">
        <v>10214.173750965378</v>
      </c>
      <c r="G232" s="274">
        <v>5447.595015173452</v>
      </c>
      <c r="H232" s="274">
        <v>5361.73044326498</v>
      </c>
      <c r="I232" s="274">
        <v>1364.37384</v>
      </c>
      <c r="J232" s="274">
        <v>1187.8678360000001</v>
      </c>
      <c r="K232" s="274">
        <v>1287.916532</v>
      </c>
      <c r="L232" s="274">
        <v>994.0714979999999</v>
      </c>
      <c r="M232" s="274">
        <v>1006.575542</v>
      </c>
      <c r="N232" s="274">
        <v>1348.47629</v>
      </c>
      <c r="O232" s="274">
        <v>1332.754603932</v>
      </c>
      <c r="P232" s="274">
        <v>1332.754603932</v>
      </c>
      <c r="Q232" s="274">
        <v>1332.754603932</v>
      </c>
      <c r="R232" s="305">
        <v>1332.754603932</v>
      </c>
      <c r="S232" s="305"/>
      <c r="T232" s="305"/>
      <c r="U232" s="305"/>
      <c r="V232" s="273"/>
      <c r="W232" s="273"/>
      <c r="X232" s="273"/>
      <c r="Y232" s="273"/>
    </row>
    <row r="233" spans="1:25" ht="12.75">
      <c r="A233" s="304">
        <v>740</v>
      </c>
      <c r="B233" s="262" t="s">
        <v>365</v>
      </c>
      <c r="C233" s="260">
        <v>10</v>
      </c>
      <c r="D233" s="274">
        <v>114321.04042</v>
      </c>
      <c r="E233" s="274">
        <v>111430.18935379386</v>
      </c>
      <c r="F233" s="274">
        <v>115435.62083645511</v>
      </c>
      <c r="G233" s="274">
        <v>62891.54739018271</v>
      </c>
      <c r="H233" s="274">
        <v>62131.75384231986</v>
      </c>
      <c r="I233" s="274">
        <v>9054.15395</v>
      </c>
      <c r="J233" s="274">
        <v>9842.543202000003</v>
      </c>
      <c r="K233" s="274">
        <v>10686.127842000002</v>
      </c>
      <c r="L233" s="274">
        <v>8248.030713000002</v>
      </c>
      <c r="M233" s="274">
        <v>8351.779527</v>
      </c>
      <c r="N233" s="274">
        <v>13847.98036</v>
      </c>
      <c r="O233" s="274">
        <v>13317.4457667936</v>
      </c>
      <c r="P233" s="274">
        <v>13317.4457667936</v>
      </c>
      <c r="Q233" s="274">
        <v>13317.4457667936</v>
      </c>
      <c r="R233" s="305">
        <v>13317.4457667936</v>
      </c>
      <c r="S233" s="305"/>
      <c r="T233" s="305"/>
      <c r="U233" s="305"/>
      <c r="V233" s="273"/>
      <c r="W233" s="273"/>
      <c r="X233" s="273"/>
      <c r="Y233" s="273"/>
    </row>
    <row r="234" spans="1:25" ht="12.75">
      <c r="A234" s="304">
        <v>742</v>
      </c>
      <c r="B234" s="262" t="s">
        <v>366</v>
      </c>
      <c r="C234" s="260">
        <v>19</v>
      </c>
      <c r="D234" s="274">
        <v>2836.0662599999996</v>
      </c>
      <c r="E234" s="274">
        <v>2695.792125838113</v>
      </c>
      <c r="F234" s="274">
        <v>2878.5900360658566</v>
      </c>
      <c r="G234" s="274">
        <v>1556.8663855498885</v>
      </c>
      <c r="H234" s="274">
        <v>1534.3944228660675</v>
      </c>
      <c r="I234" s="274">
        <v>978.01236</v>
      </c>
      <c r="J234" s="274">
        <v>982.2270759999999</v>
      </c>
      <c r="K234" s="274">
        <v>1063.887</v>
      </c>
      <c r="L234" s="274">
        <v>821.1555000000001</v>
      </c>
      <c r="M234" s="274">
        <v>831.4845</v>
      </c>
      <c r="N234" s="274">
        <v>398.08509000000004</v>
      </c>
      <c r="O234" s="274">
        <v>395.713925232</v>
      </c>
      <c r="P234" s="274">
        <v>395.713925232</v>
      </c>
      <c r="Q234" s="274">
        <v>395.713925232</v>
      </c>
      <c r="R234" s="305">
        <v>395.713925232</v>
      </c>
      <c r="S234" s="305"/>
      <c r="T234" s="305"/>
      <c r="U234" s="305"/>
      <c r="V234" s="273"/>
      <c r="W234" s="273"/>
      <c r="X234" s="273"/>
      <c r="Y234" s="273"/>
    </row>
    <row r="235" spans="1:25" ht="12.75">
      <c r="A235" s="304">
        <v>743</v>
      </c>
      <c r="B235" s="262" t="s">
        <v>367</v>
      </c>
      <c r="C235" s="260">
        <v>14</v>
      </c>
      <c r="D235" s="274">
        <v>207969.54718</v>
      </c>
      <c r="E235" s="274">
        <v>214513.1346938238</v>
      </c>
      <c r="F235" s="274">
        <v>225443.28981659375</v>
      </c>
      <c r="G235" s="274">
        <v>120273.05869962642</v>
      </c>
      <c r="H235" s="274">
        <v>116705.31226396064</v>
      </c>
      <c r="I235" s="274">
        <v>15560.31149</v>
      </c>
      <c r="J235" s="274">
        <v>14586.101062999998</v>
      </c>
      <c r="K235" s="274">
        <v>15783.516059999998</v>
      </c>
      <c r="L235" s="274">
        <v>12182.42259</v>
      </c>
      <c r="M235" s="274">
        <v>12335.660609999999</v>
      </c>
      <c r="N235" s="274">
        <v>23969.69651</v>
      </c>
      <c r="O235" s="274">
        <v>24644.837202792</v>
      </c>
      <c r="P235" s="274">
        <v>24644.837202792</v>
      </c>
      <c r="Q235" s="274">
        <v>24644.837202792</v>
      </c>
      <c r="R235" s="305">
        <v>24644.837202792</v>
      </c>
      <c r="S235" s="305"/>
      <c r="T235" s="305"/>
      <c r="U235" s="305"/>
      <c r="V235" s="273"/>
      <c r="W235" s="273"/>
      <c r="X235" s="273"/>
      <c r="Y235" s="273"/>
    </row>
    <row r="236" spans="1:25" ht="12.75">
      <c r="A236" s="304">
        <v>746</v>
      </c>
      <c r="B236" s="262" t="s">
        <v>368</v>
      </c>
      <c r="C236" s="260">
        <v>17</v>
      </c>
      <c r="D236" s="274">
        <v>12026.45865</v>
      </c>
      <c r="E236" s="274">
        <v>12683.253430179642</v>
      </c>
      <c r="F236" s="274">
        <v>13042.132153706018</v>
      </c>
      <c r="G236" s="274">
        <v>7146.947968289</v>
      </c>
      <c r="H236" s="274">
        <v>7036.329407551563</v>
      </c>
      <c r="I236" s="274">
        <v>2232.46277</v>
      </c>
      <c r="J236" s="274">
        <v>1939.5080130000001</v>
      </c>
      <c r="K236" s="274">
        <v>2101.319068</v>
      </c>
      <c r="L236" s="274">
        <v>1621.8919020000003</v>
      </c>
      <c r="M236" s="274">
        <v>1642.2930580000002</v>
      </c>
      <c r="N236" s="274">
        <v>1048.76187</v>
      </c>
      <c r="O236" s="274">
        <v>1034.4957247055997</v>
      </c>
      <c r="P236" s="274">
        <v>1034.4957247055997</v>
      </c>
      <c r="Q236" s="274">
        <v>1034.4957247055997</v>
      </c>
      <c r="R236" s="305">
        <v>1034.4957247055997</v>
      </c>
      <c r="S236" s="305"/>
      <c r="T236" s="305"/>
      <c r="U236" s="305"/>
      <c r="V236" s="273"/>
      <c r="W236" s="273"/>
      <c r="X236" s="273"/>
      <c r="Y236" s="273"/>
    </row>
    <row r="237" spans="1:25" ht="12.75">
      <c r="A237" s="304">
        <v>747</v>
      </c>
      <c r="B237" s="262" t="s">
        <v>369</v>
      </c>
      <c r="C237" s="260">
        <v>4</v>
      </c>
      <c r="D237" s="274">
        <v>3383.70485</v>
      </c>
      <c r="E237" s="274">
        <v>3389.447295643624</v>
      </c>
      <c r="F237" s="274">
        <v>3560.505084551939</v>
      </c>
      <c r="G237" s="274">
        <v>1970.5593000748006</v>
      </c>
      <c r="H237" s="274">
        <v>1959.3076791619342</v>
      </c>
      <c r="I237" s="274">
        <v>610.1534499999999</v>
      </c>
      <c r="J237" s="274">
        <v>583.799466</v>
      </c>
      <c r="K237" s="274">
        <v>632.057234</v>
      </c>
      <c r="L237" s="274">
        <v>487.85000099999996</v>
      </c>
      <c r="M237" s="274">
        <v>493.986479</v>
      </c>
      <c r="N237" s="274">
        <v>545.66432</v>
      </c>
      <c r="O237" s="274">
        <v>753.79306224</v>
      </c>
      <c r="P237" s="274">
        <v>753.79306224</v>
      </c>
      <c r="Q237" s="274">
        <v>753.79306224</v>
      </c>
      <c r="R237" s="305">
        <v>753.79306224</v>
      </c>
      <c r="S237" s="305"/>
      <c r="T237" s="305"/>
      <c r="U237" s="305"/>
      <c r="V237" s="273"/>
      <c r="W237" s="273"/>
      <c r="X237" s="273"/>
      <c r="Y237" s="273"/>
    </row>
    <row r="238" spans="1:25" ht="12.75">
      <c r="A238" s="304">
        <v>748</v>
      </c>
      <c r="B238" s="262" t="s">
        <v>370</v>
      </c>
      <c r="C238" s="260">
        <v>17</v>
      </c>
      <c r="D238" s="274">
        <v>14895.08473</v>
      </c>
      <c r="E238" s="274">
        <v>15124.355211636412</v>
      </c>
      <c r="F238" s="274">
        <v>15633.663505895307</v>
      </c>
      <c r="G238" s="274">
        <v>8581.952275311465</v>
      </c>
      <c r="H238" s="274">
        <v>8434.154066913432</v>
      </c>
      <c r="I238" s="274">
        <v>869.32849</v>
      </c>
      <c r="J238" s="274">
        <v>839.851381</v>
      </c>
      <c r="K238" s="274">
        <v>908.921234</v>
      </c>
      <c r="L238" s="274">
        <v>701.546001</v>
      </c>
      <c r="M238" s="274">
        <v>710.370479</v>
      </c>
      <c r="N238" s="274">
        <v>1141.44075</v>
      </c>
      <c r="O238" s="274">
        <v>1378.3350199560002</v>
      </c>
      <c r="P238" s="274">
        <v>1378.3350199560002</v>
      </c>
      <c r="Q238" s="274">
        <v>1378.3350199560002</v>
      </c>
      <c r="R238" s="305">
        <v>1378.3350199560002</v>
      </c>
      <c r="S238" s="305"/>
      <c r="T238" s="305"/>
      <c r="U238" s="305"/>
      <c r="V238" s="273"/>
      <c r="W238" s="273"/>
      <c r="X238" s="273"/>
      <c r="Y238" s="273"/>
    </row>
    <row r="239" spans="1:25" ht="12.75">
      <c r="A239" s="304">
        <v>791</v>
      </c>
      <c r="B239" s="262" t="s">
        <v>136</v>
      </c>
      <c r="C239" s="260">
        <v>17</v>
      </c>
      <c r="D239" s="274">
        <v>14171.76516</v>
      </c>
      <c r="E239" s="274">
        <v>13842.387131193329</v>
      </c>
      <c r="F239" s="274">
        <v>14479.588840476368</v>
      </c>
      <c r="G239" s="274">
        <v>7998.591581292429</v>
      </c>
      <c r="H239" s="274">
        <v>7911.54884171747</v>
      </c>
      <c r="I239" s="274">
        <v>1266.80157</v>
      </c>
      <c r="J239" s="274">
        <v>1187.402584</v>
      </c>
      <c r="K239" s="274">
        <v>1284.7935719999998</v>
      </c>
      <c r="L239" s="274">
        <v>991.6610579999999</v>
      </c>
      <c r="M239" s="274">
        <v>1004.1347820000001</v>
      </c>
      <c r="N239" s="274">
        <v>1336.99053</v>
      </c>
      <c r="O239" s="274">
        <v>1325.1095900999999</v>
      </c>
      <c r="P239" s="274">
        <v>1325.1095900999999</v>
      </c>
      <c r="Q239" s="274">
        <v>1325.1095900999999</v>
      </c>
      <c r="R239" s="305">
        <v>1325.1095900999999</v>
      </c>
      <c r="S239" s="305"/>
      <c r="T239" s="305"/>
      <c r="U239" s="305"/>
      <c r="V239" s="273"/>
      <c r="W239" s="273"/>
      <c r="X239" s="273"/>
      <c r="Y239" s="273"/>
    </row>
    <row r="240" spans="1:25" ht="12.75">
      <c r="A240" s="304">
        <v>749</v>
      </c>
      <c r="B240" s="262" t="s">
        <v>371</v>
      </c>
      <c r="C240" s="260">
        <v>11</v>
      </c>
      <c r="D240" s="274">
        <v>75885.43872</v>
      </c>
      <c r="E240" s="274">
        <v>77742.80853376836</v>
      </c>
      <c r="F240" s="274">
        <v>81459.54517958872</v>
      </c>
      <c r="G240" s="274">
        <v>43296.155180696995</v>
      </c>
      <c r="H240" s="274">
        <v>42118.8492193811</v>
      </c>
      <c r="I240" s="274">
        <v>4671.17624</v>
      </c>
      <c r="J240" s="274">
        <v>4015.991794</v>
      </c>
      <c r="K240" s="274">
        <v>4343.50588</v>
      </c>
      <c r="L240" s="274">
        <v>3352.5118199999997</v>
      </c>
      <c r="M240" s="274">
        <v>3394.6817799999994</v>
      </c>
      <c r="N240" s="274">
        <v>5334.037480000001</v>
      </c>
      <c r="O240" s="274">
        <v>5332.730196888</v>
      </c>
      <c r="P240" s="274">
        <v>5332.730196888</v>
      </c>
      <c r="Q240" s="274">
        <v>5332.730196888</v>
      </c>
      <c r="R240" s="305">
        <v>5332.730196888</v>
      </c>
      <c r="S240" s="305"/>
      <c r="T240" s="305"/>
      <c r="U240" s="305"/>
      <c r="V240" s="273"/>
      <c r="W240" s="273"/>
      <c r="X240" s="273"/>
      <c r="Y240" s="273"/>
    </row>
    <row r="241" spans="1:25" ht="12.75">
      <c r="A241" s="304">
        <v>751</v>
      </c>
      <c r="B241" s="262" t="s">
        <v>372</v>
      </c>
      <c r="C241" s="260">
        <v>19</v>
      </c>
      <c r="D241" s="274">
        <v>10482.61706</v>
      </c>
      <c r="E241" s="274">
        <v>10399.135741544045</v>
      </c>
      <c r="F241" s="274">
        <v>10981.56252088656</v>
      </c>
      <c r="G241" s="274">
        <v>5897.962607429254</v>
      </c>
      <c r="H241" s="274">
        <v>5824.789585429787</v>
      </c>
      <c r="I241" s="274">
        <v>357.58052000000004</v>
      </c>
      <c r="J241" s="274">
        <v>353.910133</v>
      </c>
      <c r="K241" s="274">
        <v>383.61155199999996</v>
      </c>
      <c r="L241" s="274">
        <v>296.088528</v>
      </c>
      <c r="M241" s="274">
        <v>299.812912</v>
      </c>
      <c r="N241" s="274">
        <v>1117.95404</v>
      </c>
      <c r="O241" s="274">
        <v>1633.1243091840001</v>
      </c>
      <c r="P241" s="274">
        <v>1633.1243091840001</v>
      </c>
      <c r="Q241" s="274">
        <v>1633.1243091840001</v>
      </c>
      <c r="R241" s="305">
        <v>1633.1243091840001</v>
      </c>
      <c r="S241" s="305"/>
      <c r="T241" s="305"/>
      <c r="U241" s="305"/>
      <c r="V241" s="273"/>
      <c r="W241" s="273"/>
      <c r="X241" s="273"/>
      <c r="Y241" s="273"/>
    </row>
    <row r="242" spans="1:25" ht="12.75">
      <c r="A242" s="304">
        <v>753</v>
      </c>
      <c r="B242" s="262" t="s">
        <v>373</v>
      </c>
      <c r="C242" s="260">
        <v>1</v>
      </c>
      <c r="D242" s="274">
        <v>83263.85577</v>
      </c>
      <c r="E242" s="274">
        <v>86301.11323050542</v>
      </c>
      <c r="F242" s="274">
        <v>89529.1450116686</v>
      </c>
      <c r="G242" s="274">
        <v>42810.61443768452</v>
      </c>
      <c r="H242" s="274">
        <v>40675.69746840291</v>
      </c>
      <c r="I242" s="274">
        <v>4677.68911</v>
      </c>
      <c r="J242" s="274">
        <v>4643.04967</v>
      </c>
      <c r="K242" s="274">
        <v>5021.937216</v>
      </c>
      <c r="L242" s="274">
        <v>3876.1554240000005</v>
      </c>
      <c r="M242" s="274">
        <v>3924.912096</v>
      </c>
      <c r="N242" s="274">
        <v>8957.05956</v>
      </c>
      <c r="O242" s="274">
        <v>9392.936556287998</v>
      </c>
      <c r="P242" s="274">
        <v>9392.936556287998</v>
      </c>
      <c r="Q242" s="274">
        <v>9392.936556287998</v>
      </c>
      <c r="R242" s="305">
        <v>9392.936556287998</v>
      </c>
      <c r="S242" s="305"/>
      <c r="T242" s="305"/>
      <c r="U242" s="305"/>
      <c r="V242" s="273"/>
      <c r="W242" s="273"/>
      <c r="X242" s="273"/>
      <c r="Y242" s="273"/>
    </row>
    <row r="243" spans="1:25" ht="12.75">
      <c r="A243" s="304">
        <v>755</v>
      </c>
      <c r="B243" s="306" t="s">
        <v>374</v>
      </c>
      <c r="C243" s="260">
        <v>1</v>
      </c>
      <c r="D243" s="274">
        <v>26425.52762</v>
      </c>
      <c r="E243" s="274">
        <v>26601.719175636634</v>
      </c>
      <c r="F243" s="274">
        <v>28310.166232930016</v>
      </c>
      <c r="G243" s="274">
        <v>15203.95072226346</v>
      </c>
      <c r="H243" s="274">
        <v>14722.552443791941</v>
      </c>
      <c r="I243" s="274">
        <v>556.2206</v>
      </c>
      <c r="J243" s="274">
        <v>602.057131</v>
      </c>
      <c r="K243" s="274">
        <v>652.38346</v>
      </c>
      <c r="L243" s="274">
        <v>503.53869</v>
      </c>
      <c r="M243" s="274">
        <v>509.87251000000003</v>
      </c>
      <c r="N243" s="274">
        <v>2152.9936000000002</v>
      </c>
      <c r="O243" s="274">
        <v>2207.190987648</v>
      </c>
      <c r="P243" s="274">
        <v>2207.190987648</v>
      </c>
      <c r="Q243" s="274">
        <v>2207.190987648</v>
      </c>
      <c r="R243" s="305">
        <v>2207.190987648</v>
      </c>
      <c r="S243" s="305"/>
      <c r="T243" s="305"/>
      <c r="U243" s="305"/>
      <c r="V243" s="273"/>
      <c r="W243" s="273"/>
      <c r="X243" s="273"/>
      <c r="Y243" s="273"/>
    </row>
    <row r="244" spans="1:25" ht="12.75">
      <c r="A244" s="304">
        <v>758</v>
      </c>
      <c r="B244" s="262" t="s">
        <v>375</v>
      </c>
      <c r="C244" s="260">
        <v>19</v>
      </c>
      <c r="D244" s="274">
        <v>26241.88033</v>
      </c>
      <c r="E244" s="274">
        <v>26741.214525391864</v>
      </c>
      <c r="F244" s="274">
        <v>27985.341576526127</v>
      </c>
      <c r="G244" s="274">
        <v>13942.866206142915</v>
      </c>
      <c r="H244" s="274">
        <v>13544.490149544461</v>
      </c>
      <c r="I244" s="274">
        <v>2907.3817400000003</v>
      </c>
      <c r="J244" s="274">
        <v>3267.840144</v>
      </c>
      <c r="K244" s="274">
        <v>3547.059822</v>
      </c>
      <c r="L244" s="274">
        <v>2737.7791830000006</v>
      </c>
      <c r="M244" s="274">
        <v>2772.216657</v>
      </c>
      <c r="N244" s="274">
        <v>7394.44655</v>
      </c>
      <c r="O244" s="274">
        <v>7874.5294684320015</v>
      </c>
      <c r="P244" s="274">
        <v>7874.5294684320015</v>
      </c>
      <c r="Q244" s="274">
        <v>7874.5294684320015</v>
      </c>
      <c r="R244" s="305">
        <v>7874.5294684320015</v>
      </c>
      <c r="S244" s="305"/>
      <c r="T244" s="305"/>
      <c r="U244" s="305"/>
      <c r="V244" s="273"/>
      <c r="W244" s="273"/>
      <c r="X244" s="273"/>
      <c r="Y244" s="273"/>
    </row>
    <row r="245" spans="1:25" ht="12.75">
      <c r="A245" s="304">
        <v>759</v>
      </c>
      <c r="B245" s="262" t="s">
        <v>376</v>
      </c>
      <c r="C245" s="260">
        <v>14</v>
      </c>
      <c r="D245" s="274">
        <v>5025.83889</v>
      </c>
      <c r="E245" s="274">
        <v>4826.5943812732</v>
      </c>
      <c r="F245" s="274">
        <v>5060.494953160013</v>
      </c>
      <c r="G245" s="274">
        <v>2751.502223679523</v>
      </c>
      <c r="H245" s="274">
        <v>2728.363101580835</v>
      </c>
      <c r="I245" s="274">
        <v>633.89199</v>
      </c>
      <c r="J245" s="274">
        <v>597.4637519999999</v>
      </c>
      <c r="K245" s="274">
        <v>646.891088</v>
      </c>
      <c r="L245" s="274">
        <v>499.299432</v>
      </c>
      <c r="M245" s="274">
        <v>505.579928</v>
      </c>
      <c r="N245" s="274">
        <v>528.17738</v>
      </c>
      <c r="O245" s="274">
        <v>488.9459706144</v>
      </c>
      <c r="P245" s="274">
        <v>488.9459706144</v>
      </c>
      <c r="Q245" s="274">
        <v>488.9459706144</v>
      </c>
      <c r="R245" s="305">
        <v>488.9459706144</v>
      </c>
      <c r="S245" s="305"/>
      <c r="T245" s="305"/>
      <c r="U245" s="305"/>
      <c r="V245" s="273"/>
      <c r="W245" s="273"/>
      <c r="X245" s="273"/>
      <c r="Y245" s="273"/>
    </row>
    <row r="246" spans="1:25" ht="12.75">
      <c r="A246" s="304">
        <v>761</v>
      </c>
      <c r="B246" s="262" t="s">
        <v>377</v>
      </c>
      <c r="C246" s="275">
        <v>2</v>
      </c>
      <c r="D246" s="274">
        <v>24047.74423</v>
      </c>
      <c r="E246" s="274">
        <v>24463.701331278342</v>
      </c>
      <c r="F246" s="274">
        <v>25629.008507788472</v>
      </c>
      <c r="G246" s="274">
        <v>12865.920632558353</v>
      </c>
      <c r="H246" s="274">
        <v>12470.758744222425</v>
      </c>
      <c r="I246" s="274">
        <v>1361.7470700000001</v>
      </c>
      <c r="J246" s="274">
        <v>1281.518837</v>
      </c>
      <c r="K246" s="274">
        <v>1388.847262</v>
      </c>
      <c r="L246" s="274">
        <v>1071.974343</v>
      </c>
      <c r="M246" s="274">
        <v>1085.458297</v>
      </c>
      <c r="N246" s="274">
        <v>1788.1483899999998</v>
      </c>
      <c r="O246" s="274">
        <v>1779.553821504</v>
      </c>
      <c r="P246" s="274">
        <v>1779.553821504</v>
      </c>
      <c r="Q246" s="274">
        <v>1779.553821504</v>
      </c>
      <c r="R246" s="305">
        <v>1779.553821504</v>
      </c>
      <c r="S246" s="305"/>
      <c r="T246" s="305"/>
      <c r="U246" s="305"/>
      <c r="V246" s="273"/>
      <c r="W246" s="273"/>
      <c r="X246" s="273"/>
      <c r="Y246" s="273"/>
    </row>
    <row r="247" spans="1:25" ht="12.75">
      <c r="A247" s="304">
        <v>762</v>
      </c>
      <c r="B247" s="262" t="s">
        <v>378</v>
      </c>
      <c r="C247" s="260">
        <v>11</v>
      </c>
      <c r="D247" s="274">
        <v>9957.3184</v>
      </c>
      <c r="E247" s="274">
        <v>9638.402502803257</v>
      </c>
      <c r="F247" s="274">
        <v>10139.7601516095</v>
      </c>
      <c r="G247" s="274">
        <v>5162.973474749733</v>
      </c>
      <c r="H247" s="274">
        <v>5073.763979884069</v>
      </c>
      <c r="I247" s="274">
        <v>2119.76698</v>
      </c>
      <c r="J247" s="274">
        <v>1974.2485009999998</v>
      </c>
      <c r="K247" s="274">
        <v>2140.8935219999994</v>
      </c>
      <c r="L247" s="274">
        <v>1652.4372329999999</v>
      </c>
      <c r="M247" s="274">
        <v>1673.2226069999997</v>
      </c>
      <c r="N247" s="274">
        <v>863.26883</v>
      </c>
      <c r="O247" s="274">
        <v>869.1213923399999</v>
      </c>
      <c r="P247" s="274">
        <v>869.1213923399999</v>
      </c>
      <c r="Q247" s="274">
        <v>869.1213923399999</v>
      </c>
      <c r="R247" s="305">
        <v>869.1213923399999</v>
      </c>
      <c r="S247" s="305"/>
      <c r="T247" s="305"/>
      <c r="U247" s="305"/>
      <c r="V247" s="273"/>
      <c r="W247" s="273"/>
      <c r="X247" s="273"/>
      <c r="Y247" s="273"/>
    </row>
    <row r="248" spans="1:25" ht="12.75">
      <c r="A248" s="304">
        <v>765</v>
      </c>
      <c r="B248" s="262" t="s">
        <v>379</v>
      </c>
      <c r="C248" s="260">
        <v>18</v>
      </c>
      <c r="D248" s="274">
        <v>33265.07698</v>
      </c>
      <c r="E248" s="274">
        <v>33300.35312057808</v>
      </c>
      <c r="F248" s="274">
        <v>34125.91907257941</v>
      </c>
      <c r="G248" s="274">
        <v>18158.34726599985</v>
      </c>
      <c r="H248" s="274">
        <v>17833.993702283744</v>
      </c>
      <c r="I248" s="274">
        <v>2506.90287</v>
      </c>
      <c r="J248" s="274">
        <v>2545.959079</v>
      </c>
      <c r="K248" s="274">
        <v>2754.7768180000003</v>
      </c>
      <c r="L248" s="274">
        <v>2126.259777</v>
      </c>
      <c r="M248" s="274">
        <v>2153.005183</v>
      </c>
      <c r="N248" s="274">
        <v>4184.85146</v>
      </c>
      <c r="O248" s="274">
        <v>4178.790651527999</v>
      </c>
      <c r="P248" s="274">
        <v>4178.790651527999</v>
      </c>
      <c r="Q248" s="274">
        <v>4178.790651527999</v>
      </c>
      <c r="R248" s="305">
        <v>4178.790651527999</v>
      </c>
      <c r="S248" s="305"/>
      <c r="T248" s="305"/>
      <c r="U248" s="305"/>
      <c r="V248" s="273"/>
      <c r="W248" s="273"/>
      <c r="X248" s="273"/>
      <c r="Y248" s="273"/>
    </row>
    <row r="249" spans="1:25" ht="12.75">
      <c r="A249" s="304">
        <v>768</v>
      </c>
      <c r="B249" s="262" t="s">
        <v>380</v>
      </c>
      <c r="C249" s="260">
        <v>10</v>
      </c>
      <c r="D249" s="274">
        <v>6838.481860000001</v>
      </c>
      <c r="E249" s="274">
        <v>6422.475679839238</v>
      </c>
      <c r="F249" s="274">
        <v>6714.065316624651</v>
      </c>
      <c r="G249" s="274">
        <v>3608.4296901491484</v>
      </c>
      <c r="H249" s="274">
        <v>3561.8275927303303</v>
      </c>
      <c r="I249" s="274">
        <v>1208.21822</v>
      </c>
      <c r="J249" s="274">
        <v>1160.138524</v>
      </c>
      <c r="K249" s="274">
        <v>1257.225622</v>
      </c>
      <c r="L249" s="274">
        <v>970.3828830000001</v>
      </c>
      <c r="M249" s="274">
        <v>982.588957</v>
      </c>
      <c r="N249" s="274">
        <v>951.29144</v>
      </c>
      <c r="O249" s="274">
        <v>949.8400468920001</v>
      </c>
      <c r="P249" s="274">
        <v>949.8400468920001</v>
      </c>
      <c r="Q249" s="274">
        <v>949.8400468920001</v>
      </c>
      <c r="R249" s="305">
        <v>949.8400468920001</v>
      </c>
      <c r="S249" s="305"/>
      <c r="T249" s="305"/>
      <c r="U249" s="305"/>
      <c r="V249" s="273"/>
      <c r="W249" s="273"/>
      <c r="X249" s="273"/>
      <c r="Y249" s="273"/>
    </row>
    <row r="250" spans="1:25" ht="12.75">
      <c r="A250" s="304">
        <v>777</v>
      </c>
      <c r="B250" s="262" t="s">
        <v>381</v>
      </c>
      <c r="C250" s="260">
        <v>18</v>
      </c>
      <c r="D250" s="274">
        <v>20796.932760000003</v>
      </c>
      <c r="E250" s="274">
        <v>20856.844558106965</v>
      </c>
      <c r="F250" s="274">
        <v>21514.79315502157</v>
      </c>
      <c r="G250" s="274">
        <v>10896.333394431802</v>
      </c>
      <c r="H250" s="274">
        <v>10710.415115989143</v>
      </c>
      <c r="I250" s="274">
        <v>2837.0382799999998</v>
      </c>
      <c r="J250" s="274">
        <v>2657.5815239999997</v>
      </c>
      <c r="K250" s="274">
        <v>2876.5821459999997</v>
      </c>
      <c r="L250" s="274">
        <v>2220.274569</v>
      </c>
      <c r="M250" s="274">
        <v>2248.2025510000003</v>
      </c>
      <c r="N250" s="274">
        <v>2669.98906</v>
      </c>
      <c r="O250" s="274">
        <v>3078.531174036</v>
      </c>
      <c r="P250" s="274">
        <v>3078.531174036</v>
      </c>
      <c r="Q250" s="274">
        <v>3078.531174036</v>
      </c>
      <c r="R250" s="305">
        <v>3078.531174036</v>
      </c>
      <c r="S250" s="305"/>
      <c r="T250" s="305"/>
      <c r="U250" s="305"/>
      <c r="V250" s="273"/>
      <c r="W250" s="273"/>
      <c r="X250" s="273"/>
      <c r="Y250" s="273"/>
    </row>
    <row r="251" spans="1:25" ht="12.75">
      <c r="A251" s="304">
        <v>778</v>
      </c>
      <c r="B251" s="262" t="s">
        <v>382</v>
      </c>
      <c r="C251" s="260">
        <v>11</v>
      </c>
      <c r="D251" s="274">
        <v>20256.42094</v>
      </c>
      <c r="E251" s="274">
        <v>20582.026229043808</v>
      </c>
      <c r="F251" s="274">
        <v>21375.677056656274</v>
      </c>
      <c r="G251" s="274">
        <v>11697.811442714135</v>
      </c>
      <c r="H251" s="274">
        <v>11512.074304750528</v>
      </c>
      <c r="I251" s="274">
        <v>1825.85963</v>
      </c>
      <c r="J251" s="274">
        <v>1709.490277</v>
      </c>
      <c r="K251" s="274">
        <v>1851.708662</v>
      </c>
      <c r="L251" s="274">
        <v>1429.2314430000001</v>
      </c>
      <c r="M251" s="274">
        <v>1447.2091970000001</v>
      </c>
      <c r="N251" s="274">
        <v>1790.19403</v>
      </c>
      <c r="O251" s="274">
        <v>1777.891264944</v>
      </c>
      <c r="P251" s="274">
        <v>1777.891264944</v>
      </c>
      <c r="Q251" s="274">
        <v>1777.891264944</v>
      </c>
      <c r="R251" s="305">
        <v>1777.891264944</v>
      </c>
      <c r="S251" s="305"/>
      <c r="T251" s="305"/>
      <c r="U251" s="305"/>
      <c r="V251" s="273"/>
      <c r="W251" s="273"/>
      <c r="X251" s="273"/>
      <c r="Y251" s="273"/>
    </row>
    <row r="252" spans="1:25" ht="12.75">
      <c r="A252" s="304">
        <v>781</v>
      </c>
      <c r="B252" s="262" t="s">
        <v>383</v>
      </c>
      <c r="C252" s="260">
        <v>7</v>
      </c>
      <c r="D252" s="274">
        <v>9059.08666</v>
      </c>
      <c r="E252" s="274">
        <v>8788.867803283465</v>
      </c>
      <c r="F252" s="274">
        <v>9196.799345643763</v>
      </c>
      <c r="G252" s="274">
        <v>4321.612190288112</v>
      </c>
      <c r="H252" s="274">
        <v>4167.2933697043745</v>
      </c>
      <c r="I252" s="274">
        <v>1489.37631</v>
      </c>
      <c r="J252" s="274">
        <v>1369.3576370000003</v>
      </c>
      <c r="K252" s="274">
        <v>1484.416842</v>
      </c>
      <c r="L252" s="274">
        <v>1145.739213</v>
      </c>
      <c r="M252" s="274">
        <v>1160.1510269999999</v>
      </c>
      <c r="N252" s="274">
        <v>1963.3636999999999</v>
      </c>
      <c r="O252" s="274">
        <v>1961.223657924</v>
      </c>
      <c r="P252" s="274">
        <v>1961.223657924</v>
      </c>
      <c r="Q252" s="274">
        <v>1961.223657924</v>
      </c>
      <c r="R252" s="305">
        <v>1961.223657924</v>
      </c>
      <c r="S252" s="305"/>
      <c r="T252" s="305"/>
      <c r="U252" s="305"/>
      <c r="V252" s="273"/>
      <c r="W252" s="273"/>
      <c r="X252" s="273"/>
      <c r="Y252" s="273"/>
    </row>
    <row r="253" spans="1:25" ht="12.75">
      <c r="A253" s="304">
        <v>783</v>
      </c>
      <c r="B253" s="262" t="s">
        <v>384</v>
      </c>
      <c r="C253" s="260">
        <v>4</v>
      </c>
      <c r="D253" s="274">
        <v>24590.12484</v>
      </c>
      <c r="E253" s="274">
        <v>24896.087199864505</v>
      </c>
      <c r="F253" s="274">
        <v>25684.472686400437</v>
      </c>
      <c r="G253" s="274">
        <v>13643.205747578219</v>
      </c>
      <c r="H253" s="274">
        <v>13385.702161273231</v>
      </c>
      <c r="I253" s="274">
        <v>1794.7311000000002</v>
      </c>
      <c r="J253" s="274">
        <v>1393.381652</v>
      </c>
      <c r="K253" s="274">
        <v>1503.7864040000002</v>
      </c>
      <c r="L253" s="274">
        <v>1160.689506</v>
      </c>
      <c r="M253" s="274">
        <v>1175.2893740000002</v>
      </c>
      <c r="N253" s="274">
        <v>1949.52693</v>
      </c>
      <c r="O253" s="274">
        <v>2018.9085677112002</v>
      </c>
      <c r="P253" s="274">
        <v>2018.9085677112002</v>
      </c>
      <c r="Q253" s="274">
        <v>2018.9085677112002</v>
      </c>
      <c r="R253" s="305">
        <v>2018.9085677112002</v>
      </c>
      <c r="S253" s="305"/>
      <c r="T253" s="305"/>
      <c r="U253" s="305"/>
      <c r="V253" s="273"/>
      <c r="W253" s="273"/>
      <c r="X253" s="273"/>
      <c r="Y253" s="273"/>
    </row>
    <row r="254" spans="1:25" ht="12.75">
      <c r="A254" s="304">
        <v>831</v>
      </c>
      <c r="B254" s="262" t="s">
        <v>385</v>
      </c>
      <c r="C254" s="260">
        <v>9</v>
      </c>
      <c r="D254" s="274">
        <v>16690.46173</v>
      </c>
      <c r="E254" s="274">
        <v>16843.434458805987</v>
      </c>
      <c r="F254" s="274">
        <v>17745.06185040827</v>
      </c>
      <c r="G254" s="274">
        <v>8958.601556816884</v>
      </c>
      <c r="H254" s="274">
        <v>8678.155603903851</v>
      </c>
      <c r="I254" s="274">
        <v>845.7080100000001</v>
      </c>
      <c r="J254" s="274">
        <v>883.2249919999999</v>
      </c>
      <c r="K254" s="274">
        <v>958.421592</v>
      </c>
      <c r="L254" s="274">
        <v>739.7525880000001</v>
      </c>
      <c r="M254" s="274">
        <v>749.057652</v>
      </c>
      <c r="N254" s="274">
        <v>1698.04413</v>
      </c>
      <c r="O254" s="274">
        <v>1690.3882536360002</v>
      </c>
      <c r="P254" s="274">
        <v>1690.3882536360002</v>
      </c>
      <c r="Q254" s="274">
        <v>1690.3882536360002</v>
      </c>
      <c r="R254" s="305">
        <v>1690.3882536360002</v>
      </c>
      <c r="S254" s="305"/>
      <c r="T254" s="305"/>
      <c r="U254" s="305"/>
      <c r="V254" s="273"/>
      <c r="W254" s="273"/>
      <c r="X254" s="273"/>
      <c r="Y254" s="273"/>
    </row>
    <row r="255" spans="1:25" ht="12.75">
      <c r="A255" s="304">
        <v>832</v>
      </c>
      <c r="B255" s="262" t="s">
        <v>386</v>
      </c>
      <c r="C255" s="260">
        <v>17</v>
      </c>
      <c r="D255" s="274">
        <v>9772.47511</v>
      </c>
      <c r="E255" s="274">
        <v>10099.012231722849</v>
      </c>
      <c r="F255" s="274">
        <v>10443.259038125389</v>
      </c>
      <c r="G255" s="274">
        <v>5352.232605355658</v>
      </c>
      <c r="H255" s="274">
        <v>5253.076016173249</v>
      </c>
      <c r="I255" s="274">
        <v>1299.58917</v>
      </c>
      <c r="J255" s="274">
        <v>1260.1361610000001</v>
      </c>
      <c r="K255" s="274">
        <v>1365.918638</v>
      </c>
      <c r="L255" s="274">
        <v>1054.277007</v>
      </c>
      <c r="M255" s="274">
        <v>1067.538353</v>
      </c>
      <c r="N255" s="274">
        <v>854.61149</v>
      </c>
      <c r="O255" s="274">
        <v>901.1763073104</v>
      </c>
      <c r="P255" s="274">
        <v>901.1763073104</v>
      </c>
      <c r="Q255" s="274">
        <v>901.1763073104</v>
      </c>
      <c r="R255" s="305">
        <v>901.1763073104</v>
      </c>
      <c r="S255" s="305"/>
      <c r="T255" s="305"/>
      <c r="U255" s="305"/>
      <c r="V255" s="273"/>
      <c r="W255" s="273"/>
      <c r="X255" s="273"/>
      <c r="Y255" s="273"/>
    </row>
    <row r="256" spans="1:25" ht="12.75">
      <c r="A256" s="304">
        <v>833</v>
      </c>
      <c r="B256" s="262" t="s">
        <v>387</v>
      </c>
      <c r="C256" s="260">
        <v>2</v>
      </c>
      <c r="D256" s="274">
        <v>4992.399759999999</v>
      </c>
      <c r="E256" s="274">
        <v>5392.439835684363</v>
      </c>
      <c r="F256" s="274">
        <v>5257.860668414221</v>
      </c>
      <c r="G256" s="274">
        <v>2790.0151004276267</v>
      </c>
      <c r="H256" s="274">
        <v>2725.1171744142607</v>
      </c>
      <c r="I256" s="274">
        <v>244.28388</v>
      </c>
      <c r="J256" s="274">
        <v>230.46508699999998</v>
      </c>
      <c r="K256" s="274">
        <v>249.639658</v>
      </c>
      <c r="L256" s="274">
        <v>192.68303699999998</v>
      </c>
      <c r="M256" s="274">
        <v>195.106723</v>
      </c>
      <c r="N256" s="274">
        <v>1222.3583</v>
      </c>
      <c r="O256" s="274">
        <v>1236.8092057080003</v>
      </c>
      <c r="P256" s="274">
        <v>1236.8092057080003</v>
      </c>
      <c r="Q256" s="274">
        <v>1236.8092057080003</v>
      </c>
      <c r="R256" s="305">
        <v>1236.8092057080003</v>
      </c>
      <c r="S256" s="305"/>
      <c r="T256" s="305"/>
      <c r="U256" s="305"/>
      <c r="V256" s="273"/>
      <c r="W256" s="273"/>
      <c r="X256" s="273"/>
      <c r="Y256" s="273"/>
    </row>
    <row r="257" spans="1:25" ht="12.75">
      <c r="A257" s="304">
        <v>834</v>
      </c>
      <c r="B257" s="307" t="s">
        <v>388</v>
      </c>
      <c r="C257" s="260">
        <v>5</v>
      </c>
      <c r="D257" s="274">
        <v>19173.07579</v>
      </c>
      <c r="E257" s="274">
        <v>18998.508108951624</v>
      </c>
      <c r="F257" s="274">
        <v>19777.34033589916</v>
      </c>
      <c r="G257" s="274">
        <v>9966.51394919236</v>
      </c>
      <c r="H257" s="274">
        <v>9674.814190568288</v>
      </c>
      <c r="I257" s="274">
        <v>1335.16559</v>
      </c>
      <c r="J257" s="274">
        <v>1275.878974</v>
      </c>
      <c r="K257" s="274">
        <v>1381.5313780000001</v>
      </c>
      <c r="L257" s="274">
        <v>1066.327617</v>
      </c>
      <c r="M257" s="274">
        <v>1079.7405430000001</v>
      </c>
      <c r="N257" s="274">
        <v>1552.37281</v>
      </c>
      <c r="O257" s="274">
        <v>1573.6378797000002</v>
      </c>
      <c r="P257" s="274">
        <v>1573.6378797000002</v>
      </c>
      <c r="Q257" s="274">
        <v>1573.6378797000002</v>
      </c>
      <c r="R257" s="305">
        <v>1573.6378797000002</v>
      </c>
      <c r="S257" s="305"/>
      <c r="T257" s="305"/>
      <c r="U257" s="305"/>
      <c r="V257" s="273"/>
      <c r="W257" s="273"/>
      <c r="X257" s="273"/>
      <c r="Y257" s="273"/>
    </row>
    <row r="258" spans="1:25" ht="12.75">
      <c r="A258" s="304">
        <v>837</v>
      </c>
      <c r="B258" s="262" t="s">
        <v>389</v>
      </c>
      <c r="C258" s="260">
        <v>6</v>
      </c>
      <c r="D258" s="274">
        <v>776753.13279</v>
      </c>
      <c r="E258" s="274">
        <v>786170.3979133297</v>
      </c>
      <c r="F258" s="274">
        <v>823861.2239940803</v>
      </c>
      <c r="G258" s="274">
        <v>408664.8883679472</v>
      </c>
      <c r="H258" s="274">
        <v>394385.1524053446</v>
      </c>
      <c r="I258" s="274">
        <v>66501.72739</v>
      </c>
      <c r="J258" s="274">
        <v>71734.454253</v>
      </c>
      <c r="K258" s="274">
        <v>77728.31716800001</v>
      </c>
      <c r="L258" s="274">
        <v>59994.186552</v>
      </c>
      <c r="M258" s="274">
        <v>60748.830408</v>
      </c>
      <c r="N258" s="274">
        <v>75586.00306999999</v>
      </c>
      <c r="O258" s="274">
        <v>75358.17875212799</v>
      </c>
      <c r="P258" s="274">
        <v>75358.17875212799</v>
      </c>
      <c r="Q258" s="274">
        <v>75358.17875212799</v>
      </c>
      <c r="R258" s="305">
        <v>75358.17875212799</v>
      </c>
      <c r="S258" s="305"/>
      <c r="T258" s="305"/>
      <c r="U258" s="305"/>
      <c r="V258" s="273"/>
      <c r="W258" s="273"/>
      <c r="X258" s="273"/>
      <c r="Y258" s="273"/>
    </row>
    <row r="259" spans="1:25" ht="12.75">
      <c r="A259" s="304">
        <v>844</v>
      </c>
      <c r="B259" s="262" t="s">
        <v>390</v>
      </c>
      <c r="C259" s="260">
        <v>11</v>
      </c>
      <c r="D259" s="274">
        <v>3677.73857</v>
      </c>
      <c r="E259" s="274">
        <v>3630.570955058785</v>
      </c>
      <c r="F259" s="274">
        <v>3792.464734554583</v>
      </c>
      <c r="G259" s="274">
        <v>2006.804901764743</v>
      </c>
      <c r="H259" s="274">
        <v>1964.2940138690358</v>
      </c>
      <c r="I259" s="274">
        <v>430.00779</v>
      </c>
      <c r="J259" s="274">
        <v>445.07587300000006</v>
      </c>
      <c r="K259" s="274">
        <v>482.567154</v>
      </c>
      <c r="L259" s="274">
        <v>372.466881</v>
      </c>
      <c r="M259" s="274">
        <v>377.15199900000005</v>
      </c>
      <c r="N259" s="274">
        <v>418.66928</v>
      </c>
      <c r="O259" s="274">
        <v>413.7659897280001</v>
      </c>
      <c r="P259" s="274">
        <v>413.7659897280001</v>
      </c>
      <c r="Q259" s="274">
        <v>413.7659897280001</v>
      </c>
      <c r="R259" s="305">
        <v>413.7659897280001</v>
      </c>
      <c r="S259" s="305"/>
      <c r="T259" s="305"/>
      <c r="U259" s="305"/>
      <c r="V259" s="273"/>
      <c r="W259" s="273"/>
      <c r="X259" s="273"/>
      <c r="Y259" s="273"/>
    </row>
    <row r="260" spans="1:25" ht="12.75">
      <c r="A260" s="304">
        <v>845</v>
      </c>
      <c r="B260" s="262" t="s">
        <v>391</v>
      </c>
      <c r="C260" s="260">
        <v>19</v>
      </c>
      <c r="D260" s="274">
        <v>8074.89931</v>
      </c>
      <c r="E260" s="274">
        <v>8233.245310906299</v>
      </c>
      <c r="F260" s="274">
        <v>8360.430211840676</v>
      </c>
      <c r="G260" s="274">
        <v>4033.082879685384</v>
      </c>
      <c r="H260" s="274">
        <v>3914.521096143849</v>
      </c>
      <c r="I260" s="274">
        <v>596.25615</v>
      </c>
      <c r="J260" s="274">
        <v>481.748049</v>
      </c>
      <c r="K260" s="274">
        <v>521.211724</v>
      </c>
      <c r="L260" s="274">
        <v>402.294486</v>
      </c>
      <c r="M260" s="274">
        <v>407.354794</v>
      </c>
      <c r="N260" s="274">
        <v>2680.47363</v>
      </c>
      <c r="O260" s="274">
        <v>2777.3986449239997</v>
      </c>
      <c r="P260" s="274">
        <v>2777.3986449239997</v>
      </c>
      <c r="Q260" s="274">
        <v>2777.3986449239997</v>
      </c>
      <c r="R260" s="305">
        <v>2777.3986449239997</v>
      </c>
      <c r="S260" s="305"/>
      <c r="T260" s="305"/>
      <c r="U260" s="305"/>
      <c r="V260" s="273"/>
      <c r="W260" s="273"/>
      <c r="X260" s="273"/>
      <c r="Y260" s="273"/>
    </row>
    <row r="261" spans="1:25" ht="12.75">
      <c r="A261" s="304">
        <v>846</v>
      </c>
      <c r="B261" s="262" t="s">
        <v>392</v>
      </c>
      <c r="C261" s="260">
        <v>14</v>
      </c>
      <c r="D261" s="274">
        <v>14971.803890000001</v>
      </c>
      <c r="E261" s="274">
        <v>14839.829754778977</v>
      </c>
      <c r="F261" s="274">
        <v>15398.674694998586</v>
      </c>
      <c r="G261" s="274">
        <v>8588.117834477986</v>
      </c>
      <c r="H261" s="274">
        <v>8522.402740820966</v>
      </c>
      <c r="I261" s="274">
        <v>842.49923</v>
      </c>
      <c r="J261" s="274">
        <v>888.3482839999999</v>
      </c>
      <c r="K261" s="274">
        <v>961.414978</v>
      </c>
      <c r="L261" s="274">
        <v>742.063017</v>
      </c>
      <c r="M261" s="274">
        <v>751.3971429999999</v>
      </c>
      <c r="N261" s="274">
        <v>1017.7465699999999</v>
      </c>
      <c r="O261" s="274">
        <v>1106.465595996</v>
      </c>
      <c r="P261" s="274">
        <v>1106.465595996</v>
      </c>
      <c r="Q261" s="274">
        <v>1106.465595996</v>
      </c>
      <c r="R261" s="305">
        <v>1106.465595996</v>
      </c>
      <c r="S261" s="305"/>
      <c r="T261" s="305"/>
      <c r="U261" s="305"/>
      <c r="V261" s="273"/>
      <c r="W261" s="273"/>
      <c r="X261" s="273"/>
      <c r="Y261" s="273"/>
    </row>
    <row r="262" spans="1:25" ht="12.75">
      <c r="A262" s="304">
        <v>848</v>
      </c>
      <c r="B262" s="262" t="s">
        <v>393</v>
      </c>
      <c r="C262" s="260">
        <v>12</v>
      </c>
      <c r="D262" s="274">
        <v>11849.10066</v>
      </c>
      <c r="E262" s="274">
        <v>11894.628815160126</v>
      </c>
      <c r="F262" s="274">
        <v>12325.33982881381</v>
      </c>
      <c r="G262" s="274">
        <v>6699.211662562141</v>
      </c>
      <c r="H262" s="274">
        <v>6629.480131165304</v>
      </c>
      <c r="I262" s="274">
        <v>1041.2781400000001</v>
      </c>
      <c r="J262" s="274">
        <v>941.891463</v>
      </c>
      <c r="K262" s="274">
        <v>1020.9504200000001</v>
      </c>
      <c r="L262" s="274">
        <v>788.0151300000001</v>
      </c>
      <c r="M262" s="274">
        <v>797.9272699999999</v>
      </c>
      <c r="N262" s="274">
        <v>958.08603</v>
      </c>
      <c r="O262" s="274">
        <v>952.506916164</v>
      </c>
      <c r="P262" s="274">
        <v>952.506916164</v>
      </c>
      <c r="Q262" s="274">
        <v>952.506916164</v>
      </c>
      <c r="R262" s="305">
        <v>952.506916164</v>
      </c>
      <c r="S262" s="305"/>
      <c r="T262" s="305"/>
      <c r="U262" s="305"/>
      <c r="V262" s="273"/>
      <c r="W262" s="273"/>
      <c r="X262" s="273"/>
      <c r="Y262" s="273"/>
    </row>
    <row r="263" spans="1:25" ht="12.75">
      <c r="A263" s="304">
        <v>849</v>
      </c>
      <c r="B263" s="310" t="s">
        <v>394</v>
      </c>
      <c r="C263" s="260">
        <v>16</v>
      </c>
      <c r="D263" s="274">
        <v>7924.5123300000005</v>
      </c>
      <c r="E263" s="274">
        <v>8368.578099262908</v>
      </c>
      <c r="F263" s="274">
        <v>8694.291152603248</v>
      </c>
      <c r="G263" s="274">
        <v>4789.9015586618025</v>
      </c>
      <c r="H263" s="274">
        <v>4698.863720537587</v>
      </c>
      <c r="I263" s="274">
        <v>675.5714499999999</v>
      </c>
      <c r="J263" s="274">
        <v>600.0260860000001</v>
      </c>
      <c r="K263" s="274">
        <v>649.6036960000001</v>
      </c>
      <c r="L263" s="274">
        <v>501.393144</v>
      </c>
      <c r="M263" s="274">
        <v>507.69997600000005</v>
      </c>
      <c r="N263" s="274">
        <v>825.2087700000001</v>
      </c>
      <c r="O263" s="274">
        <v>805.816854912</v>
      </c>
      <c r="P263" s="274">
        <v>805.816854912</v>
      </c>
      <c r="Q263" s="274">
        <v>805.816854912</v>
      </c>
      <c r="R263" s="305">
        <v>805.816854912</v>
      </c>
      <c r="S263" s="305"/>
      <c r="T263" s="305"/>
      <c r="U263" s="305"/>
      <c r="V263" s="273"/>
      <c r="W263" s="273"/>
      <c r="X263" s="273"/>
      <c r="Y263" s="273"/>
    </row>
    <row r="264" spans="1:25" ht="12.75">
      <c r="A264" s="304">
        <v>850</v>
      </c>
      <c r="B264" s="262" t="s">
        <v>395</v>
      </c>
      <c r="C264" s="275">
        <v>13</v>
      </c>
      <c r="D264" s="274">
        <v>6793.49609</v>
      </c>
      <c r="E264" s="274">
        <v>6989.475996029702</v>
      </c>
      <c r="F264" s="274">
        <v>7315.148782230291</v>
      </c>
      <c r="G264" s="274">
        <v>3798.866665117603</v>
      </c>
      <c r="H264" s="274">
        <v>3737.3893850946024</v>
      </c>
      <c r="I264" s="274">
        <v>545.79824</v>
      </c>
      <c r="J264" s="274">
        <v>590.3627020000001</v>
      </c>
      <c r="K264" s="274">
        <v>640.5689480000001</v>
      </c>
      <c r="L264" s="274">
        <v>494.41972200000004</v>
      </c>
      <c r="M264" s="274">
        <v>500.638838</v>
      </c>
      <c r="N264" s="274">
        <v>569.3718</v>
      </c>
      <c r="O264" s="274">
        <v>636.316241448</v>
      </c>
      <c r="P264" s="274">
        <v>636.316241448</v>
      </c>
      <c r="Q264" s="274">
        <v>636.316241448</v>
      </c>
      <c r="R264" s="305">
        <v>636.316241448</v>
      </c>
      <c r="S264" s="305"/>
      <c r="T264" s="305"/>
      <c r="U264" s="305"/>
      <c r="V264" s="273"/>
      <c r="W264" s="273"/>
      <c r="X264" s="273"/>
      <c r="Y264" s="273"/>
    </row>
    <row r="265" spans="1:25" ht="12.75">
      <c r="A265" s="304">
        <v>851</v>
      </c>
      <c r="B265" s="262" t="s">
        <v>396</v>
      </c>
      <c r="C265" s="260">
        <v>19</v>
      </c>
      <c r="D265" s="274">
        <v>73202.00033</v>
      </c>
      <c r="E265" s="274">
        <v>75284.13032101726</v>
      </c>
      <c r="F265" s="274">
        <v>78312.76667610832</v>
      </c>
      <c r="G265" s="274">
        <v>40782.9204806769</v>
      </c>
      <c r="H265" s="274">
        <v>39858.522509460556</v>
      </c>
      <c r="I265" s="274">
        <v>3221.18452</v>
      </c>
      <c r="J265" s="274">
        <v>3164.611468</v>
      </c>
      <c r="K265" s="274">
        <v>3428.873502</v>
      </c>
      <c r="L265" s="274">
        <v>2646.557703</v>
      </c>
      <c r="M265" s="274">
        <v>2679.8477369999996</v>
      </c>
      <c r="N265" s="274">
        <v>6779.68689</v>
      </c>
      <c r="O265" s="274">
        <v>5866.581168681601</v>
      </c>
      <c r="P265" s="274">
        <v>5866.581168681601</v>
      </c>
      <c r="Q265" s="274">
        <v>5866.581168681601</v>
      </c>
      <c r="R265" s="305">
        <v>5866.581168681601</v>
      </c>
      <c r="S265" s="305"/>
      <c r="T265" s="305"/>
      <c r="U265" s="305"/>
      <c r="V265" s="273"/>
      <c r="W265" s="273"/>
      <c r="X265" s="273"/>
      <c r="Y265" s="273"/>
    </row>
    <row r="266" spans="1:25" ht="12.75">
      <c r="A266" s="304">
        <v>853</v>
      </c>
      <c r="B266" s="262" t="s">
        <v>397</v>
      </c>
      <c r="C266" s="275">
        <v>2</v>
      </c>
      <c r="D266" s="274">
        <v>601024.09238</v>
      </c>
      <c r="E266" s="274">
        <v>619505.2591303211</v>
      </c>
      <c r="F266" s="274">
        <v>644403.5971729408</v>
      </c>
      <c r="G266" s="274">
        <v>315792.886409732</v>
      </c>
      <c r="H266" s="274">
        <v>304809.2694730985</v>
      </c>
      <c r="I266" s="274">
        <v>94338.56856</v>
      </c>
      <c r="J266" s="274">
        <v>101466.31374800002</v>
      </c>
      <c r="K266" s="274">
        <v>110059.120038</v>
      </c>
      <c r="L266" s="274">
        <v>84948.54410700001</v>
      </c>
      <c r="M266" s="274">
        <v>86017.079253</v>
      </c>
      <c r="N266" s="274">
        <v>53653.99617</v>
      </c>
      <c r="O266" s="274">
        <v>56267.20142518799</v>
      </c>
      <c r="P266" s="274">
        <v>56267.20142518799</v>
      </c>
      <c r="Q266" s="274">
        <v>56267.20142518799</v>
      </c>
      <c r="R266" s="305">
        <v>56267.20142518799</v>
      </c>
      <c r="S266" s="305"/>
      <c r="T266" s="305"/>
      <c r="U266" s="305"/>
      <c r="V266" s="273"/>
      <c r="W266" s="273"/>
      <c r="X266" s="273"/>
      <c r="Y266" s="273"/>
    </row>
    <row r="267" spans="1:25" ht="12.75">
      <c r="A267" s="304">
        <v>857</v>
      </c>
      <c r="B267" s="262" t="s">
        <v>398</v>
      </c>
      <c r="C267" s="260">
        <v>11</v>
      </c>
      <c r="D267" s="274">
        <v>6658.7449400000005</v>
      </c>
      <c r="E267" s="274">
        <v>6574.718702049376</v>
      </c>
      <c r="F267" s="274">
        <v>6892.406676117271</v>
      </c>
      <c r="G267" s="274">
        <v>3819.7556894540508</v>
      </c>
      <c r="H267" s="274">
        <v>3766.213864988282</v>
      </c>
      <c r="I267" s="274">
        <v>777.70311</v>
      </c>
      <c r="J267" s="274">
        <v>717.2493260000001</v>
      </c>
      <c r="K267" s="274">
        <v>776.8000440000001</v>
      </c>
      <c r="L267" s="274">
        <v>599.568966</v>
      </c>
      <c r="M267" s="274">
        <v>607.110714</v>
      </c>
      <c r="N267" s="274">
        <v>955.76556</v>
      </c>
      <c r="O267" s="274">
        <v>939.73095684</v>
      </c>
      <c r="P267" s="274">
        <v>939.73095684</v>
      </c>
      <c r="Q267" s="274">
        <v>939.73095684</v>
      </c>
      <c r="R267" s="305">
        <v>939.73095684</v>
      </c>
      <c r="S267" s="305"/>
      <c r="T267" s="305"/>
      <c r="U267" s="305"/>
      <c r="V267" s="273"/>
      <c r="W267" s="273"/>
      <c r="X267" s="273"/>
      <c r="Y267" s="273"/>
    </row>
    <row r="268" spans="1:25" ht="12.75">
      <c r="A268" s="304">
        <v>858</v>
      </c>
      <c r="B268" s="262" t="s">
        <v>399</v>
      </c>
      <c r="C268" s="260">
        <v>1</v>
      </c>
      <c r="D268" s="274">
        <v>159903.23216999997</v>
      </c>
      <c r="E268" s="274">
        <v>163421.68058286252</v>
      </c>
      <c r="F268" s="274">
        <v>173028.7494815743</v>
      </c>
      <c r="G268" s="274">
        <v>83359.76422047675</v>
      </c>
      <c r="H268" s="274">
        <v>79286.42046069399</v>
      </c>
      <c r="I268" s="274">
        <v>7651.579320000001</v>
      </c>
      <c r="J268" s="274">
        <v>8010.325505</v>
      </c>
      <c r="K268" s="274">
        <v>8676.918172</v>
      </c>
      <c r="L268" s="274">
        <v>6697.232958</v>
      </c>
      <c r="M268" s="274">
        <v>6781.474882</v>
      </c>
      <c r="N268" s="274">
        <v>9985.06311</v>
      </c>
      <c r="O268" s="274">
        <v>10199.9324373432</v>
      </c>
      <c r="P268" s="274">
        <v>10199.9324373432</v>
      </c>
      <c r="Q268" s="274">
        <v>10199.9324373432</v>
      </c>
      <c r="R268" s="305">
        <v>10199.9324373432</v>
      </c>
      <c r="S268" s="305"/>
      <c r="T268" s="305"/>
      <c r="U268" s="305"/>
      <c r="V268" s="273"/>
      <c r="W268" s="273"/>
      <c r="X268" s="273"/>
      <c r="Y268" s="273"/>
    </row>
    <row r="269" spans="1:25" ht="12.75">
      <c r="A269" s="304">
        <v>859</v>
      </c>
      <c r="B269" s="262" t="s">
        <v>400</v>
      </c>
      <c r="C269" s="260">
        <v>17</v>
      </c>
      <c r="D269" s="274">
        <v>16777.45164</v>
      </c>
      <c r="E269" s="274">
        <v>17644.584628896027</v>
      </c>
      <c r="F269" s="274">
        <v>18583.359281788078</v>
      </c>
      <c r="G269" s="274">
        <v>9781.847314736242</v>
      </c>
      <c r="H269" s="274">
        <v>9570.825701036283</v>
      </c>
      <c r="I269" s="274">
        <v>505.47896000000003</v>
      </c>
      <c r="J269" s="274">
        <v>407.24735000000004</v>
      </c>
      <c r="K269" s="274">
        <v>440.770166</v>
      </c>
      <c r="L269" s="274">
        <v>340.206099</v>
      </c>
      <c r="M269" s="274">
        <v>344.4854210000001</v>
      </c>
      <c r="N269" s="274">
        <v>884.69512</v>
      </c>
      <c r="O269" s="274">
        <v>908.6758237536001</v>
      </c>
      <c r="P269" s="274">
        <v>908.6758237536001</v>
      </c>
      <c r="Q269" s="274">
        <v>908.6758237536001</v>
      </c>
      <c r="R269" s="305">
        <v>908.6758237536001</v>
      </c>
      <c r="S269" s="305"/>
      <c r="T269" s="305"/>
      <c r="U269" s="305"/>
      <c r="V269" s="273"/>
      <c r="W269" s="273"/>
      <c r="X269" s="273"/>
      <c r="Y269" s="273"/>
    </row>
    <row r="270" spans="1:25" ht="12.75">
      <c r="A270" s="304">
        <v>886</v>
      </c>
      <c r="B270" s="262" t="s">
        <v>401</v>
      </c>
      <c r="C270" s="260">
        <v>4</v>
      </c>
      <c r="D270" s="274">
        <v>44112.471840000006</v>
      </c>
      <c r="E270" s="274">
        <v>45274.026979431415</v>
      </c>
      <c r="F270" s="274">
        <v>46660.59512053383</v>
      </c>
      <c r="G270" s="274">
        <v>24055.36499197135</v>
      </c>
      <c r="H270" s="274">
        <v>23614.713527087388</v>
      </c>
      <c r="I270" s="274">
        <v>1822.50792</v>
      </c>
      <c r="J270" s="274">
        <v>2376.8663540000002</v>
      </c>
      <c r="K270" s="274">
        <v>2580.3345759999997</v>
      </c>
      <c r="L270" s="274">
        <v>1991.617464</v>
      </c>
      <c r="M270" s="274">
        <v>2016.6692559999997</v>
      </c>
      <c r="N270" s="274">
        <v>2595.56904</v>
      </c>
      <c r="O270" s="274">
        <v>2546.4145720079996</v>
      </c>
      <c r="P270" s="274">
        <v>2546.4145720079996</v>
      </c>
      <c r="Q270" s="274">
        <v>2546.4145720079996</v>
      </c>
      <c r="R270" s="305">
        <v>2546.4145720079996</v>
      </c>
      <c r="S270" s="305"/>
      <c r="T270" s="305"/>
      <c r="U270" s="305"/>
      <c r="V270" s="273"/>
      <c r="W270" s="273"/>
      <c r="X270" s="273"/>
      <c r="Y270" s="273"/>
    </row>
    <row r="271" spans="1:25" ht="12.75">
      <c r="A271" s="304">
        <v>887</v>
      </c>
      <c r="B271" s="262" t="s">
        <v>402</v>
      </c>
      <c r="C271" s="260">
        <v>6</v>
      </c>
      <c r="D271" s="274">
        <v>13132.130220000001</v>
      </c>
      <c r="E271" s="274">
        <v>13779.072617186146</v>
      </c>
      <c r="F271" s="274">
        <v>13923.96222666527</v>
      </c>
      <c r="G271" s="274">
        <v>7593.225349413206</v>
      </c>
      <c r="H271" s="274">
        <v>7509.092907992538</v>
      </c>
      <c r="I271" s="274">
        <v>923.4137900000001</v>
      </c>
      <c r="J271" s="274">
        <v>830.933486</v>
      </c>
      <c r="K271" s="274">
        <v>894.892016</v>
      </c>
      <c r="L271" s="274">
        <v>690.717624</v>
      </c>
      <c r="M271" s="274">
        <v>699.405896</v>
      </c>
      <c r="N271" s="274">
        <v>1475.3633799999998</v>
      </c>
      <c r="O271" s="274">
        <v>1690.164651444</v>
      </c>
      <c r="P271" s="274">
        <v>1690.164651444</v>
      </c>
      <c r="Q271" s="274">
        <v>1690.164651444</v>
      </c>
      <c r="R271" s="305">
        <v>1690.164651444</v>
      </c>
      <c r="S271" s="305"/>
      <c r="T271" s="305"/>
      <c r="U271" s="305"/>
      <c r="V271" s="273"/>
      <c r="W271" s="273"/>
      <c r="X271" s="273"/>
      <c r="Y271" s="273"/>
    </row>
    <row r="272" spans="1:25" ht="12.75">
      <c r="A272" s="304">
        <v>889</v>
      </c>
      <c r="B272" s="262" t="s">
        <v>403</v>
      </c>
      <c r="C272" s="260">
        <v>17</v>
      </c>
      <c r="D272" s="274">
        <v>6762.62787</v>
      </c>
      <c r="E272" s="274">
        <v>6689.783903583952</v>
      </c>
      <c r="F272" s="274">
        <v>6983.104260549927</v>
      </c>
      <c r="G272" s="274">
        <v>3606.2341297081666</v>
      </c>
      <c r="H272" s="274">
        <v>3517.1217238928693</v>
      </c>
      <c r="I272" s="274">
        <v>1011.2342</v>
      </c>
      <c r="J272" s="274">
        <v>858.6213419999999</v>
      </c>
      <c r="K272" s="274">
        <v>928.8525579999998</v>
      </c>
      <c r="L272" s="274">
        <v>716.929887</v>
      </c>
      <c r="M272" s="274">
        <v>725.9478730000001</v>
      </c>
      <c r="N272" s="274">
        <v>2625.43588</v>
      </c>
      <c r="O272" s="274">
        <v>2647.2884592</v>
      </c>
      <c r="P272" s="274">
        <v>2647.2884592</v>
      </c>
      <c r="Q272" s="274">
        <v>2647.2884592</v>
      </c>
      <c r="R272" s="305">
        <v>2647.2884592</v>
      </c>
      <c r="S272" s="305"/>
      <c r="T272" s="305"/>
      <c r="U272" s="305"/>
      <c r="V272" s="273"/>
      <c r="W272" s="273"/>
      <c r="X272" s="273"/>
      <c r="Y272" s="273"/>
    </row>
    <row r="273" spans="1:25" ht="12.75">
      <c r="A273" s="304">
        <v>890</v>
      </c>
      <c r="B273" s="262" t="s">
        <v>404</v>
      </c>
      <c r="C273" s="260">
        <v>19</v>
      </c>
      <c r="D273" s="274">
        <v>3842.76479</v>
      </c>
      <c r="E273" s="274">
        <v>3992.6802202819285</v>
      </c>
      <c r="F273" s="274">
        <v>4101.804145024654</v>
      </c>
      <c r="G273" s="274">
        <v>2198.932144411014</v>
      </c>
      <c r="H273" s="274">
        <v>2151.0738489622613</v>
      </c>
      <c r="I273" s="274">
        <v>159.77364</v>
      </c>
      <c r="J273" s="274">
        <v>151.03099799999998</v>
      </c>
      <c r="K273" s="274">
        <v>163.867644</v>
      </c>
      <c r="L273" s="274">
        <v>126.48036600000002</v>
      </c>
      <c r="M273" s="274">
        <v>128.071314</v>
      </c>
      <c r="N273" s="274">
        <v>633.12625</v>
      </c>
      <c r="O273" s="274">
        <v>631.3160577479999</v>
      </c>
      <c r="P273" s="274">
        <v>631.3160577479999</v>
      </c>
      <c r="Q273" s="274">
        <v>631.3160577479999</v>
      </c>
      <c r="R273" s="305">
        <v>631.3160577479999</v>
      </c>
      <c r="S273" s="305"/>
      <c r="T273" s="305"/>
      <c r="U273" s="305"/>
      <c r="V273" s="273"/>
      <c r="W273" s="273"/>
      <c r="X273" s="273"/>
      <c r="Y273" s="273"/>
    </row>
    <row r="274" spans="1:25" ht="12.75">
      <c r="A274" s="304">
        <v>892</v>
      </c>
      <c r="B274" s="262" t="s">
        <v>405</v>
      </c>
      <c r="C274" s="260">
        <v>13</v>
      </c>
      <c r="D274" s="274">
        <v>9653.08035</v>
      </c>
      <c r="E274" s="274">
        <v>9869.997540441102</v>
      </c>
      <c r="F274" s="274">
        <v>10211.396744469272</v>
      </c>
      <c r="G274" s="274">
        <v>5260.956816190184</v>
      </c>
      <c r="H274" s="274">
        <v>5150.964195696101</v>
      </c>
      <c r="I274" s="274">
        <v>600.5089</v>
      </c>
      <c r="J274" s="274">
        <v>536.1969419999999</v>
      </c>
      <c r="K274" s="274">
        <v>580.8382179999999</v>
      </c>
      <c r="L274" s="274">
        <v>448.316877</v>
      </c>
      <c r="M274" s="274">
        <v>453.956083</v>
      </c>
      <c r="N274" s="274">
        <v>594.93267</v>
      </c>
      <c r="O274" s="274">
        <v>630.1626192456</v>
      </c>
      <c r="P274" s="274">
        <v>630.1626192456</v>
      </c>
      <c r="Q274" s="274">
        <v>630.1626192456</v>
      </c>
      <c r="R274" s="305">
        <v>630.1626192456</v>
      </c>
      <c r="S274" s="305"/>
      <c r="T274" s="305"/>
      <c r="U274" s="305"/>
      <c r="V274" s="273"/>
      <c r="W274" s="273"/>
      <c r="X274" s="273"/>
      <c r="Y274" s="273"/>
    </row>
    <row r="275" spans="1:25" ht="12.75">
      <c r="A275" s="304">
        <v>893</v>
      </c>
      <c r="B275" s="262" t="s">
        <v>406</v>
      </c>
      <c r="C275" s="260">
        <v>15</v>
      </c>
      <c r="D275" s="274">
        <v>21336.153469999997</v>
      </c>
      <c r="E275" s="274">
        <v>22296.387492123748</v>
      </c>
      <c r="F275" s="274">
        <v>23478.00880755426</v>
      </c>
      <c r="G275" s="274">
        <v>12669.335417966884</v>
      </c>
      <c r="H275" s="274">
        <v>12405.366725340955</v>
      </c>
      <c r="I275" s="274">
        <v>3444.46996</v>
      </c>
      <c r="J275" s="274">
        <v>2754.1413589999997</v>
      </c>
      <c r="K275" s="274">
        <v>2990.4090939999996</v>
      </c>
      <c r="L275" s="274">
        <v>2308.131291</v>
      </c>
      <c r="M275" s="274">
        <v>2337.164389</v>
      </c>
      <c r="N275" s="274">
        <v>2187.68432</v>
      </c>
      <c r="O275" s="274">
        <v>2395.6929609119998</v>
      </c>
      <c r="P275" s="274">
        <v>2395.6929609119998</v>
      </c>
      <c r="Q275" s="274">
        <v>2395.6929609119998</v>
      </c>
      <c r="R275" s="305">
        <v>2395.6929609119998</v>
      </c>
      <c r="S275" s="305"/>
      <c r="T275" s="305"/>
      <c r="U275" s="305"/>
      <c r="V275" s="273"/>
      <c r="W275" s="273"/>
      <c r="X275" s="273"/>
      <c r="Y275" s="273"/>
    </row>
    <row r="276" spans="1:25" ht="12.75">
      <c r="A276" s="304">
        <v>895</v>
      </c>
      <c r="B276" s="262" t="s">
        <v>407</v>
      </c>
      <c r="C276" s="260">
        <v>2</v>
      </c>
      <c r="D276" s="274">
        <v>52759.60982</v>
      </c>
      <c r="E276" s="274">
        <v>57229.52867195567</v>
      </c>
      <c r="F276" s="274">
        <v>57353.9938794817</v>
      </c>
      <c r="G276" s="274">
        <v>29964.57857023836</v>
      </c>
      <c r="H276" s="274">
        <v>29212.49961385515</v>
      </c>
      <c r="I276" s="274">
        <v>4223.23129</v>
      </c>
      <c r="J276" s="274">
        <v>3799.0610199999996</v>
      </c>
      <c r="K276" s="274">
        <v>4111.7783340000005</v>
      </c>
      <c r="L276" s="274">
        <v>3173.654151</v>
      </c>
      <c r="M276" s="274">
        <v>3213.574329</v>
      </c>
      <c r="N276" s="274">
        <v>4828.24837</v>
      </c>
      <c r="O276" s="274">
        <v>4982.7441293544</v>
      </c>
      <c r="P276" s="274">
        <v>4982.7441293544</v>
      </c>
      <c r="Q276" s="274">
        <v>4982.7441293544</v>
      </c>
      <c r="R276" s="305">
        <v>4982.7441293544</v>
      </c>
      <c r="S276" s="305"/>
      <c r="T276" s="305"/>
      <c r="U276" s="305"/>
      <c r="V276" s="273"/>
      <c r="W276" s="273"/>
      <c r="X276" s="273"/>
      <c r="Y276" s="273"/>
    </row>
    <row r="277" spans="1:25" ht="12.75">
      <c r="A277" s="304">
        <v>785</v>
      </c>
      <c r="B277" s="262" t="s">
        <v>408</v>
      </c>
      <c r="C277" s="260">
        <v>18</v>
      </c>
      <c r="D277" s="274">
        <v>7949.70691</v>
      </c>
      <c r="E277" s="274">
        <v>7812.319024394422</v>
      </c>
      <c r="F277" s="274">
        <v>8238.778012138906</v>
      </c>
      <c r="G277" s="274">
        <v>4429.479536866639</v>
      </c>
      <c r="H277" s="274">
        <v>4339.5960512249185</v>
      </c>
      <c r="I277" s="274">
        <v>693.1730500000001</v>
      </c>
      <c r="J277" s="274">
        <v>631.771761</v>
      </c>
      <c r="K277" s="274">
        <v>683.539724</v>
      </c>
      <c r="L277" s="274">
        <v>527.5864859999999</v>
      </c>
      <c r="M277" s="274">
        <v>534.222794</v>
      </c>
      <c r="N277" s="274">
        <v>2688.66005</v>
      </c>
      <c r="O277" s="274">
        <v>2662.3494039887996</v>
      </c>
      <c r="P277" s="274">
        <v>2662.3494039887996</v>
      </c>
      <c r="Q277" s="274">
        <v>2662.3494039887996</v>
      </c>
      <c r="R277" s="305">
        <v>2662.3494039887996</v>
      </c>
      <c r="S277" s="305"/>
      <c r="T277" s="305"/>
      <c r="U277" s="305"/>
      <c r="V277" s="273"/>
      <c r="W277" s="273"/>
      <c r="X277" s="273"/>
      <c r="Y277" s="273"/>
    </row>
    <row r="278" spans="1:25" ht="12.75">
      <c r="A278" s="304">
        <v>905</v>
      </c>
      <c r="B278" s="262" t="s">
        <v>409</v>
      </c>
      <c r="C278" s="260">
        <v>15</v>
      </c>
      <c r="D278" s="274">
        <v>227400.30024</v>
      </c>
      <c r="E278" s="274">
        <v>230260.29294384483</v>
      </c>
      <c r="F278" s="274">
        <v>243021.78191286986</v>
      </c>
      <c r="G278" s="274">
        <v>121710.53998060682</v>
      </c>
      <c r="H278" s="274">
        <v>117583.79446513287</v>
      </c>
      <c r="I278" s="274">
        <v>32031.17906</v>
      </c>
      <c r="J278" s="274">
        <v>24729.683449</v>
      </c>
      <c r="K278" s="274">
        <v>26639.616768</v>
      </c>
      <c r="L278" s="274">
        <v>20561.645951999995</v>
      </c>
      <c r="M278" s="274">
        <v>20820.283007999995</v>
      </c>
      <c r="N278" s="274">
        <v>20281.35556</v>
      </c>
      <c r="O278" s="274">
        <v>20844.378400872</v>
      </c>
      <c r="P278" s="274">
        <v>20844.378400872</v>
      </c>
      <c r="Q278" s="274">
        <v>20844.378400872</v>
      </c>
      <c r="R278" s="305">
        <v>20844.378400872</v>
      </c>
      <c r="S278" s="305"/>
      <c r="T278" s="305"/>
      <c r="U278" s="305"/>
      <c r="V278" s="273"/>
      <c r="W278" s="273"/>
      <c r="X278" s="273"/>
      <c r="Y278" s="273"/>
    </row>
    <row r="279" spans="1:25" ht="12.75">
      <c r="A279" s="304">
        <v>908</v>
      </c>
      <c r="B279" s="262" t="s">
        <v>410</v>
      </c>
      <c r="C279" s="260">
        <v>6</v>
      </c>
      <c r="D279" s="274">
        <v>70685.09506</v>
      </c>
      <c r="E279" s="274">
        <v>70105.77254396475</v>
      </c>
      <c r="F279" s="274">
        <v>74328.42519307164</v>
      </c>
      <c r="G279" s="274">
        <v>35692.26571757009</v>
      </c>
      <c r="H279" s="274">
        <v>34686.47024073802</v>
      </c>
      <c r="I279" s="274">
        <v>4606.0847699999995</v>
      </c>
      <c r="J279" s="274">
        <v>4477.763153999999</v>
      </c>
      <c r="K279" s="274">
        <v>4855.976405999999</v>
      </c>
      <c r="L279" s="274">
        <v>3748.0594589999996</v>
      </c>
      <c r="M279" s="274">
        <v>3795.2048609999997</v>
      </c>
      <c r="N279" s="274">
        <v>4794.13267</v>
      </c>
      <c r="O279" s="274">
        <v>4910.642793204</v>
      </c>
      <c r="P279" s="274">
        <v>4910.642793204</v>
      </c>
      <c r="Q279" s="274">
        <v>4910.642793204</v>
      </c>
      <c r="R279" s="305">
        <v>4910.642793204</v>
      </c>
      <c r="S279" s="305"/>
      <c r="T279" s="305"/>
      <c r="U279" s="305"/>
      <c r="V279" s="273"/>
      <c r="W279" s="273"/>
      <c r="X279" s="273"/>
      <c r="Y279" s="273"/>
    </row>
    <row r="280" spans="1:25" ht="12.75">
      <c r="A280" s="304">
        <v>911</v>
      </c>
      <c r="B280" s="262" t="s">
        <v>411</v>
      </c>
      <c r="C280" s="260">
        <v>12</v>
      </c>
      <c r="D280" s="274">
        <v>5275.92324</v>
      </c>
      <c r="E280" s="274">
        <v>5378.6609056022235</v>
      </c>
      <c r="F280" s="274">
        <v>5440.582645944453</v>
      </c>
      <c r="G280" s="274">
        <v>2870.2967715531295</v>
      </c>
      <c r="H280" s="274">
        <v>2827.6600932086717</v>
      </c>
      <c r="I280" s="274">
        <v>1051.4216299999998</v>
      </c>
      <c r="J280" s="274">
        <v>833.0141960000002</v>
      </c>
      <c r="K280" s="274">
        <v>901.337756</v>
      </c>
      <c r="L280" s="274">
        <v>695.692734</v>
      </c>
      <c r="M280" s="274">
        <v>704.4435860000001</v>
      </c>
      <c r="N280" s="274">
        <v>390.39532</v>
      </c>
      <c r="O280" s="274">
        <v>385.904580768</v>
      </c>
      <c r="P280" s="274">
        <v>385.904580768</v>
      </c>
      <c r="Q280" s="274">
        <v>385.904580768</v>
      </c>
      <c r="R280" s="305">
        <v>385.904580768</v>
      </c>
      <c r="S280" s="305"/>
      <c r="T280" s="305"/>
      <c r="U280" s="305"/>
      <c r="V280" s="273"/>
      <c r="W280" s="273"/>
      <c r="X280" s="273"/>
      <c r="Y280" s="273"/>
    </row>
    <row r="281" spans="1:25" ht="12.75">
      <c r="A281" s="304">
        <v>92</v>
      </c>
      <c r="B281" s="262" t="s">
        <v>412</v>
      </c>
      <c r="C281" s="260">
        <v>1</v>
      </c>
      <c r="D281" s="274">
        <v>818919.86572</v>
      </c>
      <c r="E281" s="274">
        <v>845187.1052665104</v>
      </c>
      <c r="F281" s="274">
        <v>888328.9968112393</v>
      </c>
      <c r="G281" s="274">
        <v>416844.47763084684</v>
      </c>
      <c r="H281" s="274">
        <v>397101.345486195</v>
      </c>
      <c r="I281" s="274">
        <v>80698.97047</v>
      </c>
      <c r="J281" s="274">
        <v>77953.48418900001</v>
      </c>
      <c r="K281" s="274">
        <v>84522.68930200001</v>
      </c>
      <c r="L281" s="274">
        <v>65238.386403000004</v>
      </c>
      <c r="M281" s="274">
        <v>66058.995037</v>
      </c>
      <c r="N281" s="274">
        <v>77328.59834</v>
      </c>
      <c r="O281" s="274">
        <v>80223.1755873312</v>
      </c>
      <c r="P281" s="274">
        <v>80223.1755873312</v>
      </c>
      <c r="Q281" s="274">
        <v>80223.1755873312</v>
      </c>
      <c r="R281" s="305">
        <v>80223.1755873312</v>
      </c>
      <c r="S281" s="305"/>
      <c r="T281" s="305"/>
      <c r="U281" s="305"/>
      <c r="V281" s="273"/>
      <c r="W281" s="273"/>
      <c r="X281" s="273"/>
      <c r="Y281" s="273"/>
    </row>
    <row r="282" spans="1:25" ht="12.75">
      <c r="A282" s="304">
        <v>915</v>
      </c>
      <c r="B282" s="262" t="s">
        <v>413</v>
      </c>
      <c r="C282" s="260">
        <v>11</v>
      </c>
      <c r="D282" s="274">
        <v>69889.28525</v>
      </c>
      <c r="E282" s="274">
        <v>70496.86113950513</v>
      </c>
      <c r="F282" s="274">
        <v>73191.73855644096</v>
      </c>
      <c r="G282" s="274">
        <v>37369.1503024873</v>
      </c>
      <c r="H282" s="274">
        <v>36772.21169855765</v>
      </c>
      <c r="I282" s="274">
        <v>4307.73837</v>
      </c>
      <c r="J282" s="274">
        <v>4035.518625</v>
      </c>
      <c r="K282" s="274">
        <v>4372.04306</v>
      </c>
      <c r="L282" s="274">
        <v>3374.5380900000005</v>
      </c>
      <c r="M282" s="274">
        <v>3416.98511</v>
      </c>
      <c r="N282" s="274">
        <v>5754.72903</v>
      </c>
      <c r="O282" s="274">
        <v>5740.21128858</v>
      </c>
      <c r="P282" s="274">
        <v>5740.21128858</v>
      </c>
      <c r="Q282" s="274">
        <v>5740.21128858</v>
      </c>
      <c r="R282" s="305">
        <v>5740.21128858</v>
      </c>
      <c r="S282" s="305"/>
      <c r="T282" s="305"/>
      <c r="U282" s="305"/>
      <c r="V282" s="273"/>
      <c r="W282" s="273"/>
      <c r="X282" s="273"/>
      <c r="Y282" s="273"/>
    </row>
    <row r="283" spans="1:25" ht="12.75">
      <c r="A283" s="304">
        <v>918</v>
      </c>
      <c r="B283" s="262" t="s">
        <v>414</v>
      </c>
      <c r="C283" s="260">
        <v>2</v>
      </c>
      <c r="D283" s="274">
        <v>7006.30681</v>
      </c>
      <c r="E283" s="274">
        <v>7354.103497602959</v>
      </c>
      <c r="F283" s="274">
        <v>7573.039232774077</v>
      </c>
      <c r="G283" s="274">
        <v>4340.5931729629565</v>
      </c>
      <c r="H283" s="274">
        <v>4246.240464360127</v>
      </c>
      <c r="I283" s="274">
        <v>386.21983</v>
      </c>
      <c r="J283" s="274">
        <v>467.500052</v>
      </c>
      <c r="K283" s="274">
        <v>507.43567999999993</v>
      </c>
      <c r="L283" s="274">
        <v>391.66151999999994</v>
      </c>
      <c r="M283" s="274">
        <v>396.58808</v>
      </c>
      <c r="N283" s="274">
        <v>735.38711</v>
      </c>
      <c r="O283" s="274">
        <v>760.972351824</v>
      </c>
      <c r="P283" s="274">
        <v>760.972351824</v>
      </c>
      <c r="Q283" s="274">
        <v>760.972351824</v>
      </c>
      <c r="R283" s="305">
        <v>760.972351824</v>
      </c>
      <c r="S283" s="305"/>
      <c r="T283" s="305"/>
      <c r="U283" s="305"/>
      <c r="V283" s="273"/>
      <c r="W283" s="273"/>
      <c r="X283" s="273"/>
      <c r="Y283" s="273"/>
    </row>
    <row r="284" spans="1:25" ht="12.75">
      <c r="A284" s="304">
        <v>921</v>
      </c>
      <c r="B284" s="262" t="s">
        <v>415</v>
      </c>
      <c r="C284" s="260">
        <v>11</v>
      </c>
      <c r="D284" s="274">
        <v>4820.888019999999</v>
      </c>
      <c r="E284" s="274">
        <v>5025.759805549627</v>
      </c>
      <c r="F284" s="274">
        <v>5169.97296695892</v>
      </c>
      <c r="G284" s="274">
        <v>2780.8333856025206</v>
      </c>
      <c r="H284" s="274">
        <v>2757.9112870690597</v>
      </c>
      <c r="I284" s="274">
        <v>600.3606500000001</v>
      </c>
      <c r="J284" s="274">
        <v>569.174183</v>
      </c>
      <c r="K284" s="274">
        <v>617.139126</v>
      </c>
      <c r="L284" s="274">
        <v>476.335539</v>
      </c>
      <c r="M284" s="274">
        <v>482.32718100000005</v>
      </c>
      <c r="N284" s="274">
        <v>521.23885</v>
      </c>
      <c r="O284" s="274">
        <v>544.63792626</v>
      </c>
      <c r="P284" s="274">
        <v>544.63792626</v>
      </c>
      <c r="Q284" s="274">
        <v>544.63792626</v>
      </c>
      <c r="R284" s="305">
        <v>544.63792626</v>
      </c>
      <c r="S284" s="305"/>
      <c r="T284" s="305"/>
      <c r="U284" s="305"/>
      <c r="V284" s="273"/>
      <c r="W284" s="273"/>
      <c r="X284" s="273"/>
      <c r="Y284" s="273"/>
    </row>
    <row r="285" spans="1:25" ht="12.75">
      <c r="A285" s="304">
        <v>922</v>
      </c>
      <c r="B285" s="262" t="s">
        <v>416</v>
      </c>
      <c r="C285" s="260">
        <v>6</v>
      </c>
      <c r="D285" s="305">
        <v>15003.13111</v>
      </c>
      <c r="E285" s="305">
        <v>15048.018649782987</v>
      </c>
      <c r="F285" s="274">
        <v>15648.333056203996</v>
      </c>
      <c r="G285" s="305">
        <v>8535.397843083323</v>
      </c>
      <c r="H285" s="305">
        <v>8299.971295435485</v>
      </c>
      <c r="I285" s="305">
        <v>507.49083</v>
      </c>
      <c r="J285" s="305">
        <v>521.182719</v>
      </c>
      <c r="K285" s="305">
        <v>565.432508</v>
      </c>
      <c r="L285" s="305">
        <v>436.42606199999994</v>
      </c>
      <c r="M285" s="305">
        <v>441.91569799999996</v>
      </c>
      <c r="N285" s="305">
        <v>1251.15472</v>
      </c>
      <c r="O285" s="305">
        <v>1228.1764964640001</v>
      </c>
      <c r="P285" s="305">
        <v>1228.1764964640001</v>
      </c>
      <c r="Q285" s="305">
        <v>1228.1764964640001</v>
      </c>
      <c r="R285" s="305">
        <v>1228.1764964640001</v>
      </c>
      <c r="S285" s="305"/>
      <c r="T285" s="305"/>
      <c r="U285" s="305"/>
      <c r="V285" s="273"/>
      <c r="W285" s="273"/>
      <c r="X285" s="273"/>
      <c r="Y285" s="273"/>
    </row>
    <row r="286" spans="1:25" ht="12.75">
      <c r="A286" s="304">
        <v>924</v>
      </c>
      <c r="B286" s="262" t="s">
        <v>417</v>
      </c>
      <c r="C286" s="260">
        <v>16</v>
      </c>
      <c r="D286" s="305">
        <v>9036.78793</v>
      </c>
      <c r="E286" s="305">
        <v>9135.081443762238</v>
      </c>
      <c r="F286" s="274">
        <v>9447.12211645787</v>
      </c>
      <c r="G286" s="305">
        <v>5242.504326459961</v>
      </c>
      <c r="H286" s="305">
        <v>5175.483383480618</v>
      </c>
      <c r="I286" s="305">
        <v>808.6484499999999</v>
      </c>
      <c r="J286" s="305">
        <v>620.165604</v>
      </c>
      <c r="K286" s="305">
        <v>672.518312</v>
      </c>
      <c r="L286" s="305">
        <v>519.0796680000001</v>
      </c>
      <c r="M286" s="305">
        <v>525.6089720000001</v>
      </c>
      <c r="N286" s="305">
        <v>672.13589</v>
      </c>
      <c r="O286" s="305">
        <v>693.4011771119999</v>
      </c>
      <c r="P286" s="305">
        <v>693.4011771119999</v>
      </c>
      <c r="Q286" s="305">
        <v>693.4011771119999</v>
      </c>
      <c r="R286" s="305">
        <v>693.4011771119999</v>
      </c>
      <c r="S286" s="305"/>
      <c r="T286" s="305"/>
      <c r="U286" s="305"/>
      <c r="V286" s="273"/>
      <c r="W286" s="273"/>
      <c r="X286" s="273"/>
      <c r="Y286" s="273"/>
    </row>
    <row r="287" spans="1:25" ht="12.75">
      <c r="A287" s="304">
        <v>925</v>
      </c>
      <c r="B287" s="262" t="s">
        <v>418</v>
      </c>
      <c r="C287" s="260">
        <v>11</v>
      </c>
      <c r="D287" s="305">
        <v>9562.72252</v>
      </c>
      <c r="E287" s="305">
        <v>9503.150571010981</v>
      </c>
      <c r="F287" s="274">
        <v>9905.004244576132</v>
      </c>
      <c r="G287" s="305">
        <v>5250.059896369394</v>
      </c>
      <c r="H287" s="305">
        <v>5151.289383269303</v>
      </c>
      <c r="I287" s="305">
        <v>3015.84124</v>
      </c>
      <c r="J287" s="305">
        <v>3268.401321</v>
      </c>
      <c r="K287" s="305">
        <v>3552.562288</v>
      </c>
      <c r="L287" s="305">
        <v>2742.0262319999997</v>
      </c>
      <c r="M287" s="305">
        <v>2776.517128</v>
      </c>
      <c r="N287" s="305">
        <v>814.5853199999999</v>
      </c>
      <c r="O287" s="305">
        <v>880.0509283080002</v>
      </c>
      <c r="P287" s="305">
        <v>880.0509283080002</v>
      </c>
      <c r="Q287" s="305">
        <v>880.0509283080002</v>
      </c>
      <c r="R287" s="305">
        <v>880.0509283080002</v>
      </c>
      <c r="S287" s="305"/>
      <c r="T287" s="305"/>
      <c r="U287" s="305"/>
      <c r="V287" s="273"/>
      <c r="W287" s="273"/>
      <c r="X287" s="273"/>
      <c r="Y287" s="273"/>
    </row>
    <row r="288" spans="1:25" ht="12.75">
      <c r="A288" s="304">
        <v>927</v>
      </c>
      <c r="B288" s="262" t="s">
        <v>419</v>
      </c>
      <c r="C288" s="260">
        <v>1</v>
      </c>
      <c r="D288" s="305">
        <v>114643.58417</v>
      </c>
      <c r="E288" s="305">
        <v>116674.85024337958</v>
      </c>
      <c r="F288" s="274">
        <v>122607.53259533989</v>
      </c>
      <c r="G288" s="305">
        <v>62466.63296219293</v>
      </c>
      <c r="H288" s="305">
        <v>60370.02341588654</v>
      </c>
      <c r="I288" s="305">
        <v>3710.3828900000003</v>
      </c>
      <c r="J288" s="305">
        <v>3700.244059</v>
      </c>
      <c r="K288" s="305">
        <v>4001.394882</v>
      </c>
      <c r="L288" s="305">
        <v>3088.455273</v>
      </c>
      <c r="M288" s="305">
        <v>3127.3037669999994</v>
      </c>
      <c r="N288" s="305">
        <v>7451.69427</v>
      </c>
      <c r="O288" s="305">
        <v>7134.938557896</v>
      </c>
      <c r="P288" s="305">
        <v>7134.938557896</v>
      </c>
      <c r="Q288" s="305">
        <v>7134.938557896</v>
      </c>
      <c r="R288" s="305">
        <v>7134.938557896</v>
      </c>
      <c r="S288" s="305"/>
      <c r="T288" s="305"/>
      <c r="U288" s="305"/>
      <c r="V288" s="273"/>
      <c r="W288" s="273"/>
      <c r="X288" s="273"/>
      <c r="Y288" s="273"/>
    </row>
    <row r="289" spans="1:25" ht="12.75">
      <c r="A289" s="304">
        <v>931</v>
      </c>
      <c r="B289" s="262" t="s">
        <v>420</v>
      </c>
      <c r="C289" s="260">
        <v>13</v>
      </c>
      <c r="D289" s="305">
        <v>17401.74068</v>
      </c>
      <c r="E289" s="305">
        <v>16643.544942513003</v>
      </c>
      <c r="F289" s="274">
        <v>17689.115943942037</v>
      </c>
      <c r="G289" s="305">
        <v>9235.218741742487</v>
      </c>
      <c r="H289" s="305">
        <v>9076.445439624016</v>
      </c>
      <c r="I289" s="305">
        <v>2334.10477</v>
      </c>
      <c r="J289" s="305">
        <v>2289.764041</v>
      </c>
      <c r="K289" s="305">
        <v>2481.2646440000003</v>
      </c>
      <c r="L289" s="305">
        <v>1915.1508660000002</v>
      </c>
      <c r="M289" s="305">
        <v>1939.240814</v>
      </c>
      <c r="N289" s="305">
        <v>1898.18623</v>
      </c>
      <c r="O289" s="305">
        <v>1985.1330348672002</v>
      </c>
      <c r="P289" s="305">
        <v>1985.1330348672002</v>
      </c>
      <c r="Q289" s="305">
        <v>1985.1330348672002</v>
      </c>
      <c r="R289" s="305">
        <v>1985.1330348672002</v>
      </c>
      <c r="S289" s="305"/>
      <c r="T289" s="305"/>
      <c r="U289" s="305"/>
      <c r="V289" s="273"/>
      <c r="W289" s="273"/>
      <c r="X289" s="273"/>
      <c r="Y289" s="273"/>
    </row>
    <row r="290" spans="1:25" ht="12.75">
      <c r="A290" s="304">
        <v>934</v>
      </c>
      <c r="B290" s="262" t="s">
        <v>421</v>
      </c>
      <c r="C290" s="260">
        <v>14</v>
      </c>
      <c r="D290" s="305">
        <v>9088.370570000001</v>
      </c>
      <c r="E290" s="305">
        <v>9001.053178477683</v>
      </c>
      <c r="F290" s="274">
        <v>9425.762262586735</v>
      </c>
      <c r="G290" s="305">
        <v>5203.652903474216</v>
      </c>
      <c r="H290" s="305">
        <v>5134.6135200789395</v>
      </c>
      <c r="I290" s="305">
        <v>648.5434399999999</v>
      </c>
      <c r="J290" s="305">
        <v>606.897658</v>
      </c>
      <c r="K290" s="305">
        <v>652.91185</v>
      </c>
      <c r="L290" s="305">
        <v>503.946525</v>
      </c>
      <c r="M290" s="305">
        <v>510.28547499999996</v>
      </c>
      <c r="N290" s="305">
        <v>905.38962</v>
      </c>
      <c r="O290" s="305">
        <v>798.464782308</v>
      </c>
      <c r="P290" s="305">
        <v>798.464782308</v>
      </c>
      <c r="Q290" s="305">
        <v>798.464782308</v>
      </c>
      <c r="R290" s="305">
        <v>798.464782308</v>
      </c>
      <c r="S290" s="305"/>
      <c r="T290" s="305"/>
      <c r="U290" s="305"/>
      <c r="V290" s="273"/>
      <c r="W290" s="273"/>
      <c r="X290" s="273"/>
      <c r="Y290" s="273"/>
    </row>
    <row r="291" spans="1:25" ht="12.75">
      <c r="A291" s="304">
        <v>935</v>
      </c>
      <c r="B291" s="262" t="s">
        <v>422</v>
      </c>
      <c r="C291" s="260">
        <v>8</v>
      </c>
      <c r="D291" s="305">
        <v>8399.91419</v>
      </c>
      <c r="E291" s="305">
        <v>8248.784875008</v>
      </c>
      <c r="F291" s="274">
        <v>8709.472028168746</v>
      </c>
      <c r="G291" s="305">
        <v>4304.9020374010815</v>
      </c>
      <c r="H291" s="305">
        <v>4205.320125835031</v>
      </c>
      <c r="I291" s="305">
        <v>1172.43724</v>
      </c>
      <c r="J291" s="305">
        <v>999.7528540000001</v>
      </c>
      <c r="K291" s="305">
        <v>1083.503968</v>
      </c>
      <c r="L291" s="305">
        <v>836.296752</v>
      </c>
      <c r="M291" s="305">
        <v>846.816208</v>
      </c>
      <c r="N291" s="305">
        <v>1405.59746</v>
      </c>
      <c r="O291" s="305">
        <v>1694.56156836</v>
      </c>
      <c r="P291" s="305">
        <v>1694.56156836</v>
      </c>
      <c r="Q291" s="305">
        <v>1694.56156836</v>
      </c>
      <c r="R291" s="305">
        <v>1694.56156836</v>
      </c>
      <c r="S291" s="305"/>
      <c r="T291" s="305"/>
      <c r="U291" s="305"/>
      <c r="V291" s="273"/>
      <c r="W291" s="273"/>
      <c r="X291" s="273"/>
      <c r="Y291" s="273"/>
    </row>
    <row r="292" spans="1:25" ht="12.75">
      <c r="A292" s="304">
        <v>936</v>
      </c>
      <c r="B292" s="262" t="s">
        <v>423</v>
      </c>
      <c r="C292" s="260">
        <v>6</v>
      </c>
      <c r="D292" s="305">
        <v>18134.48256</v>
      </c>
      <c r="E292" s="305">
        <v>18485.519126310188</v>
      </c>
      <c r="F292" s="274">
        <v>18843.576686931305</v>
      </c>
      <c r="G292" s="305">
        <v>9754.679059011985</v>
      </c>
      <c r="H292" s="305">
        <v>9593.75511698277</v>
      </c>
      <c r="I292" s="305">
        <v>2413.69396</v>
      </c>
      <c r="J292" s="305">
        <v>2367.9087949999994</v>
      </c>
      <c r="K292" s="305">
        <v>2566.597672</v>
      </c>
      <c r="L292" s="305">
        <v>1981.014708</v>
      </c>
      <c r="M292" s="305">
        <v>2005.933132</v>
      </c>
      <c r="N292" s="305">
        <v>1879.9746100000002</v>
      </c>
      <c r="O292" s="305">
        <v>1890.5328028224</v>
      </c>
      <c r="P292" s="305">
        <v>1890.5328028224</v>
      </c>
      <c r="Q292" s="305">
        <v>1890.5328028224</v>
      </c>
      <c r="R292" s="305">
        <v>1890.5328028224</v>
      </c>
      <c r="S292" s="305"/>
      <c r="T292" s="305"/>
      <c r="U292" s="305"/>
      <c r="V292" s="273"/>
      <c r="W292" s="273"/>
      <c r="X292" s="273"/>
      <c r="Y292" s="273"/>
    </row>
    <row r="293" spans="1:25" ht="12.75">
      <c r="A293" s="304">
        <v>946</v>
      </c>
      <c r="B293" s="262" t="s">
        <v>137</v>
      </c>
      <c r="C293" s="260">
        <v>15</v>
      </c>
      <c r="D293" s="305">
        <v>18913.14878</v>
      </c>
      <c r="E293" s="305">
        <v>18843.212696346032</v>
      </c>
      <c r="F293" s="274">
        <v>20078.898726617746</v>
      </c>
      <c r="G293" s="305">
        <v>10620.104787538385</v>
      </c>
      <c r="H293" s="305">
        <v>10405.846725404304</v>
      </c>
      <c r="I293" s="305">
        <v>2283.88297</v>
      </c>
      <c r="J293" s="305">
        <v>1889.6977460000003</v>
      </c>
      <c r="K293" s="305">
        <v>2045.068502</v>
      </c>
      <c r="L293" s="305">
        <v>1578.4752030000002</v>
      </c>
      <c r="M293" s="305">
        <v>1598.330237</v>
      </c>
      <c r="N293" s="305">
        <v>1792.16236</v>
      </c>
      <c r="O293" s="305">
        <v>1755.2013118704003</v>
      </c>
      <c r="P293" s="305">
        <v>1755.2013118704003</v>
      </c>
      <c r="Q293" s="305">
        <v>1755.2013118704003</v>
      </c>
      <c r="R293" s="305">
        <v>1755.2013118704003</v>
      </c>
      <c r="S293" s="305"/>
      <c r="T293" s="305"/>
      <c r="U293" s="305"/>
      <c r="V293" s="273"/>
      <c r="W293" s="273"/>
      <c r="X293" s="273"/>
      <c r="Y293" s="273"/>
    </row>
    <row r="294" spans="1:25" ht="12.75">
      <c r="A294" s="304">
        <v>976</v>
      </c>
      <c r="B294" s="262" t="s">
        <v>424</v>
      </c>
      <c r="C294" s="260">
        <v>19</v>
      </c>
      <c r="D294" s="305">
        <v>10451.582400000001</v>
      </c>
      <c r="E294" s="305">
        <v>11106.443588974907</v>
      </c>
      <c r="F294" s="274">
        <v>11340.052457833333</v>
      </c>
      <c r="G294" s="305">
        <v>5665.319347108614</v>
      </c>
      <c r="H294" s="305">
        <v>5525.637385484675</v>
      </c>
      <c r="I294" s="305">
        <v>762.09906</v>
      </c>
      <c r="J294" s="305">
        <v>710.025259</v>
      </c>
      <c r="K294" s="305">
        <v>767.42931</v>
      </c>
      <c r="L294" s="305">
        <v>592.3362149999999</v>
      </c>
      <c r="M294" s="305">
        <v>599.7869850000001</v>
      </c>
      <c r="N294" s="305">
        <v>1068.2768899999999</v>
      </c>
      <c r="O294" s="305">
        <v>1229.0985389040002</v>
      </c>
      <c r="P294" s="305">
        <v>1229.0985389040002</v>
      </c>
      <c r="Q294" s="305">
        <v>1229.0985389040002</v>
      </c>
      <c r="R294" s="305">
        <v>1229.0985389040002</v>
      </c>
      <c r="S294" s="305"/>
      <c r="T294" s="305"/>
      <c r="U294" s="305"/>
      <c r="V294" s="273"/>
      <c r="W294" s="273"/>
      <c r="X294" s="273"/>
      <c r="Y294" s="273"/>
    </row>
    <row r="295" spans="1:25" ht="12.75">
      <c r="A295" s="304">
        <v>977</v>
      </c>
      <c r="B295" s="262" t="s">
        <v>425</v>
      </c>
      <c r="C295" s="260">
        <v>17</v>
      </c>
      <c r="D295" s="305">
        <v>45779.7978</v>
      </c>
      <c r="E295" s="305">
        <v>47095.40491780132</v>
      </c>
      <c r="F295" s="274">
        <v>49823.56973427113</v>
      </c>
      <c r="G295" s="305">
        <v>27117.380860311492</v>
      </c>
      <c r="H295" s="305">
        <v>26523.486374127326</v>
      </c>
      <c r="I295" s="305">
        <v>3933.97892</v>
      </c>
      <c r="J295" s="305">
        <v>3343.121776</v>
      </c>
      <c r="K295" s="305">
        <v>3620.272222</v>
      </c>
      <c r="L295" s="305">
        <v>2794.2877829999998</v>
      </c>
      <c r="M295" s="305">
        <v>2829.436057</v>
      </c>
      <c r="N295" s="305">
        <v>4866.17979</v>
      </c>
      <c r="O295" s="305">
        <v>4958.074800551999</v>
      </c>
      <c r="P295" s="305">
        <v>4958.074800551999</v>
      </c>
      <c r="Q295" s="305">
        <v>4958.074800551999</v>
      </c>
      <c r="R295" s="305">
        <v>4958.074800551999</v>
      </c>
      <c r="S295" s="305"/>
      <c r="T295" s="305"/>
      <c r="U295" s="305"/>
      <c r="V295" s="273"/>
      <c r="W295" s="273"/>
      <c r="X295" s="273"/>
      <c r="Y295" s="273"/>
    </row>
    <row r="296" spans="1:25" ht="12.75">
      <c r="A296" s="304">
        <v>980</v>
      </c>
      <c r="B296" s="262" t="s">
        <v>426</v>
      </c>
      <c r="C296" s="260">
        <v>6</v>
      </c>
      <c r="D296" s="305">
        <v>112635.23678</v>
      </c>
      <c r="E296" s="305">
        <v>115365.582208219</v>
      </c>
      <c r="F296" s="274">
        <v>121355.3812812828</v>
      </c>
      <c r="G296" s="305">
        <v>62028.72225565327</v>
      </c>
      <c r="H296" s="305">
        <v>60076.29011883359</v>
      </c>
      <c r="I296" s="305">
        <v>6037.45513</v>
      </c>
      <c r="J296" s="305">
        <v>5907.650142</v>
      </c>
      <c r="K296" s="305">
        <v>6403.794898</v>
      </c>
      <c r="L296" s="305">
        <v>4942.734896999999</v>
      </c>
      <c r="M296" s="305">
        <v>5004.907663</v>
      </c>
      <c r="N296" s="305">
        <v>7521.21588</v>
      </c>
      <c r="O296" s="305">
        <v>7501.6174984008</v>
      </c>
      <c r="P296" s="305">
        <v>7501.6174984008</v>
      </c>
      <c r="Q296" s="305">
        <v>7501.6174984008</v>
      </c>
      <c r="R296" s="305">
        <v>7501.6174984008</v>
      </c>
      <c r="S296" s="305"/>
      <c r="T296" s="305"/>
      <c r="U296" s="305"/>
      <c r="V296" s="273"/>
      <c r="W296" s="273"/>
      <c r="X296" s="273"/>
      <c r="Y296" s="273"/>
    </row>
    <row r="297" spans="1:25" ht="12.75">
      <c r="A297" s="304">
        <v>981</v>
      </c>
      <c r="B297" s="310" t="s">
        <v>427</v>
      </c>
      <c r="C297" s="260">
        <v>5</v>
      </c>
      <c r="D297" s="305">
        <v>7096.13627</v>
      </c>
      <c r="E297" s="305">
        <v>7209.194346616429</v>
      </c>
      <c r="F297" s="274">
        <v>7367.071198269156</v>
      </c>
      <c r="G297" s="305">
        <v>4036.719687784247</v>
      </c>
      <c r="H297" s="305">
        <v>3946.98674241533</v>
      </c>
      <c r="I297" s="305">
        <v>362.05789</v>
      </c>
      <c r="J297" s="305">
        <v>286.896483</v>
      </c>
      <c r="K297" s="305">
        <v>310.959678</v>
      </c>
      <c r="L297" s="305">
        <v>240.01256699999996</v>
      </c>
      <c r="M297" s="305">
        <v>243.03159299999996</v>
      </c>
      <c r="N297" s="305">
        <v>510.0303</v>
      </c>
      <c r="O297" s="305">
        <v>523.1019925439998</v>
      </c>
      <c r="P297" s="305">
        <v>523.1019925439998</v>
      </c>
      <c r="Q297" s="305">
        <v>523.1019925439998</v>
      </c>
      <c r="R297" s="305">
        <v>523.1019925439998</v>
      </c>
      <c r="S297" s="305"/>
      <c r="T297" s="305"/>
      <c r="U297" s="305"/>
      <c r="V297" s="273"/>
      <c r="W297" s="273"/>
      <c r="X297" s="273"/>
      <c r="Y297" s="273"/>
    </row>
    <row r="298" spans="1:25" ht="12.75">
      <c r="A298" s="304">
        <v>989</v>
      </c>
      <c r="B298" s="262" t="s">
        <v>428</v>
      </c>
      <c r="C298" s="260">
        <v>14</v>
      </c>
      <c r="D298" s="305">
        <v>17738.10068</v>
      </c>
      <c r="E298" s="305">
        <v>17652.692332487986</v>
      </c>
      <c r="F298" s="274">
        <v>18125.42761609335</v>
      </c>
      <c r="G298" s="305">
        <v>9915.1582690198</v>
      </c>
      <c r="H298" s="305">
        <v>9826.053017386372</v>
      </c>
      <c r="I298" s="305">
        <v>1472.85115</v>
      </c>
      <c r="J298" s="305">
        <v>1559.5890689999999</v>
      </c>
      <c r="K298" s="305">
        <v>1690.464016</v>
      </c>
      <c r="L298" s="305">
        <v>1304.775624</v>
      </c>
      <c r="M298" s="305">
        <v>1321.1878959999997</v>
      </c>
      <c r="N298" s="305">
        <v>2028.0361699999999</v>
      </c>
      <c r="O298" s="305">
        <v>2068.852144728</v>
      </c>
      <c r="P298" s="305">
        <v>2068.852144728</v>
      </c>
      <c r="Q298" s="305">
        <v>2068.852144728</v>
      </c>
      <c r="R298" s="305">
        <v>2068.852144728</v>
      </c>
      <c r="S298" s="305"/>
      <c r="T298" s="305"/>
      <c r="U298" s="305"/>
      <c r="V298" s="273"/>
      <c r="W298" s="273"/>
      <c r="X298" s="273"/>
      <c r="Y298" s="273"/>
    </row>
    <row r="299" spans="1:25" ht="12.75">
      <c r="A299" s="261">
        <v>992</v>
      </c>
      <c r="B299" s="310" t="s">
        <v>429</v>
      </c>
      <c r="C299" s="260">
        <v>13</v>
      </c>
      <c r="D299" s="305">
        <v>62983.82449</v>
      </c>
      <c r="E299" s="305">
        <v>64807.28480193967</v>
      </c>
      <c r="F299" s="274">
        <v>65952.30566656076</v>
      </c>
      <c r="G299" s="305">
        <v>34893.532380234574</v>
      </c>
      <c r="H299" s="305">
        <v>34419.82827204429</v>
      </c>
      <c r="I299" s="305">
        <v>8989.79206</v>
      </c>
      <c r="J299" s="305">
        <v>9459.781047</v>
      </c>
      <c r="K299" s="305">
        <v>10286.032788</v>
      </c>
      <c r="L299" s="305">
        <v>7939.219482</v>
      </c>
      <c r="M299" s="305">
        <v>8039.083878</v>
      </c>
      <c r="N299" s="305">
        <v>4722.43065</v>
      </c>
      <c r="O299" s="305">
        <v>4833.787934699999</v>
      </c>
      <c r="P299" s="305">
        <v>4833.787934699999</v>
      </c>
      <c r="Q299" s="305">
        <v>4833.787934699999</v>
      </c>
      <c r="R299" s="305">
        <v>4833.787934699999</v>
      </c>
      <c r="S299" s="305"/>
      <c r="T299" s="305"/>
      <c r="U299" s="305"/>
      <c r="V299" s="273"/>
      <c r="W299" s="273"/>
      <c r="X299" s="273"/>
      <c r="Y299" s="273"/>
    </row>
    <row r="300" spans="1:25" ht="12.75">
      <c r="A300" s="261"/>
      <c r="B300" s="262" t="s">
        <v>611</v>
      </c>
      <c r="C300" s="273"/>
      <c r="D300" s="274">
        <f>SUM(D5:D299)</f>
        <v>18806462.939319998</v>
      </c>
      <c r="E300" s="274">
        <f aca="true" t="shared" si="0" ref="E300:O300">SUM(E5:E299)</f>
        <v>19142849.980151705</v>
      </c>
      <c r="F300" s="274">
        <f t="shared" si="0"/>
        <v>19999819.090904366</v>
      </c>
      <c r="G300" s="274">
        <f t="shared" si="0"/>
        <v>9865134.778012617</v>
      </c>
      <c r="H300" s="274">
        <f t="shared" si="0"/>
        <v>9527777.486148765</v>
      </c>
      <c r="I300" s="274">
        <f t="shared" si="0"/>
        <v>1856939.4837299979</v>
      </c>
      <c r="J300" s="274">
        <f t="shared" si="0"/>
        <v>1899925.3447260002</v>
      </c>
      <c r="K300" s="274">
        <f t="shared" si="0"/>
        <v>2060000.0000000002</v>
      </c>
      <c r="L300" s="274">
        <f t="shared" si="0"/>
        <v>1590000.000000001</v>
      </c>
      <c r="M300" s="274">
        <f t="shared" si="0"/>
        <v>1610000.0000000002</v>
      </c>
      <c r="N300" s="274">
        <f t="shared" si="0"/>
        <v>1770811.8996300003</v>
      </c>
      <c r="O300" s="274">
        <f t="shared" si="0"/>
        <v>1820184.7181128897</v>
      </c>
      <c r="P300" s="274">
        <f>SUM(P5:P299)</f>
        <v>1820184.7181128897</v>
      </c>
      <c r="Q300" s="274">
        <f>SUM(Q5:Q299)</f>
        <v>1820184.7181128897</v>
      </c>
      <c r="R300" s="274">
        <f>SUM(R5:R299)</f>
        <v>1820184.7181128897</v>
      </c>
      <c r="S300" s="274"/>
      <c r="T300" s="274"/>
      <c r="U300" s="274"/>
      <c r="V300" s="273"/>
      <c r="W300" s="273"/>
      <c r="X300" s="273"/>
      <c r="Y300" s="273"/>
    </row>
  </sheetData>
  <sheetProtection password="C9BA"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Pukin perhe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Jakoavain - uusi työkalu maakuntauudistuksen vaikutuksista</dc:title>
  <dc:subject/>
  <dc:creator>Mehtonen Mikko;PUKKI HEIKKI</dc:creator>
  <cp:keywords/>
  <dc:description/>
  <cp:lastModifiedBy>Mehtonen Mikko</cp:lastModifiedBy>
  <cp:lastPrinted>2017-02-24T12:08:37Z</cp:lastPrinted>
  <dcterms:created xsi:type="dcterms:W3CDTF">1999-06-12T09:52:58Z</dcterms:created>
  <dcterms:modified xsi:type="dcterms:W3CDTF">2021-06-22T05:49:26Z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0x010100FB67A0028CB54352919050D117ADD96100710A1A8FEBEDEE45AE907C3B8C4F8D4F</vt:lpwstr>
  </property>
  <property fmtid="{D5CDD505-2E9C-101B-9397-08002B2CF9AE}" pid="3" name="_dlc_DocIdItemGuid">
    <vt:lpwstr>34d8ddd3-e612-4d0f-8197-f8875860191e</vt:lpwstr>
  </property>
  <property fmtid="{D5CDD505-2E9C-101B-9397-08002B2CF9AE}" pid="4" name="KN2Keywords">
    <vt:lpwstr/>
  </property>
  <property fmtid="{D5CDD505-2E9C-101B-9397-08002B2CF9AE}" pid="5" name="Theme">
    <vt:lpwstr/>
  </property>
  <property fmtid="{D5CDD505-2E9C-101B-9397-08002B2CF9AE}" pid="6" name="KN2Language">
    <vt:lpwstr/>
  </property>
  <property fmtid="{D5CDD505-2E9C-101B-9397-08002B2CF9AE}" pid="7" name="Municipality">
    <vt:lpwstr/>
  </property>
  <property fmtid="{D5CDD505-2E9C-101B-9397-08002B2CF9AE}" pid="8" name="ExpertService">
    <vt:lpwstr>7;#Kuntatalous|f60f4e25-53fd-466c-b326-d92406949689</vt:lpwstr>
  </property>
  <property fmtid="{D5CDD505-2E9C-101B-9397-08002B2CF9AE}" pid="9" name="MunicipalityTaxHTField0">
    <vt:lpwstr/>
  </property>
  <property fmtid="{D5CDD505-2E9C-101B-9397-08002B2CF9AE}" pid="10" name="ExpertServiceTaxHTField0">
    <vt:lpwstr>Kuntatalous|f60f4e25-53fd-466c-b326-d92406949689</vt:lpwstr>
  </property>
  <property fmtid="{D5CDD505-2E9C-101B-9397-08002B2CF9AE}" pid="11" name="KN2KeywordsTaxHTField0">
    <vt:lpwstr/>
  </property>
  <property fmtid="{D5CDD505-2E9C-101B-9397-08002B2CF9AE}" pid="12" name="KN2LanguageTaxHTField0">
    <vt:lpwstr/>
  </property>
  <property fmtid="{D5CDD505-2E9C-101B-9397-08002B2CF9AE}" pid="13" name="KN2ArticleDateTime">
    <vt:lpwstr>2017-02-24T15:06:00Z</vt:lpwstr>
  </property>
  <property fmtid="{D5CDD505-2E9C-101B-9397-08002B2CF9AE}" pid="14" name="KN2Description">
    <vt:lpwstr>Excel-tiedosto *-xlsm-markoversio</vt:lpwstr>
  </property>
  <property fmtid="{D5CDD505-2E9C-101B-9397-08002B2CF9AE}" pid="15" name="ThemeTaxHTField0">
    <vt:lpwstr/>
  </property>
  <property fmtid="{D5CDD505-2E9C-101B-9397-08002B2CF9AE}" pid="16" name="TaxCatchAll">
    <vt:lpwstr>7;#</vt:lpwstr>
  </property>
  <property fmtid="{D5CDD505-2E9C-101B-9397-08002B2CF9AE}" pid="17" name="_dlc_DocId">
    <vt:lpwstr>G94TWSLYV3F3-13212-20</vt:lpwstr>
  </property>
  <property fmtid="{D5CDD505-2E9C-101B-9397-08002B2CF9AE}" pid="18" name="_dlc_DocIdUrl">
    <vt:lpwstr>http://www.kunnat.net/fi/asiantuntijapalvelut/kuntatalous/budjetointi-taloussuunnittelu/kuntatalouden-2019-jakoavain/_layouts/DocIdRedir.aspx?ID=G94TWSLYV3F3-13212-20, G94TWSLYV3F3-13212-20</vt:lpwstr>
  </property>
  <property fmtid="{D5CDD505-2E9C-101B-9397-08002B2CF9AE}" pid="19" name="Workbook id">
    <vt:lpwstr>104b7bbb-6345-48d0-b88d-bc22bddb4390</vt:lpwstr>
  </property>
  <property fmtid="{D5CDD505-2E9C-101B-9397-08002B2CF9AE}" pid="20" name="Workbook type">
    <vt:lpwstr>Custom</vt:lpwstr>
  </property>
  <property fmtid="{D5CDD505-2E9C-101B-9397-08002B2CF9AE}" pid="21" name="Workbook version">
    <vt:lpwstr>Custom</vt:lpwstr>
  </property>
</Properties>
</file>